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filterPrivacy="1" hidePivotFieldList="1"/>
  <xr:revisionPtr revIDLastSave="344" documentId="8_{79BBDE41-713C-4696-A80C-E4EBD43C071A}" xr6:coauthVersionLast="47" xr6:coauthVersionMax="47" xr10:uidLastSave="{205D9EDD-8729-48D6-AED9-869CF8B88786}"/>
  <bookViews>
    <workbookView xWindow="-120" yWindow="-120" windowWidth="29040" windowHeight="15720" tabRatio="840" xr2:uid="{E21A6ADE-2289-4379-8527-5C5B0176F247}"/>
  </bookViews>
  <sheets>
    <sheet name="Cover" sheetId="101" r:id="rId1"/>
    <sheet name="Conceptual model" sheetId="102" r:id="rId2"/>
    <sheet name="Inputs &gt;&gt;" sheetId="20" r:id="rId3"/>
    <sheet name="F_Inputs" sheetId="106" r:id="rId4"/>
    <sheet name="F_Inputs_adjusted" sheetId="79" r:id="rId5"/>
    <sheet name="Consolidated Input" sheetId="89" r:id="rId6"/>
    <sheet name="F_Input Override" sheetId="90" r:id="rId7"/>
    <sheet name="Final Input" sheetId="91" r:id="rId8"/>
    <sheet name="Data_final_model_format" sheetId="77" r:id="rId9"/>
    <sheet name="Company level efficiencies" sheetId="95" r:id="rId10"/>
    <sheet name="Post Adj &amp; FS Allowances" sheetId="100" r:id="rId11"/>
    <sheet name="Analysis &gt;&gt;" sheetId="32" r:id="rId12"/>
    <sheet name="Materiality &amp; shallow dive" sheetId="41" r:id="rId13"/>
    <sheet name="Modelled costs" sheetId="40" r:id="rId14"/>
    <sheet name="Deep dive_ANH" sheetId="80" r:id="rId15"/>
    <sheet name="Outputs &gt;&gt;" sheetId="45" r:id="rId16"/>
    <sheet name="Allowance" sheetId="38" r:id="rId17"/>
    <sheet name="Outputs to aggregator" sheetId="88" r:id="rId18"/>
    <sheet name="F_Outputs" sheetId="94" r:id="rId19"/>
    <sheet name="DROPDOWN LISTS" sheetId="58" r:id="rId20"/>
  </sheets>
  <definedNames>
    <definedName name="____net1" localSheetId="1" hidden="1">{"NET",#N/A,FALSE,"401C11"}</definedName>
    <definedName name="____net1" hidden="1">{"NET",#N/A,FALSE,"401C11"}</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net1" localSheetId="1" hidden="1">{"NET",#N/A,FALSE,"401C11"}</definedName>
    <definedName name="__net1" hidden="1">{"NET",#N/A,FALSE,"401C11"}</definedName>
    <definedName name="_1_0__123Grap" hidden="1">#REF!</definedName>
    <definedName name="_1_123Grap" hidden="1">#REF!</definedName>
    <definedName name="_123Graph_F" hidden="1">#REF!</definedName>
    <definedName name="_2_0__123Grap" hidden="1">#REF!</definedName>
    <definedName name="_2_123Grap" hidden="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xlnm._FilterDatabase" localSheetId="8" hidden="1">Data_final_model_format!$A$6:$H$6</definedName>
    <definedName name="_Key1" hidden="1">#REF!</definedName>
    <definedName name="_Key2" hidden="1">#REF!</definedName>
    <definedName name="_net1" localSheetId="1" hidden="1">{"NET",#N/A,FALSE,"401C11"}</definedName>
    <definedName name="_net1" hidden="1">{"NET",#N/A,FALSE,"401C11"}</definedName>
    <definedName name="_Order1" hidden="1">255</definedName>
    <definedName name="_Order2" hidden="1">255</definedName>
    <definedName name="_Sort" hidden="1">#REF!</definedName>
    <definedName name="a" localSheetId="1" hidden="1">{"CHARGE",#N/A,FALSE,"401C11"}</definedName>
    <definedName name="a" hidden="1">{"CHARGE",#N/A,FALSE,"401C11"}</definedName>
    <definedName name="aa" localSheetId="1" hidden="1">{"CHARGE",#N/A,FALSE,"401C11"}</definedName>
    <definedName name="aa" hidden="1">{"CHARGE",#N/A,FALSE,"401C11"}</definedName>
    <definedName name="aaa" localSheetId="1" hidden="1">{"CHARGE",#N/A,FALSE,"401C11"}</definedName>
    <definedName name="aaa" hidden="1">{"CHARGE",#N/A,FALSE,"401C11"}</definedName>
    <definedName name="aaaa" localSheetId="1" hidden="1">{"CHARGE",#N/A,FALSE,"401C11"}</definedName>
    <definedName name="aaaa" hidden="1">{"CHARGE",#N/A,FALSE,"401C11"}</definedName>
    <definedName name="abc" localSheetId="1" hidden="1">{"NET",#N/A,FALSE,"401C11"}</definedName>
    <definedName name="abc" hidden="1">{"NET",#N/A,FALSE,"401C11"}</definedName>
    <definedName name="AccessDatabase" hidden="1">"C:\Budgets\2003\NM and VS BP forecast 2003 NM37 VS197 311002 v1.mdb"</definedName>
    <definedName name="adbr" localSheetId="1" hidden="1">{"CHARGE",#N/A,FALSE,"401C11"}</definedName>
    <definedName name="adbr" hidden="1">{"CHARGE",#N/A,FALSE,"401C11"}</definedName>
    <definedName name="b" localSheetId="1" hidden="1">{"CHARGE",#N/A,FALSE,"401C11"}</definedName>
    <definedName name="b" hidden="1">{"CHARGE",#N/A,FALSE,"401C11"}</definedName>
    <definedName name="BMGHIndex" hidden="1">"O"</definedName>
    <definedName name="change1" localSheetId="1" hidden="1">{"CHARGE",#N/A,FALSE,"401C11"}</definedName>
    <definedName name="change1" hidden="1">{"CHARGE",#N/A,FALSE,"401C11"}</definedName>
    <definedName name="charge" localSheetId="1" hidden="1">{"CHARGE",#N/A,FALSE,"401C11"}</definedName>
    <definedName name="charge" hidden="1">{"CHARGE",#N/A,FALSE,"401C11"}</definedName>
    <definedName name="CIQWBGuid" hidden="1">"0f0259b9-6046-41aa-ac9c-7befc2576c88"</definedName>
    <definedName name="da" hidden="1">#REF!</definedName>
    <definedName name="dog" localSheetId="1" hidden="1">{"NET",#N/A,FALSE,"401C11"}</definedName>
    <definedName name="dog" hidden="1">{"NET",#N/A,FALSE,"401C11"}</definedName>
    <definedName name="EV__LASTREFTIME__" hidden="1">40339.4799074074</definedName>
    <definedName name="Expired" hidden="1">FALSE</definedName>
    <definedName name="F" localSheetId="1"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hidden="1">{"bal",#N/A,FALSE,"working papers";"income",#N/A,FALSE,"working papers"}</definedName>
    <definedName name="Foutput" hidden="1">#REF!</definedName>
    <definedName name="fsdfffd" hidden="1">#REF!</definedName>
    <definedName name="fsdfsd" hidden="1">#REF!</definedName>
    <definedName name="fsfds" hidden="1">#REF!</definedName>
    <definedName name="fsfsd" hidden="1">#REF!</definedName>
    <definedName name="gfff" localSheetId="1" hidden="1">{"CHARGE",#N/A,FALSE,"401C11"}</definedName>
    <definedName name="gfff" hidden="1">{"CHARGE",#N/A,FALSE,"401C11"}</definedName>
    <definedName name="gross" localSheetId="1" hidden="1">{"GROSS",#N/A,FALSE,"401C11"}</definedName>
    <definedName name="gross" hidden="1">{"GROSS",#N/A,FALSE,"401C11"}</definedName>
    <definedName name="gross1" localSheetId="1" hidden="1">{"GROSS",#N/A,FALSE,"401C11"}</definedName>
    <definedName name="gross1" hidden="1">{"GROSS",#N/A,FALSE,"401C11"}</definedName>
    <definedName name="hasdfjklhklj" localSheetId="1" hidden="1">{"NET",#N/A,FALSE,"401C11"}</definedName>
    <definedName name="hasdfjklhklj" hidden="1">{"NET",#N/A,FALSE,"401C11"}</definedName>
    <definedName name="help" localSheetId="1" hidden="1">{"CHARGE",#N/A,FALSE,"401C11"}</definedName>
    <definedName name="help" hidden="1">{"CHARGE",#N/A,FALSE,"401C11"}</definedName>
    <definedName name="hghghhj" localSheetId="1" hidden="1">{"CHARGE",#N/A,FALSE,"401C11"}</definedName>
    <definedName name="hghghhj" hidden="1">{"CHARGE",#N/A,FALSE,"401C11"}</definedName>
    <definedName name="HTML_CodePage" hidden="1">1252</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FELL" hidden="1">#REF!</definedName>
    <definedName name="New" hidden="1">#REF!</definedName>
    <definedName name="OISIII" hidden="1">#REF!</definedName>
    <definedName name="qfx" localSheetId="1" hidden="1">{"NET",#N/A,FALSE,"401C11"}</definedName>
    <definedName name="qfx" hidden="1">{"NET",#N/A,FALSE,"401C11"}</definedName>
    <definedName name="qwefqefa" hidden="1">#REF!</definedName>
    <definedName name="real"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ytry" localSheetId="1" hidden="1">{"NET",#N/A,FALSE,"401C11"}</definedName>
    <definedName name="rytry" hidden="1">{"NET",#N/A,FALSE,"401C11"}</definedName>
    <definedName name="SAPBEXrevision" hidden="1">1</definedName>
    <definedName name="SAPBEXsysID" hidden="1">"BWB"</definedName>
    <definedName name="SAPBEXwbID" hidden="1">"49ZLUKBQR0WG29D9LLI3IBIIT"</definedName>
    <definedName name="sort" hidden="1">#REF!</definedName>
    <definedName name="Table3.4" localSheetId="1" hidden="1">{"CHARGE",#N/A,FALSE,"401C11"}</definedName>
    <definedName name="Table3.4" hidden="1">{"CHARGE",#N/A,FALSE,"401C11"}</definedName>
    <definedName name="Test23" localSheetId="1" hidden="1">{"NET",#N/A,FALSE,"401C11"}</definedName>
    <definedName name="Test23" hidden="1">{"NET",#N/A,FALSE,"401C11"}</definedName>
    <definedName name="trdhtr" hidden="1">#REF!</definedName>
    <definedName name="wert" localSheetId="1" hidden="1">{"GROSS",#N/A,FALSE,"401C11"}</definedName>
    <definedName name="wert" hidden="1">{"GROSS",#N/A,FALSE,"401C11"}</definedName>
    <definedName name="wombat" hidden="1">#REF!</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hidden="1">{"CHARGE",#N/A,FALSE,"401C11"}</definedName>
    <definedName name="wrn.GROSS." localSheetId="1" hidden="1">{"GROSS",#N/A,FALSE,"401C11"}</definedName>
    <definedName name="wrn.GROSS." hidden="1">{"GROSS",#N/A,FALSE,"401C11"}</definedName>
    <definedName name="wrn.NET." localSheetId="1" hidden="1">{"NET",#N/A,FALSE,"401C11"}</definedName>
    <definedName name="wrn.NET." hidden="1">{"NET",#N/A,FALSE,"401C11"}</definedName>
    <definedName name="wrn.papersdraft" localSheetId="1" hidden="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 hidden="1">{"bal",#N/A,FALSE,"working papers";"income",#N/A,FALSE,"working papers"}</definedName>
    <definedName name="wrn.wpapers." hidden="1">{"bal",#N/A,FALSE,"working papers";"income",#N/A,FALSE,"working papers"}</definedName>
    <definedName name="xxx" localSheetId="1" hidden="1">{"CHARGE",#N/A,FALSE,"401C11"}</definedName>
    <definedName name="xxx" hidden="1">{"CHARGE",#N/A,FALSE,"401C11"}</definedName>
    <definedName name="yyy" localSheetId="1" hidden="1">{"GROSS",#N/A,FALSE,"401C11"}</definedName>
    <definedName name="yyy" hidden="1">{"GROSS",#N/A,FALSE,"401C11"}</definedName>
    <definedName name="zzz" localSheetId="1" hidden="1">{"NET",#N/A,FALSE,"401C11"}</definedName>
    <definedName name="zzz" hidden="1">{"NET",#N/A,FALSE,"401C11"}</definedName>
  </definedNames>
  <calcPr calcId="191029" calcMode="manual"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01" l="1"/>
  <c r="A1" i="100"/>
  <c r="A1" i="79"/>
  <c r="O7" i="40" l="1"/>
  <c r="H18" i="38"/>
  <c r="K18" i="38" s="1"/>
  <c r="H6" i="41"/>
  <c r="A1" i="95"/>
  <c r="A1" i="77"/>
  <c r="N28" i="80"/>
  <c r="N20" i="80"/>
  <c r="N13" i="80"/>
  <c r="M735" i="100" l="1"/>
  <c r="M734" i="100"/>
  <c r="M733" i="100"/>
  <c r="M732" i="100"/>
  <c r="M731" i="100"/>
  <c r="M730" i="100"/>
  <c r="M729" i="100"/>
  <c r="M728" i="100"/>
  <c r="M727" i="100"/>
  <c r="M726" i="100"/>
  <c r="M725" i="100"/>
  <c r="M724" i="100"/>
  <c r="M723" i="100"/>
  <c r="M722" i="100"/>
  <c r="M721" i="100"/>
  <c r="M720" i="100"/>
  <c r="M719" i="100"/>
  <c r="M718" i="100"/>
  <c r="M717" i="100"/>
  <c r="M716" i="100"/>
  <c r="M715" i="100"/>
  <c r="M714" i="100"/>
  <c r="M713" i="100"/>
  <c r="M712" i="100"/>
  <c r="M711" i="100"/>
  <c r="M710" i="100"/>
  <c r="M709" i="100"/>
  <c r="M708" i="100"/>
  <c r="M707" i="100"/>
  <c r="M706" i="100"/>
  <c r="M705" i="100"/>
  <c r="M704" i="100"/>
  <c r="M703" i="100"/>
  <c r="M702" i="100"/>
  <c r="M701" i="100"/>
  <c r="M700" i="100"/>
  <c r="M699" i="100"/>
  <c r="M698" i="100"/>
  <c r="M697" i="100"/>
  <c r="M696" i="100"/>
  <c r="M695" i="100"/>
  <c r="M694" i="100"/>
  <c r="M693" i="100"/>
  <c r="M692" i="100"/>
  <c r="M691" i="100"/>
  <c r="M690" i="100"/>
  <c r="M689" i="100"/>
  <c r="M688" i="100"/>
  <c r="M687" i="100"/>
  <c r="M686" i="100"/>
  <c r="M685" i="100"/>
  <c r="M684" i="100"/>
  <c r="M683" i="100"/>
  <c r="M682" i="100"/>
  <c r="M681" i="100"/>
  <c r="M680" i="100"/>
  <c r="M679" i="100"/>
  <c r="M678" i="100"/>
  <c r="M677" i="100"/>
  <c r="M676" i="100"/>
  <c r="M675" i="100"/>
  <c r="M674" i="100"/>
  <c r="M673" i="100"/>
  <c r="M672" i="100"/>
  <c r="M671" i="100"/>
  <c r="M670" i="100"/>
  <c r="M669" i="100"/>
  <c r="M668" i="100"/>
  <c r="M667" i="100"/>
  <c r="M666" i="100"/>
  <c r="M665" i="100"/>
  <c r="M664" i="100"/>
  <c r="M663" i="100"/>
  <c r="M662" i="100"/>
  <c r="M661" i="100"/>
  <c r="M660" i="100"/>
  <c r="M659" i="100"/>
  <c r="M658" i="100"/>
  <c r="M657" i="100"/>
  <c r="M656" i="100"/>
  <c r="M655" i="100"/>
  <c r="M654" i="100"/>
  <c r="M653" i="100"/>
  <c r="M652" i="100"/>
  <c r="M651" i="100"/>
  <c r="M650" i="100"/>
  <c r="M649" i="100"/>
  <c r="M648" i="100"/>
  <c r="M647" i="100"/>
  <c r="M646" i="100"/>
  <c r="M645" i="100"/>
  <c r="M644" i="100"/>
  <c r="M643" i="100"/>
  <c r="M642" i="100"/>
  <c r="M641" i="100"/>
  <c r="M640" i="100"/>
  <c r="M639" i="100"/>
  <c r="M638" i="100"/>
  <c r="M637" i="100"/>
  <c r="M636" i="100"/>
  <c r="M635" i="100"/>
  <c r="M634" i="100"/>
  <c r="M633" i="100"/>
  <c r="M632" i="100"/>
  <c r="M631" i="100"/>
  <c r="M630" i="100"/>
  <c r="M629" i="100"/>
  <c r="M628" i="100"/>
  <c r="M627" i="100"/>
  <c r="M626" i="100"/>
  <c r="M625" i="100"/>
  <c r="M624" i="100"/>
  <c r="M623" i="100"/>
  <c r="M622" i="100"/>
  <c r="M621" i="100"/>
  <c r="M620" i="100"/>
  <c r="M619" i="100"/>
  <c r="M618" i="100"/>
  <c r="M617" i="100"/>
  <c r="M616" i="100"/>
  <c r="M615" i="100"/>
  <c r="M614" i="100"/>
  <c r="M613" i="100"/>
  <c r="M612" i="100"/>
  <c r="M611" i="100"/>
  <c r="M610" i="100"/>
  <c r="M609" i="100"/>
  <c r="M608" i="100"/>
  <c r="M607" i="100"/>
  <c r="M606" i="100"/>
  <c r="M605" i="100"/>
  <c r="M604" i="100"/>
  <c r="M603" i="100"/>
  <c r="M602" i="100"/>
  <c r="M601" i="100"/>
  <c r="M600" i="100"/>
  <c r="M599" i="100"/>
  <c r="M598" i="100"/>
  <c r="M597" i="100"/>
  <c r="M596" i="100"/>
  <c r="M595" i="100"/>
  <c r="M594" i="100"/>
  <c r="M593" i="100"/>
  <c r="M592" i="100"/>
  <c r="M591" i="100"/>
  <c r="M590" i="100"/>
  <c r="M589" i="100"/>
  <c r="M588" i="100"/>
  <c r="M587" i="100"/>
  <c r="M586" i="100"/>
  <c r="M585" i="100"/>
  <c r="M584" i="100"/>
  <c r="M583" i="100"/>
  <c r="M582" i="100"/>
  <c r="M581" i="100"/>
  <c r="M580" i="100"/>
  <c r="M579" i="100"/>
  <c r="M578" i="100"/>
  <c r="M577" i="100"/>
  <c r="M576" i="100"/>
  <c r="M575" i="100"/>
  <c r="M574" i="100"/>
  <c r="M573" i="100"/>
  <c r="M572" i="100"/>
  <c r="M571" i="100"/>
  <c r="M570" i="100"/>
  <c r="M569" i="100"/>
  <c r="M568" i="100"/>
  <c r="M567" i="100"/>
  <c r="M566" i="100"/>
  <c r="M565" i="100"/>
  <c r="M564" i="100"/>
  <c r="M563" i="100"/>
  <c r="M562" i="100"/>
  <c r="M561" i="100"/>
  <c r="M560" i="100"/>
  <c r="M559" i="100"/>
  <c r="M558" i="100"/>
  <c r="M557" i="100"/>
  <c r="M556" i="100"/>
  <c r="M555" i="100"/>
  <c r="M554" i="100"/>
  <c r="M553" i="100"/>
  <c r="M552" i="100"/>
  <c r="M551" i="100"/>
  <c r="M550" i="100"/>
  <c r="M549" i="100"/>
  <c r="M548" i="100"/>
  <c r="M547" i="100"/>
  <c r="M546" i="100"/>
  <c r="M545" i="100"/>
  <c r="M544" i="100"/>
  <c r="M543" i="100"/>
  <c r="M542" i="100"/>
  <c r="M541" i="100"/>
  <c r="M540" i="100"/>
  <c r="M539" i="100"/>
  <c r="M538" i="100"/>
  <c r="M537" i="100"/>
  <c r="M536" i="100"/>
  <c r="M535" i="100"/>
  <c r="M534" i="100"/>
  <c r="M533" i="100"/>
  <c r="M532" i="100"/>
  <c r="M531" i="100"/>
  <c r="M530" i="100"/>
  <c r="M529" i="100"/>
  <c r="M528" i="100"/>
  <c r="M527" i="100"/>
  <c r="M526" i="100"/>
  <c r="M525" i="100"/>
  <c r="M524" i="100"/>
  <c r="M523" i="100"/>
  <c r="M522" i="100"/>
  <c r="M521" i="100"/>
  <c r="M520" i="100"/>
  <c r="M519" i="100"/>
  <c r="M518" i="100"/>
  <c r="M517" i="100"/>
  <c r="M516" i="100"/>
  <c r="M515" i="100"/>
  <c r="M514" i="100"/>
  <c r="M513" i="100"/>
  <c r="M512" i="100"/>
  <c r="M511" i="100"/>
  <c r="M510" i="100"/>
  <c r="M509" i="100"/>
  <c r="M508" i="100"/>
  <c r="M507" i="100"/>
  <c r="M506" i="100"/>
  <c r="M505" i="100"/>
  <c r="M504" i="100"/>
  <c r="M503" i="100"/>
  <c r="M502" i="100"/>
  <c r="M501" i="100"/>
  <c r="M500" i="100"/>
  <c r="M499" i="100"/>
  <c r="M498" i="100"/>
  <c r="M497" i="100"/>
  <c r="M496" i="100"/>
  <c r="M495" i="100"/>
  <c r="M494" i="100"/>
  <c r="M493" i="100"/>
  <c r="M492" i="100"/>
  <c r="M491" i="100"/>
  <c r="M490" i="100"/>
  <c r="M489" i="100"/>
  <c r="M488" i="100"/>
  <c r="M487" i="100"/>
  <c r="M486" i="100"/>
  <c r="M485" i="100"/>
  <c r="M484" i="100"/>
  <c r="M483" i="100"/>
  <c r="M482" i="100"/>
  <c r="M481" i="100"/>
  <c r="M480" i="100"/>
  <c r="M479" i="100"/>
  <c r="M478" i="100"/>
  <c r="M477" i="100"/>
  <c r="M476" i="100"/>
  <c r="M475" i="100"/>
  <c r="M474" i="100"/>
  <c r="M473" i="100"/>
  <c r="M472" i="100"/>
  <c r="M471" i="100"/>
  <c r="M470" i="100"/>
  <c r="M469" i="100"/>
  <c r="M468" i="100"/>
  <c r="M467" i="100"/>
  <c r="M466" i="100"/>
  <c r="M465" i="100"/>
  <c r="M464" i="100"/>
  <c r="M463" i="100"/>
  <c r="M462" i="100"/>
  <c r="M461" i="100"/>
  <c r="M460" i="100"/>
  <c r="M459" i="100"/>
  <c r="M458" i="100"/>
  <c r="M457" i="100"/>
  <c r="M456" i="100"/>
  <c r="M455" i="100"/>
  <c r="M454" i="100"/>
  <c r="M453" i="100"/>
  <c r="M452" i="100"/>
  <c r="M451" i="100"/>
  <c r="M450" i="100"/>
  <c r="M449" i="100"/>
  <c r="M448" i="100"/>
  <c r="M447" i="100"/>
  <c r="M446" i="100"/>
  <c r="M445" i="100"/>
  <c r="M444" i="100"/>
  <c r="M443" i="100"/>
  <c r="M442" i="100"/>
  <c r="M441" i="100"/>
  <c r="M440" i="100"/>
  <c r="M439" i="100"/>
  <c r="M438" i="100"/>
  <c r="M437" i="100"/>
  <c r="M436" i="100"/>
  <c r="M435" i="100"/>
  <c r="M434" i="100"/>
  <c r="M433" i="100"/>
  <c r="M432" i="100"/>
  <c r="M431" i="100"/>
  <c r="M430" i="100"/>
  <c r="M429" i="100"/>
  <c r="M428" i="100"/>
  <c r="M427" i="100"/>
  <c r="M426" i="100"/>
  <c r="M425" i="100"/>
  <c r="M424" i="100"/>
  <c r="M423" i="100"/>
  <c r="M422" i="100"/>
  <c r="M421" i="100"/>
  <c r="M420" i="100"/>
  <c r="M419" i="100"/>
  <c r="M418" i="100"/>
  <c r="M417" i="100"/>
  <c r="M416" i="100"/>
  <c r="M415" i="100"/>
  <c r="M414" i="100"/>
  <c r="M413" i="100"/>
  <c r="M412" i="100"/>
  <c r="M411" i="100"/>
  <c r="M410" i="100"/>
  <c r="M409" i="100"/>
  <c r="M408" i="100"/>
  <c r="M407" i="100"/>
  <c r="M406" i="100"/>
  <c r="M405" i="100"/>
  <c r="M404" i="100"/>
  <c r="M403" i="100"/>
  <c r="M402" i="100"/>
  <c r="M401" i="100"/>
  <c r="M400" i="100"/>
  <c r="M399" i="100"/>
  <c r="M398" i="100"/>
  <c r="M397" i="100"/>
  <c r="M396" i="100"/>
  <c r="M395" i="100"/>
  <c r="M394" i="100"/>
  <c r="M393" i="100"/>
  <c r="M392" i="100"/>
  <c r="M391" i="100"/>
  <c r="M390" i="100"/>
  <c r="M389" i="100"/>
  <c r="M388" i="100"/>
  <c r="M387" i="100"/>
  <c r="M386" i="100"/>
  <c r="M385" i="100"/>
  <c r="M384" i="100"/>
  <c r="M383" i="100"/>
  <c r="M382" i="100"/>
  <c r="M381" i="100"/>
  <c r="M380" i="100"/>
  <c r="M379" i="100"/>
  <c r="M378" i="100"/>
  <c r="M377" i="100"/>
  <c r="M376" i="100"/>
  <c r="M375" i="100"/>
  <c r="M374" i="100"/>
  <c r="M373" i="100"/>
  <c r="M372" i="100"/>
  <c r="M371" i="100"/>
  <c r="M370" i="100"/>
  <c r="M369" i="100"/>
  <c r="M368" i="100"/>
  <c r="M367" i="100"/>
  <c r="M366" i="100"/>
  <c r="M365" i="100"/>
  <c r="M364" i="100"/>
  <c r="M363" i="100"/>
  <c r="M362" i="100"/>
  <c r="M361" i="100"/>
  <c r="M360" i="100"/>
  <c r="M359" i="100"/>
  <c r="M358" i="100"/>
  <c r="M357" i="100"/>
  <c r="M356" i="100"/>
  <c r="M355" i="100"/>
  <c r="M354" i="100"/>
  <c r="M353" i="100"/>
  <c r="M352" i="100"/>
  <c r="M351" i="100"/>
  <c r="M350" i="100"/>
  <c r="M349" i="100"/>
  <c r="M348" i="100"/>
  <c r="M347" i="100"/>
  <c r="M346" i="100"/>
  <c r="M345" i="100"/>
  <c r="M344" i="100"/>
  <c r="M343" i="100"/>
  <c r="M342" i="100"/>
  <c r="M341" i="100"/>
  <c r="M340" i="100"/>
  <c r="M339" i="100"/>
  <c r="M338" i="100"/>
  <c r="M337" i="100"/>
  <c r="M336" i="100"/>
  <c r="M335" i="100"/>
  <c r="M334" i="100"/>
  <c r="M333" i="100"/>
  <c r="M332" i="100"/>
  <c r="M331" i="100"/>
  <c r="M330" i="100"/>
  <c r="M329" i="100"/>
  <c r="M328" i="100"/>
  <c r="M327" i="100"/>
  <c r="M326" i="100"/>
  <c r="M325" i="100"/>
  <c r="M324" i="100"/>
  <c r="M323" i="100"/>
  <c r="M322" i="100"/>
  <c r="M321" i="100"/>
  <c r="M320" i="100"/>
  <c r="M319" i="100"/>
  <c r="M318" i="100"/>
  <c r="M317" i="100"/>
  <c r="M316" i="100"/>
  <c r="M315" i="100"/>
  <c r="M314" i="100"/>
  <c r="M313" i="100"/>
  <c r="M312" i="100"/>
  <c r="M311" i="100"/>
  <c r="M310" i="100"/>
  <c r="M309" i="100"/>
  <c r="M308" i="100"/>
  <c r="M307" i="100"/>
  <c r="M306" i="100"/>
  <c r="M305" i="100"/>
  <c r="M304" i="100"/>
  <c r="M303" i="100"/>
  <c r="M302" i="100"/>
  <c r="M301" i="100"/>
  <c r="M300" i="100"/>
  <c r="M299" i="100"/>
  <c r="M298" i="100"/>
  <c r="M297" i="100"/>
  <c r="M296" i="100"/>
  <c r="M295" i="100"/>
  <c r="M294" i="100"/>
  <c r="M293" i="100"/>
  <c r="M292" i="100"/>
  <c r="M291" i="100"/>
  <c r="M290" i="100"/>
  <c r="M289" i="100"/>
  <c r="M288" i="100"/>
  <c r="M287" i="100"/>
  <c r="M286" i="100"/>
  <c r="M285" i="100"/>
  <c r="M284" i="100"/>
  <c r="M283" i="100"/>
  <c r="M282" i="100"/>
  <c r="M281" i="100"/>
  <c r="M280" i="100"/>
  <c r="M279" i="100"/>
  <c r="M278" i="100"/>
  <c r="M277" i="100"/>
  <c r="M276" i="100"/>
  <c r="M275" i="100"/>
  <c r="M274" i="100"/>
  <c r="M273" i="100"/>
  <c r="M272" i="100"/>
  <c r="M271" i="100"/>
  <c r="M270" i="100"/>
  <c r="M269" i="100"/>
  <c r="M268" i="100"/>
  <c r="M267" i="100"/>
  <c r="M266" i="100"/>
  <c r="M265" i="100"/>
  <c r="M264" i="100"/>
  <c r="M263" i="100"/>
  <c r="M262" i="100"/>
  <c r="M261" i="100"/>
  <c r="M260" i="100"/>
  <c r="M259" i="100"/>
  <c r="M258" i="100"/>
  <c r="M257" i="100"/>
  <c r="M256" i="100"/>
  <c r="M255" i="100"/>
  <c r="M254" i="100"/>
  <c r="M253" i="100"/>
  <c r="M252" i="100"/>
  <c r="M251" i="100"/>
  <c r="M250" i="100"/>
  <c r="M249" i="100"/>
  <c r="M248" i="100"/>
  <c r="M247" i="100"/>
  <c r="M246" i="100"/>
  <c r="M245" i="100"/>
  <c r="M244" i="100"/>
  <c r="M243" i="100"/>
  <c r="M242" i="100"/>
  <c r="M241" i="100"/>
  <c r="M240" i="100"/>
  <c r="M239" i="100"/>
  <c r="M238" i="100"/>
  <c r="M237" i="100"/>
  <c r="M236" i="100"/>
  <c r="M235" i="100"/>
  <c r="M234" i="100"/>
  <c r="M233" i="100"/>
  <c r="M232" i="100"/>
  <c r="M231" i="100"/>
  <c r="M230" i="100"/>
  <c r="M229" i="100"/>
  <c r="M228" i="100"/>
  <c r="M227" i="100"/>
  <c r="M226" i="100"/>
  <c r="M225" i="100"/>
  <c r="M224" i="100"/>
  <c r="M223" i="100"/>
  <c r="M222" i="100"/>
  <c r="M221" i="100"/>
  <c r="M220" i="100"/>
  <c r="M219" i="100"/>
  <c r="M218" i="100"/>
  <c r="M217" i="100"/>
  <c r="M216" i="100"/>
  <c r="M215" i="100"/>
  <c r="M214" i="100"/>
  <c r="M213" i="100"/>
  <c r="M212" i="100"/>
  <c r="M211" i="100"/>
  <c r="M210" i="100"/>
  <c r="M209" i="100"/>
  <c r="M208" i="100"/>
  <c r="M207" i="100"/>
  <c r="M206" i="100"/>
  <c r="M205" i="100"/>
  <c r="M204" i="100"/>
  <c r="M203" i="100"/>
  <c r="M202" i="100"/>
  <c r="M201" i="100"/>
  <c r="M200" i="100"/>
  <c r="M199" i="100"/>
  <c r="M198" i="100"/>
  <c r="M197" i="100"/>
  <c r="M196" i="100"/>
  <c r="M195" i="100"/>
  <c r="M194" i="100"/>
  <c r="M193" i="100"/>
  <c r="M192" i="100"/>
  <c r="M191" i="100"/>
  <c r="M190" i="100"/>
  <c r="M189" i="100"/>
  <c r="M188" i="100"/>
  <c r="M187" i="100"/>
  <c r="M186" i="100"/>
  <c r="M185" i="100"/>
  <c r="M184" i="100"/>
  <c r="M183" i="100"/>
  <c r="M182" i="100"/>
  <c r="M181" i="100"/>
  <c r="M180" i="100"/>
  <c r="M179" i="100"/>
  <c r="M178" i="100"/>
  <c r="M177" i="100"/>
  <c r="M176" i="100"/>
  <c r="M175" i="100"/>
  <c r="M174" i="100"/>
  <c r="M173" i="100"/>
  <c r="M172" i="100"/>
  <c r="M171" i="100"/>
  <c r="M170" i="100"/>
  <c r="M169" i="100"/>
  <c r="M168" i="100"/>
  <c r="M167" i="100"/>
  <c r="M166" i="100"/>
  <c r="M165" i="100"/>
  <c r="M164" i="100"/>
  <c r="M163" i="100"/>
  <c r="M162" i="100"/>
  <c r="M161" i="100"/>
  <c r="M160" i="100"/>
  <c r="M159" i="100"/>
  <c r="M158" i="100"/>
  <c r="M157" i="100"/>
  <c r="M156" i="100"/>
  <c r="M155" i="100"/>
  <c r="M154" i="100"/>
  <c r="M153" i="100"/>
  <c r="M152" i="100"/>
  <c r="M151" i="100"/>
  <c r="M150" i="100"/>
  <c r="M149" i="100"/>
  <c r="M148" i="100"/>
  <c r="M147" i="100"/>
  <c r="M146" i="100"/>
  <c r="M145" i="100"/>
  <c r="M144" i="100"/>
  <c r="M143" i="100"/>
  <c r="M142" i="100"/>
  <c r="M141" i="100"/>
  <c r="M140" i="100"/>
  <c r="M139" i="100"/>
  <c r="M138" i="100"/>
  <c r="M137" i="100"/>
  <c r="M136" i="100"/>
  <c r="M135" i="100"/>
  <c r="M134" i="100"/>
  <c r="M133" i="100"/>
  <c r="M132" i="100"/>
  <c r="M131" i="100"/>
  <c r="M130" i="100"/>
  <c r="M129" i="100"/>
  <c r="M128" i="100"/>
  <c r="M127" i="100"/>
  <c r="M126" i="100"/>
  <c r="M125" i="100"/>
  <c r="M124" i="100"/>
  <c r="M123" i="100"/>
  <c r="M122" i="100"/>
  <c r="M121" i="100"/>
  <c r="M120" i="100"/>
  <c r="M119" i="100"/>
  <c r="M118" i="100"/>
  <c r="M117" i="100"/>
  <c r="M116" i="100"/>
  <c r="M115" i="100"/>
  <c r="M114" i="100"/>
  <c r="M113" i="100"/>
  <c r="M112" i="100"/>
  <c r="M111" i="100"/>
  <c r="M110" i="100"/>
  <c r="M109" i="100"/>
  <c r="M108" i="100"/>
  <c r="M107" i="100"/>
  <c r="M106" i="100"/>
  <c r="M105" i="100"/>
  <c r="M104" i="100"/>
  <c r="M103" i="100"/>
  <c r="M102" i="100"/>
  <c r="M101" i="100"/>
  <c r="M100" i="100"/>
  <c r="M99" i="100"/>
  <c r="M98" i="100"/>
  <c r="M97" i="100"/>
  <c r="M96" i="100"/>
  <c r="M95" i="100"/>
  <c r="M94" i="100"/>
  <c r="M93" i="100"/>
  <c r="M92" i="100"/>
  <c r="M91" i="100"/>
  <c r="M90" i="100"/>
  <c r="M89" i="100"/>
  <c r="M88" i="100"/>
  <c r="M87" i="100"/>
  <c r="M86" i="100"/>
  <c r="M85" i="100"/>
  <c r="M84" i="100"/>
  <c r="M83" i="100"/>
  <c r="M82" i="100"/>
  <c r="M81" i="100"/>
  <c r="M80" i="100"/>
  <c r="M79" i="100"/>
  <c r="M78" i="100"/>
  <c r="M77" i="100"/>
  <c r="M76" i="100"/>
  <c r="M75" i="100"/>
  <c r="M74" i="100"/>
  <c r="M73" i="100"/>
  <c r="M72" i="100"/>
  <c r="M71" i="100"/>
  <c r="M70" i="100"/>
  <c r="M69" i="100"/>
  <c r="M68" i="100"/>
  <c r="M67" i="100"/>
  <c r="M66" i="100"/>
  <c r="M65" i="100"/>
  <c r="M64" i="100"/>
  <c r="M63" i="100"/>
  <c r="M62" i="100"/>
  <c r="M61" i="100"/>
  <c r="M60" i="100"/>
  <c r="M59" i="100"/>
  <c r="M58" i="100"/>
  <c r="M57" i="100"/>
  <c r="M56" i="100"/>
  <c r="M55" i="100"/>
  <c r="M54" i="100"/>
  <c r="M53" i="100"/>
  <c r="M52" i="100"/>
  <c r="M51" i="100"/>
  <c r="M50" i="100"/>
  <c r="M49" i="100"/>
  <c r="M48" i="100"/>
  <c r="M47" i="100"/>
  <c r="M46" i="100"/>
  <c r="M45" i="100"/>
  <c r="M44" i="100"/>
  <c r="M43" i="100"/>
  <c r="M42" i="100"/>
  <c r="M41" i="100"/>
  <c r="M40" i="100"/>
  <c r="M39" i="100"/>
  <c r="M38" i="100"/>
  <c r="M37" i="100"/>
  <c r="M36" i="100"/>
  <c r="M35" i="100"/>
  <c r="M34" i="100"/>
  <c r="M33" i="100"/>
  <c r="M32" i="100"/>
  <c r="M31" i="100"/>
  <c r="M30" i="100"/>
  <c r="M29" i="100"/>
  <c r="M28" i="100"/>
  <c r="M27" i="100"/>
  <c r="M26" i="100"/>
  <c r="M25" i="100"/>
  <c r="M24" i="100"/>
  <c r="M23" i="100"/>
  <c r="M22" i="100"/>
  <c r="M21" i="100"/>
  <c r="M20" i="100"/>
  <c r="M19" i="100"/>
  <c r="M18" i="100"/>
  <c r="M17" i="100"/>
  <c r="M16" i="100"/>
  <c r="M15" i="100"/>
  <c r="M14" i="100"/>
  <c r="M13" i="100"/>
  <c r="M12" i="100"/>
  <c r="M11" i="100"/>
  <c r="M10" i="100"/>
  <c r="M9" i="100"/>
  <c r="M8" i="100"/>
  <c r="M7" i="100"/>
  <c r="M6" i="100"/>
  <c r="M5" i="100"/>
  <c r="C91" i="94"/>
  <c r="B91" i="94"/>
  <c r="M90" i="94"/>
  <c r="L90" i="94"/>
  <c r="K90" i="94"/>
  <c r="J90" i="94"/>
  <c r="I90" i="94"/>
  <c r="H90" i="94"/>
  <c r="G90" i="94"/>
  <c r="F90" i="94"/>
  <c r="C90" i="94"/>
  <c r="B90" i="94"/>
  <c r="M89" i="94"/>
  <c r="L89" i="94"/>
  <c r="K89" i="94"/>
  <c r="J89" i="94"/>
  <c r="I89" i="94"/>
  <c r="H89" i="94"/>
  <c r="G89" i="94"/>
  <c r="F89" i="94"/>
  <c r="C89" i="94"/>
  <c r="B89" i="94"/>
  <c r="M88" i="94"/>
  <c r="L88" i="94"/>
  <c r="K88" i="94"/>
  <c r="J88" i="94"/>
  <c r="I88" i="94"/>
  <c r="H88" i="94"/>
  <c r="G88" i="94"/>
  <c r="F88" i="94"/>
  <c r="C88" i="94"/>
  <c r="B88" i="94"/>
  <c r="M87" i="94"/>
  <c r="L87" i="94"/>
  <c r="K87" i="94"/>
  <c r="J87" i="94"/>
  <c r="I87" i="94"/>
  <c r="H87" i="94"/>
  <c r="G87" i="94"/>
  <c r="F87" i="94"/>
  <c r="C87" i="94"/>
  <c r="B87" i="94"/>
  <c r="C86" i="94"/>
  <c r="B86" i="94"/>
  <c r="C85" i="94"/>
  <c r="B85" i="94"/>
  <c r="C84" i="94"/>
  <c r="B84" i="94"/>
  <c r="C83" i="94"/>
  <c r="B83" i="94"/>
  <c r="M82" i="94"/>
  <c r="L82" i="94"/>
  <c r="K82" i="94"/>
  <c r="J82" i="94"/>
  <c r="I82" i="94"/>
  <c r="H82" i="94"/>
  <c r="G82" i="94"/>
  <c r="F82" i="94"/>
  <c r="C82" i="94"/>
  <c r="B82" i="94"/>
  <c r="M81" i="94"/>
  <c r="L81" i="94"/>
  <c r="K81" i="94"/>
  <c r="J81" i="94"/>
  <c r="I81" i="94"/>
  <c r="H81" i="94"/>
  <c r="G81" i="94"/>
  <c r="F81" i="94"/>
  <c r="C81" i="94"/>
  <c r="B81" i="94"/>
  <c r="M80" i="94"/>
  <c r="L80" i="94"/>
  <c r="K80" i="94"/>
  <c r="J80" i="94"/>
  <c r="I80" i="94"/>
  <c r="H80" i="94"/>
  <c r="G80" i="94"/>
  <c r="F80" i="94"/>
  <c r="C80" i="94"/>
  <c r="B80" i="94"/>
  <c r="M79" i="94"/>
  <c r="L79" i="94"/>
  <c r="K79" i="94"/>
  <c r="J79" i="94"/>
  <c r="I79" i="94"/>
  <c r="H79" i="94"/>
  <c r="G79" i="94"/>
  <c r="F79" i="94"/>
  <c r="C79" i="94"/>
  <c r="B79" i="94"/>
  <c r="C78" i="94"/>
  <c r="B78" i="94"/>
  <c r="C77" i="94"/>
  <c r="B77" i="94"/>
  <c r="C76" i="94"/>
  <c r="B76" i="94"/>
  <c r="C75" i="94"/>
  <c r="B75" i="94"/>
  <c r="M74" i="94"/>
  <c r="L74" i="94"/>
  <c r="K74" i="94"/>
  <c r="J74" i="94"/>
  <c r="I74" i="94"/>
  <c r="H74" i="94"/>
  <c r="G74" i="94"/>
  <c r="F74" i="94"/>
  <c r="C74" i="94"/>
  <c r="B74" i="94"/>
  <c r="M73" i="94"/>
  <c r="L73" i="94"/>
  <c r="K73" i="94"/>
  <c r="J73" i="94"/>
  <c r="I73" i="94"/>
  <c r="H73" i="94"/>
  <c r="G73" i="94"/>
  <c r="F73" i="94"/>
  <c r="C73" i="94"/>
  <c r="B73" i="94"/>
  <c r="M72" i="94"/>
  <c r="L72" i="94"/>
  <c r="K72" i="94"/>
  <c r="J72" i="94"/>
  <c r="I72" i="94"/>
  <c r="H72" i="94"/>
  <c r="G72" i="94"/>
  <c r="F72" i="94"/>
  <c r="C72" i="94"/>
  <c r="B72" i="94"/>
  <c r="M71" i="94"/>
  <c r="L71" i="94"/>
  <c r="K71" i="94"/>
  <c r="J71" i="94"/>
  <c r="I71" i="94"/>
  <c r="H71" i="94"/>
  <c r="G71" i="94"/>
  <c r="F71" i="94"/>
  <c r="C71" i="94"/>
  <c r="B71" i="94"/>
  <c r="C70" i="94"/>
  <c r="B70" i="94"/>
  <c r="C69" i="94"/>
  <c r="B69" i="94"/>
  <c r="C68" i="94"/>
  <c r="B68" i="94"/>
  <c r="C67" i="94"/>
  <c r="B67" i="94"/>
  <c r="M66" i="94"/>
  <c r="L66" i="94"/>
  <c r="K66" i="94"/>
  <c r="J66" i="94"/>
  <c r="I66" i="94"/>
  <c r="H66" i="94"/>
  <c r="G66" i="94"/>
  <c r="F66" i="94"/>
  <c r="C66" i="94"/>
  <c r="B66" i="94"/>
  <c r="M65" i="94"/>
  <c r="L65" i="94"/>
  <c r="K65" i="94"/>
  <c r="J65" i="94"/>
  <c r="I65" i="94"/>
  <c r="H65" i="94"/>
  <c r="G65" i="94"/>
  <c r="F65" i="94"/>
  <c r="C65" i="94"/>
  <c r="B65" i="94"/>
  <c r="M64" i="94"/>
  <c r="L64" i="94"/>
  <c r="K64" i="94"/>
  <c r="J64" i="94"/>
  <c r="I64" i="94"/>
  <c r="H64" i="94"/>
  <c r="G64" i="94"/>
  <c r="F64" i="94"/>
  <c r="C64" i="94"/>
  <c r="B64" i="94"/>
  <c r="M63" i="94"/>
  <c r="L63" i="94"/>
  <c r="K63" i="94"/>
  <c r="J63" i="94"/>
  <c r="I63" i="94"/>
  <c r="H63" i="94"/>
  <c r="G63" i="94"/>
  <c r="F63" i="94"/>
  <c r="C63" i="94"/>
  <c r="B63" i="94"/>
  <c r="C62" i="94"/>
  <c r="B62" i="94"/>
  <c r="C61" i="94"/>
  <c r="B61" i="94"/>
  <c r="C60" i="94"/>
  <c r="B60" i="94"/>
  <c r="C59" i="94"/>
  <c r="B59" i="94"/>
  <c r="M58" i="94"/>
  <c r="L58" i="94"/>
  <c r="K58" i="94"/>
  <c r="J58" i="94"/>
  <c r="I58" i="94"/>
  <c r="H58" i="94"/>
  <c r="G58" i="94"/>
  <c r="F58" i="94"/>
  <c r="C58" i="94"/>
  <c r="B58" i="94"/>
  <c r="M57" i="94"/>
  <c r="L57" i="94"/>
  <c r="K57" i="94"/>
  <c r="J57" i="94"/>
  <c r="I57" i="94"/>
  <c r="H57" i="94"/>
  <c r="G57" i="94"/>
  <c r="F57" i="94"/>
  <c r="C57" i="94"/>
  <c r="B57" i="94"/>
  <c r="M56" i="94"/>
  <c r="L56" i="94"/>
  <c r="K56" i="94"/>
  <c r="J56" i="94"/>
  <c r="I56" i="94"/>
  <c r="H56" i="94"/>
  <c r="G56" i="94"/>
  <c r="F56" i="94"/>
  <c r="C56" i="94"/>
  <c r="B56" i="94"/>
  <c r="M55" i="94"/>
  <c r="L55" i="94"/>
  <c r="K55" i="94"/>
  <c r="J55" i="94"/>
  <c r="I55" i="94"/>
  <c r="H55" i="94"/>
  <c r="G55" i="94"/>
  <c r="F55" i="94"/>
  <c r="C55" i="94"/>
  <c r="B55" i="94"/>
  <c r="C54" i="94"/>
  <c r="B54" i="94"/>
  <c r="C53" i="94"/>
  <c r="B53" i="94"/>
  <c r="C52" i="94"/>
  <c r="B52" i="94"/>
  <c r="C51" i="94"/>
  <c r="B51" i="94"/>
  <c r="M50" i="94"/>
  <c r="L50" i="94"/>
  <c r="K50" i="94"/>
  <c r="J50" i="94"/>
  <c r="I50" i="94"/>
  <c r="H50" i="94"/>
  <c r="G50" i="94"/>
  <c r="F50" i="94"/>
  <c r="C50" i="94"/>
  <c r="B50" i="94"/>
  <c r="M49" i="94"/>
  <c r="L49" i="94"/>
  <c r="K49" i="94"/>
  <c r="J49" i="94"/>
  <c r="I49" i="94"/>
  <c r="H49" i="94"/>
  <c r="G49" i="94"/>
  <c r="F49" i="94"/>
  <c r="C49" i="94"/>
  <c r="B49" i="94"/>
  <c r="M48" i="94"/>
  <c r="L48" i="94"/>
  <c r="K48" i="94"/>
  <c r="J48" i="94"/>
  <c r="I48" i="94"/>
  <c r="H48" i="94"/>
  <c r="G48" i="94"/>
  <c r="F48" i="94"/>
  <c r="C48" i="94"/>
  <c r="B48" i="94"/>
  <c r="M47" i="94"/>
  <c r="L47" i="94"/>
  <c r="K47" i="94"/>
  <c r="J47" i="94"/>
  <c r="I47" i="94"/>
  <c r="H47" i="94"/>
  <c r="G47" i="94"/>
  <c r="F47" i="94"/>
  <c r="C47" i="94"/>
  <c r="B47" i="94"/>
  <c r="C46" i="94"/>
  <c r="B46" i="94"/>
  <c r="C45" i="94"/>
  <c r="B45" i="94"/>
  <c r="C44" i="94"/>
  <c r="B44" i="94"/>
  <c r="C43" i="94"/>
  <c r="B43" i="94"/>
  <c r="M42" i="94"/>
  <c r="L42" i="94"/>
  <c r="K42" i="94"/>
  <c r="J42" i="94"/>
  <c r="I42" i="94"/>
  <c r="H42" i="94"/>
  <c r="G42" i="94"/>
  <c r="F42" i="94"/>
  <c r="C42" i="94"/>
  <c r="B42" i="94"/>
  <c r="M41" i="94"/>
  <c r="L41" i="94"/>
  <c r="K41" i="94"/>
  <c r="J41" i="94"/>
  <c r="I41" i="94"/>
  <c r="H41" i="94"/>
  <c r="G41" i="94"/>
  <c r="F41" i="94"/>
  <c r="C41" i="94"/>
  <c r="B41" i="94"/>
  <c r="M40" i="94"/>
  <c r="L40" i="94"/>
  <c r="K40" i="94"/>
  <c r="J40" i="94"/>
  <c r="I40" i="94"/>
  <c r="H40" i="94"/>
  <c r="G40" i="94"/>
  <c r="F40" i="94"/>
  <c r="C40" i="94"/>
  <c r="B40" i="94"/>
  <c r="M39" i="94"/>
  <c r="L39" i="94"/>
  <c r="K39" i="94"/>
  <c r="J39" i="94"/>
  <c r="I39" i="94"/>
  <c r="H39" i="94"/>
  <c r="G39" i="94"/>
  <c r="F39" i="94"/>
  <c r="C39" i="94"/>
  <c r="B39" i="94"/>
  <c r="C38" i="94"/>
  <c r="B38" i="94"/>
  <c r="C37" i="94"/>
  <c r="B37" i="94"/>
  <c r="C36" i="94"/>
  <c r="B36" i="94"/>
  <c r="C35" i="94"/>
  <c r="B35" i="94"/>
  <c r="M34" i="94"/>
  <c r="L34" i="94"/>
  <c r="K34" i="94"/>
  <c r="J34" i="94"/>
  <c r="I34" i="94"/>
  <c r="H34" i="94"/>
  <c r="G34" i="94"/>
  <c r="F34" i="94"/>
  <c r="C34" i="94"/>
  <c r="B34" i="94"/>
  <c r="M33" i="94"/>
  <c r="L33" i="94"/>
  <c r="K33" i="94"/>
  <c r="J33" i="94"/>
  <c r="I33" i="94"/>
  <c r="H33" i="94"/>
  <c r="G33" i="94"/>
  <c r="F33" i="94"/>
  <c r="C33" i="94"/>
  <c r="B33" i="94"/>
  <c r="M32" i="94"/>
  <c r="L32" i="94"/>
  <c r="K32" i="94"/>
  <c r="J32" i="94"/>
  <c r="I32" i="94"/>
  <c r="H32" i="94"/>
  <c r="G32" i="94"/>
  <c r="F32" i="94"/>
  <c r="C32" i="94"/>
  <c r="B32" i="94"/>
  <c r="M31" i="94"/>
  <c r="L31" i="94"/>
  <c r="K31" i="94"/>
  <c r="J31" i="94"/>
  <c r="I31" i="94"/>
  <c r="H31" i="94"/>
  <c r="G31" i="94"/>
  <c r="F31" i="94"/>
  <c r="C31" i="94"/>
  <c r="B31" i="94"/>
  <c r="C30" i="94"/>
  <c r="B30" i="94"/>
  <c r="C29" i="94"/>
  <c r="B29" i="94"/>
  <c r="C28" i="94"/>
  <c r="B28" i="94"/>
  <c r="C27" i="94"/>
  <c r="B27" i="94"/>
  <c r="M26" i="94"/>
  <c r="L26" i="94"/>
  <c r="K26" i="94"/>
  <c r="J26" i="94"/>
  <c r="I26" i="94"/>
  <c r="H26" i="94"/>
  <c r="G26" i="94"/>
  <c r="F26" i="94"/>
  <c r="C26" i="94"/>
  <c r="B26" i="94"/>
  <c r="M25" i="94"/>
  <c r="L25" i="94"/>
  <c r="K25" i="94"/>
  <c r="J25" i="94"/>
  <c r="I25" i="94"/>
  <c r="H25" i="94"/>
  <c r="G25" i="94"/>
  <c r="F25" i="94"/>
  <c r="C25" i="94"/>
  <c r="B25" i="94"/>
  <c r="M24" i="94"/>
  <c r="L24" i="94"/>
  <c r="K24" i="94"/>
  <c r="J24" i="94"/>
  <c r="I24" i="94"/>
  <c r="H24" i="94"/>
  <c r="G24" i="94"/>
  <c r="F24" i="94"/>
  <c r="C24" i="94"/>
  <c r="B24" i="94"/>
  <c r="M23" i="94"/>
  <c r="L23" i="94"/>
  <c r="K23" i="94"/>
  <c r="J23" i="94"/>
  <c r="I23" i="94"/>
  <c r="H23" i="94"/>
  <c r="G23" i="94"/>
  <c r="F23" i="94"/>
  <c r="C23" i="94"/>
  <c r="B23" i="94"/>
  <c r="C22" i="94"/>
  <c r="B22" i="94"/>
  <c r="C21" i="94"/>
  <c r="B21" i="94"/>
  <c r="C20" i="94"/>
  <c r="B20" i="94"/>
  <c r="C19" i="94"/>
  <c r="B19" i="94"/>
  <c r="M18" i="94"/>
  <c r="L18" i="94"/>
  <c r="K18" i="94"/>
  <c r="J18" i="94"/>
  <c r="I18" i="94"/>
  <c r="H18" i="94"/>
  <c r="G18" i="94"/>
  <c r="F18" i="94"/>
  <c r="C18" i="94"/>
  <c r="B18" i="94"/>
  <c r="M17" i="94"/>
  <c r="L17" i="94"/>
  <c r="K17" i="94"/>
  <c r="J17" i="94"/>
  <c r="I17" i="94"/>
  <c r="H17" i="94"/>
  <c r="G17" i="94"/>
  <c r="F17" i="94"/>
  <c r="C17" i="94"/>
  <c r="B17" i="94"/>
  <c r="M16" i="94"/>
  <c r="L16" i="94"/>
  <c r="K16" i="94"/>
  <c r="J16" i="94"/>
  <c r="I16" i="94"/>
  <c r="H16" i="94"/>
  <c r="G16" i="94"/>
  <c r="F16" i="94"/>
  <c r="C16" i="94"/>
  <c r="B16" i="94"/>
  <c r="M15" i="94"/>
  <c r="L15" i="94"/>
  <c r="K15" i="94"/>
  <c r="J15" i="94"/>
  <c r="I15" i="94"/>
  <c r="H15" i="94"/>
  <c r="G15" i="94"/>
  <c r="F15" i="94"/>
  <c r="C15" i="94"/>
  <c r="B15" i="94"/>
  <c r="C14" i="94"/>
  <c r="B14" i="94"/>
  <c r="C13" i="94"/>
  <c r="B13" i="94"/>
  <c r="C12" i="94"/>
  <c r="B12" i="94"/>
  <c r="C11" i="94"/>
  <c r="B11" i="94"/>
  <c r="M10" i="94"/>
  <c r="L10" i="94"/>
  <c r="K10" i="94"/>
  <c r="J10" i="94"/>
  <c r="I10" i="94"/>
  <c r="H10" i="94"/>
  <c r="G10" i="94"/>
  <c r="F10" i="94"/>
  <c r="C10" i="94"/>
  <c r="B10" i="94"/>
  <c r="M9" i="94"/>
  <c r="L9" i="94"/>
  <c r="K9" i="94"/>
  <c r="J9" i="94"/>
  <c r="I9" i="94"/>
  <c r="H9" i="94"/>
  <c r="G9" i="94"/>
  <c r="F9" i="94"/>
  <c r="C9" i="94"/>
  <c r="B9" i="94"/>
  <c r="M8" i="94"/>
  <c r="L8" i="94"/>
  <c r="K8" i="94"/>
  <c r="J8" i="94"/>
  <c r="I8" i="94"/>
  <c r="H8" i="94"/>
  <c r="G8" i="94"/>
  <c r="F8" i="94"/>
  <c r="C8" i="94"/>
  <c r="B8" i="94"/>
  <c r="M7" i="94"/>
  <c r="L7" i="94"/>
  <c r="K7" i="94"/>
  <c r="J7" i="94"/>
  <c r="I7" i="94"/>
  <c r="H7" i="94"/>
  <c r="G7" i="94"/>
  <c r="F7" i="94"/>
  <c r="C7" i="94"/>
  <c r="B7" i="94"/>
  <c r="B6" i="94"/>
  <c r="B5" i="94"/>
  <c r="B4" i="94"/>
  <c r="L50" i="88"/>
  <c r="L49" i="88"/>
  <c r="L48" i="88"/>
  <c r="L47" i="88"/>
  <c r="L46" i="88"/>
  <c r="L45" i="88"/>
  <c r="L44" i="88"/>
  <c r="L43" i="88"/>
  <c r="L42" i="88"/>
  <c r="L41" i="88"/>
  <c r="L40" i="88"/>
  <c r="O39" i="88"/>
  <c r="B39" i="88"/>
  <c r="B18" i="88"/>
  <c r="O35" i="88" s="1"/>
  <c r="B17" i="88"/>
  <c r="O49" i="88" s="1"/>
  <c r="B16" i="88"/>
  <c r="O33" i="88" s="1"/>
  <c r="B15" i="88"/>
  <c r="O47" i="88" s="1"/>
  <c r="B14" i="88"/>
  <c r="B13" i="88"/>
  <c r="O13" i="88" s="1"/>
  <c r="B12" i="88"/>
  <c r="B11" i="88"/>
  <c r="B28" i="88" s="1"/>
  <c r="B10" i="88"/>
  <c r="B9" i="88"/>
  <c r="O26" i="88" s="1"/>
  <c r="B8" i="88"/>
  <c r="O8" i="88" s="1"/>
  <c r="B7" i="88"/>
  <c r="O24" i="88" s="1"/>
  <c r="A1" i="88"/>
  <c r="E27" i="38"/>
  <c r="D27" i="38"/>
  <c r="A1" i="38"/>
  <c r="F28" i="80"/>
  <c r="F20" i="80"/>
  <c r="F13" i="80"/>
  <c r="A15" i="40"/>
  <c r="A14" i="40"/>
  <c r="A13" i="40"/>
  <c r="A12" i="40"/>
  <c r="A11" i="40"/>
  <c r="A10" i="40"/>
  <c r="A9" i="40"/>
  <c r="A8" i="40"/>
  <c r="A6" i="40"/>
  <c r="Y5" i="40"/>
  <c r="A5" i="40"/>
  <c r="A1" i="40"/>
  <c r="I6" i="41"/>
  <c r="H16" i="38" s="1"/>
  <c r="A1" i="41"/>
  <c r="B17" i="77" a="1"/>
  <c r="B17" i="77" s="1"/>
  <c r="C16" i="41" s="1"/>
  <c r="B16" i="77" a="1"/>
  <c r="B16" i="77" s="1"/>
  <c r="B15" i="77" a="1"/>
  <c r="B15" i="77" s="1"/>
  <c r="C14" i="41" s="1"/>
  <c r="B14" i="77" a="1"/>
  <c r="B14" i="77" s="1"/>
  <c r="B13" i="77" a="1"/>
  <c r="B13" i="77" s="1"/>
  <c r="B12" i="77" a="1"/>
  <c r="B12" i="77" s="1"/>
  <c r="B11" i="77" a="1"/>
  <c r="B11" i="77" s="1"/>
  <c r="C10" i="41" s="1"/>
  <c r="B10" i="77" a="1"/>
  <c r="B10" i="77" s="1"/>
  <c r="C9" i="41" s="1"/>
  <c r="B9" i="77" a="1"/>
  <c r="B9" i="77" s="1"/>
  <c r="B8" i="77" a="1"/>
  <c r="B8" i="77" s="1"/>
  <c r="C7" i="41" s="1"/>
  <c r="B7" i="77" a="1"/>
  <c r="B7" i="77" s="1"/>
  <c r="A1" i="91"/>
  <c r="L4" i="90"/>
  <c r="K4" i="90"/>
  <c r="J4" i="90"/>
  <c r="I4" i="90"/>
  <c r="H4" i="90"/>
  <c r="G4" i="90"/>
  <c r="F4" i="90"/>
  <c r="E4" i="90"/>
  <c r="D4" i="90"/>
  <c r="C4" i="90"/>
  <c r="A1" i="90"/>
  <c r="A1" i="89"/>
  <c r="L128" i="79"/>
  <c r="K128" i="79"/>
  <c r="J128" i="79"/>
  <c r="I128" i="79"/>
  <c r="H128" i="79"/>
  <c r="G128" i="79"/>
  <c r="F128" i="79"/>
  <c r="E128" i="79"/>
  <c r="E125" i="89" s="1"/>
  <c r="E125" i="90" s="1"/>
  <c r="E125" i="91" s="1"/>
  <c r="D128" i="79"/>
  <c r="D125" i="89" s="1"/>
  <c r="D125" i="90" s="1"/>
  <c r="D125" i="91" s="1"/>
  <c r="C128" i="79"/>
  <c r="C125" i="89" s="1"/>
  <c r="C125" i="90" s="1"/>
  <c r="C125" i="91" s="1"/>
  <c r="B128" i="79"/>
  <c r="A128" i="79"/>
  <c r="A125" i="89" s="1"/>
  <c r="A125" i="90" s="1"/>
  <c r="A125" i="91" s="1"/>
  <c r="L127" i="79"/>
  <c r="K127" i="79"/>
  <c r="J127" i="79"/>
  <c r="I127" i="79"/>
  <c r="H127" i="79"/>
  <c r="G127" i="79"/>
  <c r="F127" i="79"/>
  <c r="E127" i="79"/>
  <c r="E124" i="89" s="1"/>
  <c r="E124" i="90" s="1"/>
  <c r="E124" i="91" s="1"/>
  <c r="D127" i="79"/>
  <c r="D124" i="89" s="1"/>
  <c r="D124" i="90" s="1"/>
  <c r="D124" i="91" s="1"/>
  <c r="C127" i="79"/>
  <c r="C124" i="89" s="1"/>
  <c r="C124" i="90" s="1"/>
  <c r="C124" i="91" s="1"/>
  <c r="B127" i="79"/>
  <c r="B124" i="89" s="1"/>
  <c r="B124" i="90" s="1"/>
  <c r="B124" i="91" s="1"/>
  <c r="A127" i="79"/>
  <c r="A124" i="89" s="1"/>
  <c r="A124" i="90" s="1"/>
  <c r="A124" i="91" s="1"/>
  <c r="L126" i="79"/>
  <c r="K126" i="79"/>
  <c r="J126" i="79"/>
  <c r="I126" i="79"/>
  <c r="H126" i="79"/>
  <c r="G126" i="79"/>
  <c r="F126" i="79"/>
  <c r="E126" i="79"/>
  <c r="E123" i="89" s="1"/>
  <c r="E123" i="90" s="1"/>
  <c r="E123" i="91" s="1"/>
  <c r="D126" i="79"/>
  <c r="D123" i="89" s="1"/>
  <c r="D123" i="90" s="1"/>
  <c r="D123" i="91" s="1"/>
  <c r="C126" i="79"/>
  <c r="C123" i="89" s="1"/>
  <c r="C123" i="90" s="1"/>
  <c r="C123" i="91" s="1"/>
  <c r="B126" i="79"/>
  <c r="B123" i="89" s="1"/>
  <c r="B123" i="90" s="1"/>
  <c r="B123" i="91" s="1"/>
  <c r="A126" i="79"/>
  <c r="A123" i="89" s="1"/>
  <c r="A123" i="90" s="1"/>
  <c r="A123" i="91" s="1"/>
  <c r="L125" i="79"/>
  <c r="K125" i="79"/>
  <c r="J125" i="79"/>
  <c r="I125" i="79"/>
  <c r="H125" i="79"/>
  <c r="G125" i="79"/>
  <c r="F125" i="79"/>
  <c r="E125" i="79"/>
  <c r="E122" i="89" s="1"/>
  <c r="E122" i="90" s="1"/>
  <c r="E122" i="91" s="1"/>
  <c r="D125" i="79"/>
  <c r="D122" i="89" s="1"/>
  <c r="D122" i="90" s="1"/>
  <c r="D122" i="91" s="1"/>
  <c r="C125" i="79"/>
  <c r="C122" i="89" s="1"/>
  <c r="C122" i="90" s="1"/>
  <c r="C122" i="91" s="1"/>
  <c r="B125" i="79"/>
  <c r="B122" i="89" s="1"/>
  <c r="B122" i="90" s="1"/>
  <c r="B122" i="91" s="1"/>
  <c r="A125" i="79"/>
  <c r="A122" i="89" s="1"/>
  <c r="A122" i="90" s="1"/>
  <c r="A122" i="91" s="1"/>
  <c r="L124" i="79"/>
  <c r="K124" i="79"/>
  <c r="J124" i="79"/>
  <c r="I124" i="79"/>
  <c r="H124" i="79"/>
  <c r="G124" i="79"/>
  <c r="F124" i="79"/>
  <c r="E124" i="79"/>
  <c r="E121" i="89" s="1"/>
  <c r="E121" i="90" s="1"/>
  <c r="E121" i="91" s="1"/>
  <c r="D124" i="79"/>
  <c r="D121" i="89" s="1"/>
  <c r="D121" i="90" s="1"/>
  <c r="D121" i="91" s="1"/>
  <c r="C124" i="79"/>
  <c r="C121" i="89" s="1"/>
  <c r="C121" i="90" s="1"/>
  <c r="C121" i="91" s="1"/>
  <c r="B124" i="79"/>
  <c r="A124" i="79"/>
  <c r="A121" i="89" s="1"/>
  <c r="A121" i="90" s="1"/>
  <c r="A121" i="91" s="1"/>
  <c r="L123" i="79"/>
  <c r="K123" i="79"/>
  <c r="J123" i="79"/>
  <c r="I123" i="79"/>
  <c r="H123" i="79"/>
  <c r="G123" i="79"/>
  <c r="F123" i="79"/>
  <c r="E123" i="79"/>
  <c r="E120" i="89" s="1"/>
  <c r="E120" i="90" s="1"/>
  <c r="E120" i="91" s="1"/>
  <c r="D123" i="79"/>
  <c r="D120" i="89" s="1"/>
  <c r="D120" i="90" s="1"/>
  <c r="D120" i="91" s="1"/>
  <c r="C123" i="79"/>
  <c r="C120" i="89" s="1"/>
  <c r="C120" i="90" s="1"/>
  <c r="C120" i="91" s="1"/>
  <c r="B123" i="79"/>
  <c r="B120" i="89" s="1"/>
  <c r="B120" i="90" s="1"/>
  <c r="B120" i="91" s="1"/>
  <c r="A123" i="79"/>
  <c r="A120" i="89" s="1"/>
  <c r="A120" i="90" s="1"/>
  <c r="A120" i="91" s="1"/>
  <c r="L122" i="79"/>
  <c r="K122" i="79"/>
  <c r="J122" i="79"/>
  <c r="I122" i="79"/>
  <c r="H122" i="79"/>
  <c r="G122" i="79"/>
  <c r="F122" i="79"/>
  <c r="E122" i="79"/>
  <c r="E119" i="89" s="1"/>
  <c r="E119" i="90" s="1"/>
  <c r="E119" i="91" s="1"/>
  <c r="D122" i="79"/>
  <c r="D119" i="89" s="1"/>
  <c r="D119" i="90" s="1"/>
  <c r="D119" i="91" s="1"/>
  <c r="C122" i="79"/>
  <c r="C119" i="89" s="1"/>
  <c r="C119" i="90" s="1"/>
  <c r="C119" i="91" s="1"/>
  <c r="B122" i="79"/>
  <c r="B119" i="89" s="1"/>
  <c r="B119" i="90" s="1"/>
  <c r="B119" i="91" s="1"/>
  <c r="A122" i="79"/>
  <c r="A119" i="89" s="1"/>
  <c r="A119" i="90" s="1"/>
  <c r="A119" i="91" s="1"/>
  <c r="L121" i="79"/>
  <c r="K121" i="79"/>
  <c r="J121" i="79"/>
  <c r="I121" i="79"/>
  <c r="H121" i="79"/>
  <c r="G121" i="79"/>
  <c r="F121" i="79"/>
  <c r="E121" i="79"/>
  <c r="E118" i="89" s="1"/>
  <c r="E118" i="90" s="1"/>
  <c r="E118" i="91" s="1"/>
  <c r="D121" i="79"/>
  <c r="D118" i="89" s="1"/>
  <c r="D118" i="90" s="1"/>
  <c r="D118" i="91" s="1"/>
  <c r="C121" i="79"/>
  <c r="C118" i="89" s="1"/>
  <c r="C118" i="90" s="1"/>
  <c r="C118" i="91" s="1"/>
  <c r="B121" i="79"/>
  <c r="B118" i="89" s="1"/>
  <c r="B118" i="90" s="1"/>
  <c r="B118" i="91" s="1"/>
  <c r="A121" i="79"/>
  <c r="A118" i="89" s="1"/>
  <c r="A118" i="90" s="1"/>
  <c r="A118" i="91" s="1"/>
  <c r="L120" i="79"/>
  <c r="K120" i="79"/>
  <c r="J120" i="79"/>
  <c r="I120" i="79"/>
  <c r="H120" i="79"/>
  <c r="G120" i="79"/>
  <c r="F120" i="79"/>
  <c r="E120" i="79"/>
  <c r="E117" i="89" s="1"/>
  <c r="E117" i="90" s="1"/>
  <c r="E117" i="91" s="1"/>
  <c r="D120" i="79"/>
  <c r="D117" i="89" s="1"/>
  <c r="D117" i="90" s="1"/>
  <c r="D117" i="91" s="1"/>
  <c r="C120" i="79"/>
  <c r="C117" i="89" s="1"/>
  <c r="C117" i="90" s="1"/>
  <c r="C117" i="91" s="1"/>
  <c r="B120" i="79"/>
  <c r="B117" i="89" s="1"/>
  <c r="B117" i="90" s="1"/>
  <c r="B117" i="91" s="1"/>
  <c r="A120" i="79"/>
  <c r="A117" i="89" s="1"/>
  <c r="A117" i="90" s="1"/>
  <c r="A117" i="91" s="1"/>
  <c r="L119" i="79"/>
  <c r="K119" i="79"/>
  <c r="J119" i="79"/>
  <c r="I119" i="79"/>
  <c r="H119" i="79"/>
  <c r="G119" i="79"/>
  <c r="F119" i="79"/>
  <c r="E119" i="79"/>
  <c r="E116" i="89" s="1"/>
  <c r="E116" i="90" s="1"/>
  <c r="E116" i="91" s="1"/>
  <c r="D119" i="79"/>
  <c r="D116" i="89" s="1"/>
  <c r="D116" i="90" s="1"/>
  <c r="D116" i="91" s="1"/>
  <c r="C119" i="79"/>
  <c r="C116" i="89" s="1"/>
  <c r="C116" i="90" s="1"/>
  <c r="C116" i="91" s="1"/>
  <c r="B119" i="79"/>
  <c r="A119" i="79"/>
  <c r="A116" i="89" s="1"/>
  <c r="A116" i="90" s="1"/>
  <c r="A116" i="91" s="1"/>
  <c r="L118" i="79"/>
  <c r="K118" i="79"/>
  <c r="J118" i="79"/>
  <c r="I118" i="79"/>
  <c r="H118" i="79"/>
  <c r="G118" i="79"/>
  <c r="F118" i="79"/>
  <c r="E118" i="79"/>
  <c r="E115" i="89" s="1"/>
  <c r="E115" i="90" s="1"/>
  <c r="E115" i="91" s="1"/>
  <c r="D118" i="79"/>
  <c r="D115" i="89" s="1"/>
  <c r="D115" i="90" s="1"/>
  <c r="D115" i="91" s="1"/>
  <c r="C118" i="79"/>
  <c r="C115" i="89" s="1"/>
  <c r="C115" i="90" s="1"/>
  <c r="C115" i="91" s="1"/>
  <c r="B118" i="79"/>
  <c r="B115" i="89" s="1"/>
  <c r="B115" i="90" s="1"/>
  <c r="B115" i="91" s="1"/>
  <c r="A118" i="79"/>
  <c r="A115" i="89" s="1"/>
  <c r="A115" i="90" s="1"/>
  <c r="A115" i="91" s="1"/>
  <c r="L117" i="79"/>
  <c r="K117" i="79"/>
  <c r="J117" i="79"/>
  <c r="I117" i="79"/>
  <c r="H117" i="79"/>
  <c r="G117" i="79"/>
  <c r="F117" i="79"/>
  <c r="E117" i="79"/>
  <c r="E114" i="89" s="1"/>
  <c r="E114" i="90" s="1"/>
  <c r="E114" i="91" s="1"/>
  <c r="D117" i="79"/>
  <c r="D114" i="89" s="1"/>
  <c r="D114" i="90" s="1"/>
  <c r="D114" i="91" s="1"/>
  <c r="C117" i="79"/>
  <c r="C114" i="89" s="1"/>
  <c r="C114" i="90" s="1"/>
  <c r="C114" i="91" s="1"/>
  <c r="B117" i="79"/>
  <c r="M117" i="79" s="1"/>
  <c r="A117" i="79"/>
  <c r="A114" i="89" s="1"/>
  <c r="A114" i="90" s="1"/>
  <c r="A114" i="91" s="1"/>
  <c r="L116" i="79"/>
  <c r="K116" i="79"/>
  <c r="J116" i="79"/>
  <c r="I116" i="79"/>
  <c r="H116" i="79"/>
  <c r="G116" i="79"/>
  <c r="F116" i="79"/>
  <c r="E116" i="79"/>
  <c r="E113" i="89" s="1"/>
  <c r="E113" i="90" s="1"/>
  <c r="E113" i="91" s="1"/>
  <c r="D116" i="79"/>
  <c r="D113" i="89" s="1"/>
  <c r="D113" i="90" s="1"/>
  <c r="D113" i="91" s="1"/>
  <c r="C116" i="79"/>
  <c r="C113" i="89" s="1"/>
  <c r="C113" i="90" s="1"/>
  <c r="C113" i="91" s="1"/>
  <c r="B116" i="79"/>
  <c r="B113" i="89" s="1"/>
  <c r="B113" i="90" s="1"/>
  <c r="B113" i="91" s="1"/>
  <c r="A116" i="79"/>
  <c r="A113" i="89" s="1"/>
  <c r="A113" i="90" s="1"/>
  <c r="A113" i="91" s="1"/>
  <c r="L115" i="79"/>
  <c r="K115" i="79"/>
  <c r="J115" i="79"/>
  <c r="I115" i="79"/>
  <c r="H115" i="79"/>
  <c r="G115" i="79"/>
  <c r="F115" i="79"/>
  <c r="E115" i="79"/>
  <c r="E112" i="89" s="1"/>
  <c r="E112" i="90" s="1"/>
  <c r="E112" i="91" s="1"/>
  <c r="D115" i="79"/>
  <c r="D112" i="89" s="1"/>
  <c r="D112" i="90" s="1"/>
  <c r="D112" i="91" s="1"/>
  <c r="C115" i="79"/>
  <c r="C112" i="89" s="1"/>
  <c r="C112" i="90" s="1"/>
  <c r="C112" i="91" s="1"/>
  <c r="B115" i="79"/>
  <c r="B112" i="89" s="1"/>
  <c r="B112" i="90" s="1"/>
  <c r="B112" i="91" s="1"/>
  <c r="A115" i="79"/>
  <c r="A112" i="89" s="1"/>
  <c r="A112" i="90" s="1"/>
  <c r="A112" i="91" s="1"/>
  <c r="L114" i="79"/>
  <c r="K114" i="79"/>
  <c r="J114" i="79"/>
  <c r="I114" i="79"/>
  <c r="H114" i="79"/>
  <c r="G114" i="79"/>
  <c r="F114" i="79"/>
  <c r="E114" i="79"/>
  <c r="E111" i="89" s="1"/>
  <c r="E111" i="90" s="1"/>
  <c r="E111" i="91" s="1"/>
  <c r="D114" i="79"/>
  <c r="D111" i="89" s="1"/>
  <c r="D111" i="90" s="1"/>
  <c r="D111" i="91" s="1"/>
  <c r="C114" i="79"/>
  <c r="C111" i="89" s="1"/>
  <c r="C111" i="90" s="1"/>
  <c r="C111" i="91" s="1"/>
  <c r="B114" i="79"/>
  <c r="A114" i="79"/>
  <c r="A111" i="89" s="1"/>
  <c r="A111" i="90" s="1"/>
  <c r="A111" i="91" s="1"/>
  <c r="L113" i="79"/>
  <c r="K113" i="79"/>
  <c r="J113" i="79"/>
  <c r="I113" i="79"/>
  <c r="H113" i="79"/>
  <c r="G113" i="79"/>
  <c r="F113" i="79"/>
  <c r="E113" i="79"/>
  <c r="E110" i="89" s="1"/>
  <c r="E110" i="90" s="1"/>
  <c r="E110" i="91" s="1"/>
  <c r="D113" i="79"/>
  <c r="D110" i="89" s="1"/>
  <c r="D110" i="90" s="1"/>
  <c r="D110" i="91" s="1"/>
  <c r="C113" i="79"/>
  <c r="C110" i="89" s="1"/>
  <c r="C110" i="90" s="1"/>
  <c r="C110" i="91" s="1"/>
  <c r="B113" i="79"/>
  <c r="B110" i="89" s="1"/>
  <c r="B110" i="90" s="1"/>
  <c r="B110" i="91" s="1"/>
  <c r="A113" i="79"/>
  <c r="A110" i="89" s="1"/>
  <c r="A110" i="90" s="1"/>
  <c r="A110" i="91" s="1"/>
  <c r="L112" i="79"/>
  <c r="K112" i="79"/>
  <c r="J112" i="79"/>
  <c r="I112" i="79"/>
  <c r="H112" i="79"/>
  <c r="G112" i="79"/>
  <c r="F112" i="79"/>
  <c r="E112" i="79"/>
  <c r="E109" i="89" s="1"/>
  <c r="E109" i="90" s="1"/>
  <c r="E109" i="91" s="1"/>
  <c r="D112" i="79"/>
  <c r="D109" i="89" s="1"/>
  <c r="D109" i="90" s="1"/>
  <c r="D109" i="91" s="1"/>
  <c r="C112" i="79"/>
  <c r="C109" i="89" s="1"/>
  <c r="C109" i="90" s="1"/>
  <c r="C109" i="91" s="1"/>
  <c r="B112" i="79"/>
  <c r="B109" i="89" s="1"/>
  <c r="B109" i="90" s="1"/>
  <c r="B109" i="91" s="1"/>
  <c r="A112" i="79"/>
  <c r="A109" i="89" s="1"/>
  <c r="A109" i="90" s="1"/>
  <c r="A109" i="91" s="1"/>
  <c r="L111" i="79"/>
  <c r="K111" i="79"/>
  <c r="J111" i="79"/>
  <c r="I111" i="79"/>
  <c r="H111" i="79"/>
  <c r="G111" i="79"/>
  <c r="F111" i="79"/>
  <c r="E111" i="79"/>
  <c r="E108" i="89" s="1"/>
  <c r="E108" i="90" s="1"/>
  <c r="E108" i="91" s="1"/>
  <c r="D111" i="79"/>
  <c r="D108" i="89" s="1"/>
  <c r="D108" i="90" s="1"/>
  <c r="D108" i="91" s="1"/>
  <c r="C111" i="79"/>
  <c r="C108" i="89" s="1"/>
  <c r="C108" i="90" s="1"/>
  <c r="C108" i="91" s="1"/>
  <c r="B111" i="79"/>
  <c r="B108" i="89" s="1"/>
  <c r="B108" i="90" s="1"/>
  <c r="B108" i="91" s="1"/>
  <c r="A111" i="79"/>
  <c r="A108" i="89" s="1"/>
  <c r="A108" i="90" s="1"/>
  <c r="A108" i="91" s="1"/>
  <c r="L110" i="79"/>
  <c r="K110" i="79"/>
  <c r="J110" i="79"/>
  <c r="I110" i="79"/>
  <c r="H110" i="79"/>
  <c r="G110" i="79"/>
  <c r="F110" i="79"/>
  <c r="E110" i="79"/>
  <c r="E107" i="89" s="1"/>
  <c r="E107" i="90" s="1"/>
  <c r="E107" i="91" s="1"/>
  <c r="D110" i="79"/>
  <c r="D107" i="89" s="1"/>
  <c r="D107" i="90" s="1"/>
  <c r="D107" i="91" s="1"/>
  <c r="C110" i="79"/>
  <c r="C107" i="89" s="1"/>
  <c r="C107" i="90" s="1"/>
  <c r="C107" i="91" s="1"/>
  <c r="B110" i="79"/>
  <c r="A110" i="79"/>
  <c r="A107" i="89" s="1"/>
  <c r="A107" i="90" s="1"/>
  <c r="A107" i="91" s="1"/>
  <c r="L109" i="79"/>
  <c r="K109" i="79"/>
  <c r="J109" i="79"/>
  <c r="I109" i="79"/>
  <c r="H109" i="79"/>
  <c r="G109" i="79"/>
  <c r="F109" i="79"/>
  <c r="E109" i="79"/>
  <c r="E106" i="89" s="1"/>
  <c r="E106" i="90" s="1"/>
  <c r="E106" i="91" s="1"/>
  <c r="D109" i="79"/>
  <c r="D106" i="89" s="1"/>
  <c r="D106" i="90" s="1"/>
  <c r="D106" i="91" s="1"/>
  <c r="C109" i="79"/>
  <c r="C106" i="89" s="1"/>
  <c r="C106" i="90" s="1"/>
  <c r="C106" i="91" s="1"/>
  <c r="B109" i="79"/>
  <c r="A109" i="79"/>
  <c r="A106" i="89" s="1"/>
  <c r="A106" i="90" s="1"/>
  <c r="A106" i="91" s="1"/>
  <c r="L108" i="79"/>
  <c r="K108" i="79"/>
  <c r="J108" i="79"/>
  <c r="I108" i="79"/>
  <c r="H108" i="79"/>
  <c r="G108" i="79"/>
  <c r="F108" i="79"/>
  <c r="E108" i="79"/>
  <c r="E105" i="89" s="1"/>
  <c r="E105" i="90" s="1"/>
  <c r="E105" i="91" s="1"/>
  <c r="D108" i="79"/>
  <c r="D105" i="89" s="1"/>
  <c r="D105" i="90" s="1"/>
  <c r="D105" i="91" s="1"/>
  <c r="C108" i="79"/>
  <c r="C105" i="89" s="1"/>
  <c r="C105" i="90" s="1"/>
  <c r="C105" i="91" s="1"/>
  <c r="B108" i="79"/>
  <c r="B105" i="89" s="1"/>
  <c r="B105" i="90" s="1"/>
  <c r="B105" i="91" s="1"/>
  <c r="A108" i="79"/>
  <c r="A105" i="89" s="1"/>
  <c r="A105" i="90" s="1"/>
  <c r="A105" i="91" s="1"/>
  <c r="L107" i="79"/>
  <c r="K107" i="79"/>
  <c r="J107" i="79"/>
  <c r="I107" i="79"/>
  <c r="H107" i="79"/>
  <c r="G107" i="79"/>
  <c r="F107" i="79"/>
  <c r="E107" i="79"/>
  <c r="E104" i="89" s="1"/>
  <c r="E104" i="90" s="1"/>
  <c r="E104" i="91" s="1"/>
  <c r="D107" i="79"/>
  <c r="D104" i="89" s="1"/>
  <c r="D104" i="90" s="1"/>
  <c r="D104" i="91" s="1"/>
  <c r="C107" i="79"/>
  <c r="C104" i="89" s="1"/>
  <c r="C104" i="90" s="1"/>
  <c r="C104" i="91" s="1"/>
  <c r="B107" i="79"/>
  <c r="B104" i="89" s="1"/>
  <c r="B104" i="90" s="1"/>
  <c r="B104" i="91" s="1"/>
  <c r="A107" i="79"/>
  <c r="A104" i="89" s="1"/>
  <c r="A104" i="90" s="1"/>
  <c r="A104" i="91" s="1"/>
  <c r="L106" i="79"/>
  <c r="K106" i="79"/>
  <c r="J106" i="79"/>
  <c r="I106" i="79"/>
  <c r="H106" i="79"/>
  <c r="G106" i="79"/>
  <c r="F106" i="79"/>
  <c r="E106" i="79"/>
  <c r="E103" i="89" s="1"/>
  <c r="E103" i="90" s="1"/>
  <c r="E103" i="91" s="1"/>
  <c r="D106" i="79"/>
  <c r="D103" i="89" s="1"/>
  <c r="D103" i="90" s="1"/>
  <c r="D103" i="91" s="1"/>
  <c r="C106" i="79"/>
  <c r="C103" i="89" s="1"/>
  <c r="C103" i="90" s="1"/>
  <c r="C103" i="91" s="1"/>
  <c r="B106" i="79"/>
  <c r="A106" i="79"/>
  <c r="A103" i="89" s="1"/>
  <c r="A103" i="90" s="1"/>
  <c r="A103" i="91" s="1"/>
  <c r="L105" i="79"/>
  <c r="K105" i="79"/>
  <c r="J105" i="79"/>
  <c r="I105" i="79"/>
  <c r="H105" i="79"/>
  <c r="G105" i="79"/>
  <c r="F105" i="79"/>
  <c r="E105" i="79"/>
  <c r="E102" i="89" s="1"/>
  <c r="E102" i="90" s="1"/>
  <c r="E102" i="91" s="1"/>
  <c r="D105" i="79"/>
  <c r="D102" i="89" s="1"/>
  <c r="D102" i="90" s="1"/>
  <c r="D102" i="91" s="1"/>
  <c r="C105" i="79"/>
  <c r="C102" i="89" s="1"/>
  <c r="C102" i="90" s="1"/>
  <c r="C102" i="91" s="1"/>
  <c r="B105" i="79"/>
  <c r="B102" i="89" s="1"/>
  <c r="B102" i="90" s="1"/>
  <c r="B102" i="91" s="1"/>
  <c r="A105" i="79"/>
  <c r="A102" i="89" s="1"/>
  <c r="A102" i="90" s="1"/>
  <c r="A102" i="91" s="1"/>
  <c r="L104" i="79"/>
  <c r="K104" i="79"/>
  <c r="J104" i="79"/>
  <c r="I104" i="79"/>
  <c r="H104" i="79"/>
  <c r="G104" i="79"/>
  <c r="F104" i="79"/>
  <c r="E104" i="79"/>
  <c r="E101" i="89" s="1"/>
  <c r="E101" i="90" s="1"/>
  <c r="E101" i="91" s="1"/>
  <c r="D104" i="79"/>
  <c r="D101" i="89" s="1"/>
  <c r="D101" i="90" s="1"/>
  <c r="D101" i="91" s="1"/>
  <c r="C104" i="79"/>
  <c r="C101" i="89" s="1"/>
  <c r="C101" i="90" s="1"/>
  <c r="C101" i="91" s="1"/>
  <c r="B104" i="79"/>
  <c r="A104" i="79"/>
  <c r="A101" i="89" s="1"/>
  <c r="A101" i="90" s="1"/>
  <c r="A101" i="91" s="1"/>
  <c r="L103" i="79"/>
  <c r="K103" i="79"/>
  <c r="J103" i="79"/>
  <c r="I103" i="79"/>
  <c r="H103" i="79"/>
  <c r="G103" i="79"/>
  <c r="F103" i="79"/>
  <c r="E103" i="79"/>
  <c r="E100" i="89" s="1"/>
  <c r="E100" i="90" s="1"/>
  <c r="E100" i="91" s="1"/>
  <c r="D103" i="79"/>
  <c r="D100" i="89" s="1"/>
  <c r="D100" i="90" s="1"/>
  <c r="D100" i="91" s="1"/>
  <c r="C103" i="79"/>
  <c r="C100" i="89" s="1"/>
  <c r="C100" i="90" s="1"/>
  <c r="C100" i="91" s="1"/>
  <c r="B103" i="79"/>
  <c r="B100" i="89" s="1"/>
  <c r="B100" i="90" s="1"/>
  <c r="B100" i="91" s="1"/>
  <c r="A103" i="79"/>
  <c r="A100" i="89" s="1"/>
  <c r="A100" i="90" s="1"/>
  <c r="A100" i="91" s="1"/>
  <c r="L102" i="79"/>
  <c r="K102" i="79"/>
  <c r="J102" i="79"/>
  <c r="I102" i="79"/>
  <c r="H102" i="79"/>
  <c r="G102" i="79"/>
  <c r="F102" i="79"/>
  <c r="E102" i="79"/>
  <c r="E99" i="89" s="1"/>
  <c r="E99" i="90" s="1"/>
  <c r="E99" i="91" s="1"/>
  <c r="D102" i="79"/>
  <c r="D99" i="89" s="1"/>
  <c r="D99" i="90" s="1"/>
  <c r="D99" i="91" s="1"/>
  <c r="C102" i="79"/>
  <c r="C99" i="89" s="1"/>
  <c r="C99" i="90" s="1"/>
  <c r="C99" i="91" s="1"/>
  <c r="B102" i="79"/>
  <c r="B99" i="89" s="1"/>
  <c r="B99" i="90" s="1"/>
  <c r="B99" i="91" s="1"/>
  <c r="A102" i="79"/>
  <c r="A99" i="89" s="1"/>
  <c r="A99" i="90" s="1"/>
  <c r="A99" i="91" s="1"/>
  <c r="L101" i="79"/>
  <c r="K101" i="79"/>
  <c r="J101" i="79"/>
  <c r="I101" i="79"/>
  <c r="H101" i="79"/>
  <c r="G101" i="79"/>
  <c r="F101" i="79"/>
  <c r="E101" i="79"/>
  <c r="E98" i="89" s="1"/>
  <c r="E98" i="90" s="1"/>
  <c r="E98" i="91" s="1"/>
  <c r="D101" i="79"/>
  <c r="D98" i="89" s="1"/>
  <c r="D98" i="90" s="1"/>
  <c r="D98" i="91" s="1"/>
  <c r="C101" i="79"/>
  <c r="C98" i="89" s="1"/>
  <c r="C98" i="90" s="1"/>
  <c r="C98" i="91" s="1"/>
  <c r="B101" i="79"/>
  <c r="A101" i="79"/>
  <c r="A98" i="89" s="1"/>
  <c r="A98" i="90" s="1"/>
  <c r="A98" i="91" s="1"/>
  <c r="L100" i="79"/>
  <c r="K100" i="79"/>
  <c r="J100" i="79"/>
  <c r="I100" i="79"/>
  <c r="H100" i="79"/>
  <c r="G100" i="79"/>
  <c r="F100" i="79"/>
  <c r="E100" i="79"/>
  <c r="E97" i="89" s="1"/>
  <c r="E97" i="90" s="1"/>
  <c r="E97" i="91" s="1"/>
  <c r="D100" i="79"/>
  <c r="D97" i="89" s="1"/>
  <c r="D97" i="90" s="1"/>
  <c r="D97" i="91" s="1"/>
  <c r="C100" i="79"/>
  <c r="C97" i="89" s="1"/>
  <c r="C97" i="90" s="1"/>
  <c r="C97" i="91" s="1"/>
  <c r="B100" i="79"/>
  <c r="M100" i="79" s="1"/>
  <c r="A100" i="79"/>
  <c r="A97" i="89" s="1"/>
  <c r="A97" i="90" s="1"/>
  <c r="A97" i="91" s="1"/>
  <c r="L99" i="79"/>
  <c r="K99" i="79"/>
  <c r="J99" i="79"/>
  <c r="I99" i="79"/>
  <c r="H99" i="79"/>
  <c r="G99" i="79"/>
  <c r="F99" i="79"/>
  <c r="E99" i="79"/>
  <c r="E96" i="89" s="1"/>
  <c r="E96" i="90" s="1"/>
  <c r="E96" i="91" s="1"/>
  <c r="D99" i="79"/>
  <c r="D96" i="89" s="1"/>
  <c r="D96" i="90" s="1"/>
  <c r="D96" i="91" s="1"/>
  <c r="C99" i="79"/>
  <c r="C96" i="89" s="1"/>
  <c r="C96" i="90" s="1"/>
  <c r="C96" i="91" s="1"/>
  <c r="B99" i="79"/>
  <c r="B96" i="89" s="1"/>
  <c r="B96" i="90" s="1"/>
  <c r="B96" i="91" s="1"/>
  <c r="A99" i="79"/>
  <c r="A96" i="89" s="1"/>
  <c r="A96" i="90" s="1"/>
  <c r="A96" i="91" s="1"/>
  <c r="L98" i="79"/>
  <c r="K98" i="79"/>
  <c r="J98" i="79"/>
  <c r="I98" i="79"/>
  <c r="H98" i="79"/>
  <c r="G98" i="79"/>
  <c r="F98" i="79"/>
  <c r="E98" i="79"/>
  <c r="E95" i="89" s="1"/>
  <c r="E95" i="90" s="1"/>
  <c r="E95" i="91" s="1"/>
  <c r="D98" i="79"/>
  <c r="D95" i="89" s="1"/>
  <c r="D95" i="90" s="1"/>
  <c r="D95" i="91" s="1"/>
  <c r="C98" i="79"/>
  <c r="C95" i="89" s="1"/>
  <c r="C95" i="90" s="1"/>
  <c r="C95" i="91" s="1"/>
  <c r="B98" i="79"/>
  <c r="B95" i="89" s="1"/>
  <c r="B95" i="90" s="1"/>
  <c r="B95" i="91" s="1"/>
  <c r="A98" i="79"/>
  <c r="A95" i="89" s="1"/>
  <c r="A95" i="90" s="1"/>
  <c r="A95" i="91" s="1"/>
  <c r="L97" i="79"/>
  <c r="K97" i="79"/>
  <c r="J97" i="79"/>
  <c r="I97" i="79"/>
  <c r="H97" i="79"/>
  <c r="G97" i="79"/>
  <c r="F97" i="79"/>
  <c r="E97" i="79"/>
  <c r="E94" i="89" s="1"/>
  <c r="E94" i="90" s="1"/>
  <c r="E94" i="91" s="1"/>
  <c r="D97" i="79"/>
  <c r="D94" i="89" s="1"/>
  <c r="D94" i="90" s="1"/>
  <c r="D94" i="91" s="1"/>
  <c r="C97" i="79"/>
  <c r="C94" i="89" s="1"/>
  <c r="C94" i="90" s="1"/>
  <c r="C94" i="91" s="1"/>
  <c r="B97" i="79"/>
  <c r="B94" i="89" s="1"/>
  <c r="B94" i="90" s="1"/>
  <c r="B94" i="91" s="1"/>
  <c r="A97" i="79"/>
  <c r="A94" i="89" s="1"/>
  <c r="A94" i="90" s="1"/>
  <c r="A94" i="91" s="1"/>
  <c r="L96" i="79"/>
  <c r="K96" i="79"/>
  <c r="J96" i="79"/>
  <c r="I96" i="79"/>
  <c r="H96" i="79"/>
  <c r="G96" i="79"/>
  <c r="F96" i="79"/>
  <c r="E96" i="79"/>
  <c r="E93" i="89" s="1"/>
  <c r="E93" i="90" s="1"/>
  <c r="E93" i="91" s="1"/>
  <c r="D96" i="79"/>
  <c r="D93" i="89" s="1"/>
  <c r="D93" i="90" s="1"/>
  <c r="D93" i="91" s="1"/>
  <c r="C96" i="79"/>
  <c r="C93" i="89" s="1"/>
  <c r="C93" i="90" s="1"/>
  <c r="C93" i="91" s="1"/>
  <c r="B96" i="79"/>
  <c r="B93" i="89" s="1"/>
  <c r="B93" i="90" s="1"/>
  <c r="B93" i="91" s="1"/>
  <c r="A96" i="79"/>
  <c r="A93" i="89" s="1"/>
  <c r="A93" i="90" s="1"/>
  <c r="A93" i="91" s="1"/>
  <c r="L95" i="79"/>
  <c r="K95" i="79"/>
  <c r="J95" i="79"/>
  <c r="I95" i="79"/>
  <c r="H95" i="79"/>
  <c r="G95" i="79"/>
  <c r="F95" i="79"/>
  <c r="E95" i="79"/>
  <c r="E92" i="89" s="1"/>
  <c r="E92" i="90" s="1"/>
  <c r="E92" i="91" s="1"/>
  <c r="D95" i="79"/>
  <c r="D92" i="89" s="1"/>
  <c r="D92" i="90" s="1"/>
  <c r="D92" i="91" s="1"/>
  <c r="C95" i="79"/>
  <c r="C92" i="89" s="1"/>
  <c r="C92" i="90" s="1"/>
  <c r="C92" i="91" s="1"/>
  <c r="B95" i="79"/>
  <c r="B92" i="89" s="1"/>
  <c r="B92" i="90" s="1"/>
  <c r="B92" i="91" s="1"/>
  <c r="A95" i="79"/>
  <c r="A92" i="89" s="1"/>
  <c r="A92" i="90" s="1"/>
  <c r="A92" i="91" s="1"/>
  <c r="L94" i="79"/>
  <c r="K94" i="79"/>
  <c r="J94" i="79"/>
  <c r="I94" i="79"/>
  <c r="H94" i="79"/>
  <c r="G94" i="79"/>
  <c r="F94" i="79"/>
  <c r="E94" i="79"/>
  <c r="E91" i="89" s="1"/>
  <c r="E91" i="90" s="1"/>
  <c r="E91" i="91" s="1"/>
  <c r="D94" i="79"/>
  <c r="D91" i="89" s="1"/>
  <c r="D91" i="90" s="1"/>
  <c r="D91" i="91" s="1"/>
  <c r="C94" i="79"/>
  <c r="C91" i="89" s="1"/>
  <c r="C91" i="90" s="1"/>
  <c r="C91" i="91" s="1"/>
  <c r="B94" i="79"/>
  <c r="B91" i="89" s="1"/>
  <c r="B91" i="90" s="1"/>
  <c r="B91" i="91" s="1"/>
  <c r="A94" i="79"/>
  <c r="A91" i="89" s="1"/>
  <c r="A91" i="90" s="1"/>
  <c r="A91" i="91" s="1"/>
  <c r="L93" i="79"/>
  <c r="K93" i="79"/>
  <c r="J93" i="79"/>
  <c r="I93" i="79"/>
  <c r="H93" i="79"/>
  <c r="G93" i="79"/>
  <c r="F93" i="79"/>
  <c r="E93" i="79"/>
  <c r="E90" i="89" s="1"/>
  <c r="E90" i="90" s="1"/>
  <c r="E90" i="91" s="1"/>
  <c r="D93" i="79"/>
  <c r="D90" i="89" s="1"/>
  <c r="D90" i="90" s="1"/>
  <c r="D90" i="91" s="1"/>
  <c r="C93" i="79"/>
  <c r="C90" i="89" s="1"/>
  <c r="C90" i="90" s="1"/>
  <c r="C90" i="91" s="1"/>
  <c r="B93" i="79"/>
  <c r="B90" i="89" s="1"/>
  <c r="B90" i="90" s="1"/>
  <c r="B90" i="91" s="1"/>
  <c r="A93" i="79"/>
  <c r="A90" i="89" s="1"/>
  <c r="A90" i="90" s="1"/>
  <c r="A90" i="91" s="1"/>
  <c r="L92" i="79"/>
  <c r="K92" i="79"/>
  <c r="J92" i="79"/>
  <c r="I92" i="79"/>
  <c r="H92" i="79"/>
  <c r="G92" i="79"/>
  <c r="F92" i="79"/>
  <c r="E92" i="79"/>
  <c r="E89" i="89" s="1"/>
  <c r="E89" i="90" s="1"/>
  <c r="E89" i="91" s="1"/>
  <c r="D92" i="79"/>
  <c r="D89" i="89" s="1"/>
  <c r="D89" i="90" s="1"/>
  <c r="D89" i="91" s="1"/>
  <c r="C92" i="79"/>
  <c r="C89" i="89" s="1"/>
  <c r="C89" i="90" s="1"/>
  <c r="C89" i="91" s="1"/>
  <c r="B92" i="79"/>
  <c r="A92" i="79"/>
  <c r="A89" i="89" s="1"/>
  <c r="A89" i="90" s="1"/>
  <c r="A89" i="91" s="1"/>
  <c r="L91" i="79"/>
  <c r="K91" i="79"/>
  <c r="J91" i="79"/>
  <c r="I91" i="79"/>
  <c r="H91" i="79"/>
  <c r="G91" i="79"/>
  <c r="F91" i="79"/>
  <c r="E91" i="79"/>
  <c r="E88" i="89" s="1"/>
  <c r="E88" i="90" s="1"/>
  <c r="E88" i="91" s="1"/>
  <c r="D91" i="79"/>
  <c r="D88" i="89" s="1"/>
  <c r="D88" i="90" s="1"/>
  <c r="D88" i="91" s="1"/>
  <c r="C91" i="79"/>
  <c r="C88" i="89" s="1"/>
  <c r="C88" i="90" s="1"/>
  <c r="C88" i="91" s="1"/>
  <c r="B91" i="79"/>
  <c r="B88" i="89" s="1"/>
  <c r="B88" i="90" s="1"/>
  <c r="B88" i="91" s="1"/>
  <c r="A91" i="79"/>
  <c r="A88" i="89" s="1"/>
  <c r="A88" i="90" s="1"/>
  <c r="A88" i="91" s="1"/>
  <c r="L90" i="79"/>
  <c r="K90" i="79"/>
  <c r="J90" i="79"/>
  <c r="I90" i="79"/>
  <c r="H90" i="79"/>
  <c r="G90" i="79"/>
  <c r="F90" i="79"/>
  <c r="E90" i="79"/>
  <c r="E87" i="89" s="1"/>
  <c r="E87" i="90" s="1"/>
  <c r="E87" i="91" s="1"/>
  <c r="D90" i="79"/>
  <c r="D87" i="89" s="1"/>
  <c r="D87" i="90" s="1"/>
  <c r="D87" i="91" s="1"/>
  <c r="C90" i="79"/>
  <c r="C87" i="89" s="1"/>
  <c r="C87" i="90" s="1"/>
  <c r="C87" i="91" s="1"/>
  <c r="B90" i="79"/>
  <c r="B87" i="89" s="1"/>
  <c r="B87" i="90" s="1"/>
  <c r="B87" i="91" s="1"/>
  <c r="A90" i="79"/>
  <c r="A87" i="89" s="1"/>
  <c r="A87" i="90" s="1"/>
  <c r="A87" i="91" s="1"/>
  <c r="L89" i="79"/>
  <c r="K89" i="79"/>
  <c r="J89" i="79"/>
  <c r="I89" i="79"/>
  <c r="H89" i="79"/>
  <c r="G89" i="79"/>
  <c r="F89" i="79"/>
  <c r="E89" i="79"/>
  <c r="E86" i="89" s="1"/>
  <c r="E86" i="90" s="1"/>
  <c r="E86" i="91" s="1"/>
  <c r="D89" i="79"/>
  <c r="D86" i="89" s="1"/>
  <c r="D86" i="90" s="1"/>
  <c r="D86" i="91" s="1"/>
  <c r="C89" i="79"/>
  <c r="C86" i="89" s="1"/>
  <c r="C86" i="90" s="1"/>
  <c r="C86" i="91" s="1"/>
  <c r="B89" i="79"/>
  <c r="B86" i="89" s="1"/>
  <c r="B86" i="90" s="1"/>
  <c r="B86" i="91" s="1"/>
  <c r="A89" i="79"/>
  <c r="A86" i="89" s="1"/>
  <c r="A86" i="90" s="1"/>
  <c r="A86" i="91" s="1"/>
  <c r="L88" i="79"/>
  <c r="K88" i="79"/>
  <c r="J88" i="79"/>
  <c r="I88" i="79"/>
  <c r="H88" i="79"/>
  <c r="G88" i="79"/>
  <c r="F88" i="79"/>
  <c r="E88" i="79"/>
  <c r="E85" i="89" s="1"/>
  <c r="E85" i="90" s="1"/>
  <c r="E85" i="91" s="1"/>
  <c r="D88" i="79"/>
  <c r="D85" i="89" s="1"/>
  <c r="D85" i="90" s="1"/>
  <c r="D85" i="91" s="1"/>
  <c r="C88" i="79"/>
  <c r="C85" i="89" s="1"/>
  <c r="C85" i="90" s="1"/>
  <c r="C85" i="91" s="1"/>
  <c r="B88" i="79"/>
  <c r="A88" i="79"/>
  <c r="A85" i="89" s="1"/>
  <c r="A85" i="90" s="1"/>
  <c r="A85" i="91" s="1"/>
  <c r="L87" i="79"/>
  <c r="K87" i="79"/>
  <c r="J87" i="79"/>
  <c r="I87" i="79"/>
  <c r="H87" i="79"/>
  <c r="G87" i="79"/>
  <c r="F87" i="79"/>
  <c r="E87" i="79"/>
  <c r="E84" i="89" s="1"/>
  <c r="E84" i="90" s="1"/>
  <c r="E84" i="91" s="1"/>
  <c r="D87" i="79"/>
  <c r="D84" i="89" s="1"/>
  <c r="D84" i="90" s="1"/>
  <c r="D84" i="91" s="1"/>
  <c r="C87" i="79"/>
  <c r="C84" i="89" s="1"/>
  <c r="C84" i="90" s="1"/>
  <c r="C84" i="91" s="1"/>
  <c r="B87" i="79"/>
  <c r="A87" i="79"/>
  <c r="A84" i="89" s="1"/>
  <c r="A84" i="90" s="1"/>
  <c r="A84" i="91" s="1"/>
  <c r="L86" i="79"/>
  <c r="K86" i="79"/>
  <c r="J86" i="79"/>
  <c r="I86" i="79"/>
  <c r="H86" i="79"/>
  <c r="G86" i="79"/>
  <c r="F86" i="79"/>
  <c r="E86" i="79"/>
  <c r="E83" i="89" s="1"/>
  <c r="E83" i="90" s="1"/>
  <c r="E83" i="91" s="1"/>
  <c r="D86" i="79"/>
  <c r="D83" i="89" s="1"/>
  <c r="D83" i="90" s="1"/>
  <c r="D83" i="91" s="1"/>
  <c r="C86" i="79"/>
  <c r="C83" i="89" s="1"/>
  <c r="C83" i="90" s="1"/>
  <c r="C83" i="91" s="1"/>
  <c r="B86" i="79"/>
  <c r="B83" i="89" s="1"/>
  <c r="B83" i="90" s="1"/>
  <c r="B83" i="91" s="1"/>
  <c r="A86" i="79"/>
  <c r="A83" i="89" s="1"/>
  <c r="A83" i="90" s="1"/>
  <c r="A83" i="91" s="1"/>
  <c r="L85" i="79"/>
  <c r="K85" i="79"/>
  <c r="J85" i="79"/>
  <c r="I85" i="79"/>
  <c r="H85" i="79"/>
  <c r="G85" i="79"/>
  <c r="F85" i="79"/>
  <c r="E85" i="79"/>
  <c r="E82" i="89" s="1"/>
  <c r="E82" i="90" s="1"/>
  <c r="E82" i="91" s="1"/>
  <c r="D85" i="79"/>
  <c r="D82" i="89" s="1"/>
  <c r="D82" i="90" s="1"/>
  <c r="D82" i="91" s="1"/>
  <c r="C85" i="79"/>
  <c r="C82" i="89" s="1"/>
  <c r="C82" i="90" s="1"/>
  <c r="C82" i="91" s="1"/>
  <c r="B85" i="79"/>
  <c r="B82" i="89" s="1"/>
  <c r="B82" i="90" s="1"/>
  <c r="B82" i="91" s="1"/>
  <c r="A85" i="79"/>
  <c r="A82" i="89" s="1"/>
  <c r="A82" i="90" s="1"/>
  <c r="A82" i="91" s="1"/>
  <c r="L84" i="79"/>
  <c r="K84" i="79"/>
  <c r="J84" i="79"/>
  <c r="I84" i="79"/>
  <c r="H84" i="79"/>
  <c r="G84" i="79"/>
  <c r="F84" i="79"/>
  <c r="E84" i="79"/>
  <c r="E81" i="89" s="1"/>
  <c r="E81" i="90" s="1"/>
  <c r="E81" i="91" s="1"/>
  <c r="D84" i="79"/>
  <c r="D81" i="89" s="1"/>
  <c r="D81" i="90" s="1"/>
  <c r="D81" i="91" s="1"/>
  <c r="C84" i="79"/>
  <c r="C81" i="89" s="1"/>
  <c r="C81" i="90" s="1"/>
  <c r="C81" i="91" s="1"/>
  <c r="B84" i="79"/>
  <c r="B81" i="89" s="1"/>
  <c r="B81" i="90" s="1"/>
  <c r="B81" i="91" s="1"/>
  <c r="A84" i="79"/>
  <c r="A81" i="89" s="1"/>
  <c r="A81" i="90" s="1"/>
  <c r="A81" i="91" s="1"/>
  <c r="L83" i="79"/>
  <c r="K83" i="79"/>
  <c r="J83" i="79"/>
  <c r="I83" i="79"/>
  <c r="H83" i="79"/>
  <c r="G83" i="79"/>
  <c r="F83" i="79"/>
  <c r="E83" i="79"/>
  <c r="E80" i="89" s="1"/>
  <c r="E80" i="90" s="1"/>
  <c r="E80" i="91" s="1"/>
  <c r="D83" i="79"/>
  <c r="D80" i="89" s="1"/>
  <c r="D80" i="90" s="1"/>
  <c r="D80" i="91" s="1"/>
  <c r="C83" i="79"/>
  <c r="C80" i="89" s="1"/>
  <c r="C80" i="90" s="1"/>
  <c r="C80" i="91" s="1"/>
  <c r="B83" i="79"/>
  <c r="A83" i="79"/>
  <c r="A80" i="89" s="1"/>
  <c r="A80" i="90" s="1"/>
  <c r="A80" i="91" s="1"/>
  <c r="L82" i="79"/>
  <c r="K82" i="79"/>
  <c r="J82" i="79"/>
  <c r="I82" i="79"/>
  <c r="H82" i="79"/>
  <c r="G82" i="79"/>
  <c r="F82" i="79"/>
  <c r="E82" i="79"/>
  <c r="E79" i="89" s="1"/>
  <c r="E79" i="90" s="1"/>
  <c r="E79" i="91" s="1"/>
  <c r="D82" i="79"/>
  <c r="D79" i="89" s="1"/>
  <c r="D79" i="90" s="1"/>
  <c r="D79" i="91" s="1"/>
  <c r="C82" i="79"/>
  <c r="C79" i="89" s="1"/>
  <c r="C79" i="90" s="1"/>
  <c r="C79" i="91" s="1"/>
  <c r="B82" i="79"/>
  <c r="B79" i="89" s="1"/>
  <c r="B79" i="90" s="1"/>
  <c r="B79" i="91" s="1"/>
  <c r="A82" i="79"/>
  <c r="A79" i="89" s="1"/>
  <c r="A79" i="90" s="1"/>
  <c r="A79" i="91" s="1"/>
  <c r="L81" i="79"/>
  <c r="K81" i="79"/>
  <c r="J81" i="79"/>
  <c r="I81" i="79"/>
  <c r="H81" i="79"/>
  <c r="G81" i="79"/>
  <c r="F81" i="79"/>
  <c r="E81" i="79"/>
  <c r="E78" i="89" s="1"/>
  <c r="E78" i="90" s="1"/>
  <c r="E78" i="91" s="1"/>
  <c r="D81" i="79"/>
  <c r="D78" i="89" s="1"/>
  <c r="D78" i="90" s="1"/>
  <c r="D78" i="91" s="1"/>
  <c r="C81" i="79"/>
  <c r="C78" i="89" s="1"/>
  <c r="C78" i="90" s="1"/>
  <c r="C78" i="91" s="1"/>
  <c r="B81" i="79"/>
  <c r="B78" i="89" s="1"/>
  <c r="B78" i="90" s="1"/>
  <c r="B78" i="91" s="1"/>
  <c r="A81" i="79"/>
  <c r="A78" i="89" s="1"/>
  <c r="A78" i="90" s="1"/>
  <c r="A78" i="91" s="1"/>
  <c r="L80" i="79"/>
  <c r="K80" i="79"/>
  <c r="J80" i="79"/>
  <c r="I80" i="79"/>
  <c r="H80" i="79"/>
  <c r="G80" i="79"/>
  <c r="F80" i="79"/>
  <c r="E80" i="79"/>
  <c r="E77" i="89" s="1"/>
  <c r="E77" i="90" s="1"/>
  <c r="E77" i="91" s="1"/>
  <c r="D80" i="79"/>
  <c r="D77" i="89" s="1"/>
  <c r="D77" i="90" s="1"/>
  <c r="D77" i="91" s="1"/>
  <c r="C80" i="79"/>
  <c r="C77" i="89" s="1"/>
  <c r="C77" i="90" s="1"/>
  <c r="C77" i="91" s="1"/>
  <c r="B80" i="79"/>
  <c r="A80" i="79"/>
  <c r="A77" i="89" s="1"/>
  <c r="A77" i="90" s="1"/>
  <c r="A77" i="91" s="1"/>
  <c r="L79" i="79"/>
  <c r="K79" i="79"/>
  <c r="J79" i="79"/>
  <c r="I79" i="79"/>
  <c r="H79" i="79"/>
  <c r="G79" i="79"/>
  <c r="F79" i="79"/>
  <c r="E79" i="79"/>
  <c r="E76" i="89" s="1"/>
  <c r="E76" i="90" s="1"/>
  <c r="E76" i="91" s="1"/>
  <c r="D79" i="79"/>
  <c r="D76" i="89" s="1"/>
  <c r="D76" i="90" s="1"/>
  <c r="D76" i="91" s="1"/>
  <c r="C79" i="79"/>
  <c r="C76" i="89" s="1"/>
  <c r="C76" i="90" s="1"/>
  <c r="C76" i="91" s="1"/>
  <c r="B79" i="79"/>
  <c r="B76" i="89" s="1"/>
  <c r="B76" i="90" s="1"/>
  <c r="B76" i="91" s="1"/>
  <c r="A79" i="79"/>
  <c r="A76" i="89" s="1"/>
  <c r="A76" i="90" s="1"/>
  <c r="A76" i="91" s="1"/>
  <c r="L78" i="79"/>
  <c r="K78" i="79"/>
  <c r="J78" i="79"/>
  <c r="I78" i="79"/>
  <c r="H78" i="79"/>
  <c r="G78" i="79"/>
  <c r="F78" i="79"/>
  <c r="E78" i="79"/>
  <c r="E75" i="89" s="1"/>
  <c r="E75" i="90" s="1"/>
  <c r="E75" i="91" s="1"/>
  <c r="D78" i="79"/>
  <c r="D75" i="89" s="1"/>
  <c r="D75" i="90" s="1"/>
  <c r="D75" i="91" s="1"/>
  <c r="C78" i="79"/>
  <c r="C75" i="89" s="1"/>
  <c r="C75" i="90" s="1"/>
  <c r="C75" i="91" s="1"/>
  <c r="B78" i="79"/>
  <c r="B75" i="89" s="1"/>
  <c r="B75" i="90" s="1"/>
  <c r="B75" i="91" s="1"/>
  <c r="A78" i="79"/>
  <c r="A75" i="89" s="1"/>
  <c r="A75" i="90" s="1"/>
  <c r="A75" i="91" s="1"/>
  <c r="L77" i="79"/>
  <c r="K77" i="79"/>
  <c r="J77" i="79"/>
  <c r="I77" i="79"/>
  <c r="H77" i="79"/>
  <c r="G77" i="79"/>
  <c r="F77" i="79"/>
  <c r="E77" i="79"/>
  <c r="E74" i="89" s="1"/>
  <c r="E74" i="90" s="1"/>
  <c r="E74" i="91" s="1"/>
  <c r="D77" i="79"/>
  <c r="D74" i="89" s="1"/>
  <c r="D74" i="90" s="1"/>
  <c r="D74" i="91" s="1"/>
  <c r="C77" i="79"/>
  <c r="C74" i="89" s="1"/>
  <c r="C74" i="90" s="1"/>
  <c r="C74" i="91" s="1"/>
  <c r="B77" i="79"/>
  <c r="B74" i="89" s="1"/>
  <c r="B74" i="90" s="1"/>
  <c r="B74" i="91" s="1"/>
  <c r="A77" i="79"/>
  <c r="A74" i="89" s="1"/>
  <c r="A74" i="90" s="1"/>
  <c r="A74" i="91" s="1"/>
  <c r="L76" i="79"/>
  <c r="K76" i="79"/>
  <c r="J76" i="79"/>
  <c r="I76" i="79"/>
  <c r="H76" i="79"/>
  <c r="G76" i="79"/>
  <c r="F76" i="79"/>
  <c r="E76" i="79"/>
  <c r="E73" i="89" s="1"/>
  <c r="E73" i="90" s="1"/>
  <c r="E73" i="91" s="1"/>
  <c r="D76" i="79"/>
  <c r="D73" i="89" s="1"/>
  <c r="D73" i="90" s="1"/>
  <c r="D73" i="91" s="1"/>
  <c r="C76" i="79"/>
  <c r="C73" i="89" s="1"/>
  <c r="C73" i="90" s="1"/>
  <c r="C73" i="91" s="1"/>
  <c r="B76" i="79"/>
  <c r="B73" i="89" s="1"/>
  <c r="B73" i="90" s="1"/>
  <c r="B73" i="91" s="1"/>
  <c r="A76" i="79"/>
  <c r="A73" i="89" s="1"/>
  <c r="A73" i="90" s="1"/>
  <c r="A73" i="91" s="1"/>
  <c r="L75" i="79"/>
  <c r="K75" i="79"/>
  <c r="J75" i="79"/>
  <c r="I75" i="79"/>
  <c r="H75" i="79"/>
  <c r="G75" i="79"/>
  <c r="F75" i="79"/>
  <c r="E75" i="79"/>
  <c r="E72" i="89" s="1"/>
  <c r="E72" i="90" s="1"/>
  <c r="E72" i="91" s="1"/>
  <c r="D75" i="79"/>
  <c r="D72" i="89" s="1"/>
  <c r="D72" i="90" s="1"/>
  <c r="D72" i="91" s="1"/>
  <c r="C75" i="79"/>
  <c r="C72" i="89" s="1"/>
  <c r="C72" i="90" s="1"/>
  <c r="C72" i="91" s="1"/>
  <c r="B75" i="79"/>
  <c r="A75" i="79"/>
  <c r="A72" i="89" s="1"/>
  <c r="A72" i="90" s="1"/>
  <c r="A72" i="91" s="1"/>
  <c r="L74" i="79"/>
  <c r="K74" i="79"/>
  <c r="J74" i="79"/>
  <c r="I74" i="79"/>
  <c r="H74" i="79"/>
  <c r="G74" i="79"/>
  <c r="F74" i="79"/>
  <c r="E74" i="79"/>
  <c r="E71" i="89" s="1"/>
  <c r="E71" i="90" s="1"/>
  <c r="E71" i="91" s="1"/>
  <c r="D74" i="79"/>
  <c r="D71" i="89" s="1"/>
  <c r="D71" i="90" s="1"/>
  <c r="D71" i="91" s="1"/>
  <c r="C74" i="79"/>
  <c r="C71" i="89" s="1"/>
  <c r="C71" i="90" s="1"/>
  <c r="C71" i="91" s="1"/>
  <c r="B74" i="79"/>
  <c r="A74" i="79"/>
  <c r="A71" i="89" s="1"/>
  <c r="A71" i="90" s="1"/>
  <c r="A71" i="91" s="1"/>
  <c r="L73" i="79"/>
  <c r="K73" i="79"/>
  <c r="J73" i="79"/>
  <c r="I73" i="79"/>
  <c r="H73" i="79"/>
  <c r="G73" i="79"/>
  <c r="F73" i="79"/>
  <c r="E73" i="79"/>
  <c r="E70" i="89" s="1"/>
  <c r="E70" i="90" s="1"/>
  <c r="E70" i="91" s="1"/>
  <c r="D73" i="79"/>
  <c r="D70" i="89" s="1"/>
  <c r="D70" i="90" s="1"/>
  <c r="D70" i="91" s="1"/>
  <c r="C73" i="79"/>
  <c r="C70" i="89" s="1"/>
  <c r="C70" i="90" s="1"/>
  <c r="C70" i="91" s="1"/>
  <c r="B73" i="79"/>
  <c r="B70" i="89" s="1"/>
  <c r="B70" i="90" s="1"/>
  <c r="B70" i="91" s="1"/>
  <c r="A73" i="79"/>
  <c r="A70" i="89" s="1"/>
  <c r="A70" i="90" s="1"/>
  <c r="A70" i="91" s="1"/>
  <c r="L72" i="79"/>
  <c r="K72" i="79"/>
  <c r="J72" i="79"/>
  <c r="I72" i="79"/>
  <c r="H72" i="79"/>
  <c r="G72" i="79"/>
  <c r="F72" i="79"/>
  <c r="E72" i="79"/>
  <c r="E69" i="89" s="1"/>
  <c r="E69" i="90" s="1"/>
  <c r="E69" i="91" s="1"/>
  <c r="D72" i="79"/>
  <c r="D69" i="89" s="1"/>
  <c r="D69" i="90" s="1"/>
  <c r="D69" i="91" s="1"/>
  <c r="C72" i="79"/>
  <c r="C69" i="89" s="1"/>
  <c r="C69" i="90" s="1"/>
  <c r="C69" i="91" s="1"/>
  <c r="B72" i="79"/>
  <c r="A72" i="79"/>
  <c r="A69" i="89" s="1"/>
  <c r="A69" i="90" s="1"/>
  <c r="A69" i="91" s="1"/>
  <c r="L71" i="79"/>
  <c r="K71" i="79"/>
  <c r="J71" i="79"/>
  <c r="I71" i="79"/>
  <c r="H71" i="79"/>
  <c r="G71" i="79"/>
  <c r="F71" i="79"/>
  <c r="E71" i="79"/>
  <c r="E68" i="89" s="1"/>
  <c r="E68" i="90" s="1"/>
  <c r="E68" i="91" s="1"/>
  <c r="D71" i="79"/>
  <c r="D68" i="89" s="1"/>
  <c r="D68" i="90" s="1"/>
  <c r="D68" i="91" s="1"/>
  <c r="C71" i="79"/>
  <c r="C68" i="89" s="1"/>
  <c r="C68" i="90" s="1"/>
  <c r="C68" i="91" s="1"/>
  <c r="B71" i="79"/>
  <c r="B68" i="89" s="1"/>
  <c r="B68" i="90" s="1"/>
  <c r="B68" i="91" s="1"/>
  <c r="A71" i="79"/>
  <c r="A68" i="89" s="1"/>
  <c r="A68" i="90" s="1"/>
  <c r="A68" i="91" s="1"/>
  <c r="L70" i="79"/>
  <c r="K70" i="79"/>
  <c r="J70" i="79"/>
  <c r="I70" i="79"/>
  <c r="H70" i="79"/>
  <c r="G70" i="79"/>
  <c r="F70" i="79"/>
  <c r="E70" i="79"/>
  <c r="E67" i="89" s="1"/>
  <c r="E67" i="90" s="1"/>
  <c r="E67" i="91" s="1"/>
  <c r="D70" i="79"/>
  <c r="D67" i="89" s="1"/>
  <c r="D67" i="90" s="1"/>
  <c r="D67" i="91" s="1"/>
  <c r="C70" i="79"/>
  <c r="C67" i="89" s="1"/>
  <c r="C67" i="90" s="1"/>
  <c r="C67" i="91" s="1"/>
  <c r="B70" i="79"/>
  <c r="A70" i="79"/>
  <c r="A67" i="89" s="1"/>
  <c r="A67" i="90" s="1"/>
  <c r="A67" i="91" s="1"/>
  <c r="L69" i="79"/>
  <c r="K69" i="79"/>
  <c r="J69" i="79"/>
  <c r="I69" i="79"/>
  <c r="H69" i="79"/>
  <c r="G69" i="79"/>
  <c r="F69" i="79"/>
  <c r="E69" i="79"/>
  <c r="E66" i="89" s="1"/>
  <c r="E66" i="90" s="1"/>
  <c r="E66" i="91" s="1"/>
  <c r="D69" i="79"/>
  <c r="D66" i="89" s="1"/>
  <c r="D66" i="90" s="1"/>
  <c r="D66" i="91" s="1"/>
  <c r="C69" i="79"/>
  <c r="C66" i="89" s="1"/>
  <c r="C66" i="90" s="1"/>
  <c r="C66" i="91" s="1"/>
  <c r="B69" i="79"/>
  <c r="B66" i="89" s="1"/>
  <c r="B66" i="90" s="1"/>
  <c r="B66" i="91" s="1"/>
  <c r="A69" i="79"/>
  <c r="A66" i="89" s="1"/>
  <c r="A66" i="90" s="1"/>
  <c r="A66" i="91" s="1"/>
  <c r="L68" i="79"/>
  <c r="K68" i="79"/>
  <c r="J68" i="79"/>
  <c r="I68" i="79"/>
  <c r="H68" i="79"/>
  <c r="G68" i="79"/>
  <c r="F68" i="79"/>
  <c r="E68" i="79"/>
  <c r="E65" i="89" s="1"/>
  <c r="E65" i="90" s="1"/>
  <c r="E65" i="91" s="1"/>
  <c r="D68" i="79"/>
  <c r="D65" i="89" s="1"/>
  <c r="D65" i="90" s="1"/>
  <c r="D65" i="91" s="1"/>
  <c r="C68" i="79"/>
  <c r="C65" i="89" s="1"/>
  <c r="C65" i="90" s="1"/>
  <c r="C65" i="91" s="1"/>
  <c r="B68" i="79"/>
  <c r="A68" i="79"/>
  <c r="A65" i="89" s="1"/>
  <c r="A65" i="90" s="1"/>
  <c r="A65" i="91" s="1"/>
  <c r="L67" i="79"/>
  <c r="K67" i="79"/>
  <c r="J67" i="79"/>
  <c r="I67" i="79"/>
  <c r="H67" i="79"/>
  <c r="G67" i="79"/>
  <c r="F67" i="79"/>
  <c r="E67" i="79"/>
  <c r="E64" i="89" s="1"/>
  <c r="E64" i="90" s="1"/>
  <c r="E64" i="91" s="1"/>
  <c r="D67" i="79"/>
  <c r="D64" i="89" s="1"/>
  <c r="D64" i="90" s="1"/>
  <c r="D64" i="91" s="1"/>
  <c r="C67" i="79"/>
  <c r="C64" i="89" s="1"/>
  <c r="C64" i="90" s="1"/>
  <c r="C64" i="91" s="1"/>
  <c r="B67" i="79"/>
  <c r="M67" i="79" s="1"/>
  <c r="A67" i="79"/>
  <c r="A64" i="89" s="1"/>
  <c r="A64" i="90" s="1"/>
  <c r="A64" i="91" s="1"/>
  <c r="L66" i="79"/>
  <c r="K66" i="79"/>
  <c r="J66" i="79"/>
  <c r="I66" i="79"/>
  <c r="H66" i="79"/>
  <c r="G66" i="79"/>
  <c r="F66" i="79"/>
  <c r="E66" i="79"/>
  <c r="E63" i="89" s="1"/>
  <c r="E63" i="90" s="1"/>
  <c r="E63" i="91" s="1"/>
  <c r="D66" i="79"/>
  <c r="D63" i="89" s="1"/>
  <c r="D63" i="90" s="1"/>
  <c r="D63" i="91" s="1"/>
  <c r="C66" i="79"/>
  <c r="C63" i="89" s="1"/>
  <c r="C63" i="90" s="1"/>
  <c r="C63" i="91" s="1"/>
  <c r="B66" i="79"/>
  <c r="B63" i="89" s="1"/>
  <c r="B63" i="90" s="1"/>
  <c r="B63" i="91" s="1"/>
  <c r="A66" i="79"/>
  <c r="A63" i="89" s="1"/>
  <c r="A63" i="90" s="1"/>
  <c r="A63" i="91" s="1"/>
  <c r="L65" i="79"/>
  <c r="K65" i="79"/>
  <c r="J65" i="79"/>
  <c r="I65" i="79"/>
  <c r="H65" i="79"/>
  <c r="G65" i="79"/>
  <c r="F65" i="79"/>
  <c r="E65" i="79"/>
  <c r="E62" i="89" s="1"/>
  <c r="E62" i="90" s="1"/>
  <c r="E62" i="91" s="1"/>
  <c r="D65" i="79"/>
  <c r="D62" i="89" s="1"/>
  <c r="D62" i="90" s="1"/>
  <c r="D62" i="91" s="1"/>
  <c r="C65" i="79"/>
  <c r="C62" i="89" s="1"/>
  <c r="C62" i="90" s="1"/>
  <c r="C62" i="91" s="1"/>
  <c r="B65" i="79"/>
  <c r="A65" i="79"/>
  <c r="A62" i="89" s="1"/>
  <c r="A62" i="90" s="1"/>
  <c r="A62" i="91" s="1"/>
  <c r="L64" i="79"/>
  <c r="K64" i="79"/>
  <c r="J64" i="79"/>
  <c r="I64" i="79"/>
  <c r="H64" i="79"/>
  <c r="G64" i="79"/>
  <c r="F64" i="79"/>
  <c r="E64" i="79"/>
  <c r="E61" i="89" s="1"/>
  <c r="E61" i="90" s="1"/>
  <c r="E61" i="91" s="1"/>
  <c r="D64" i="79"/>
  <c r="D61" i="89" s="1"/>
  <c r="D61" i="90" s="1"/>
  <c r="D61" i="91" s="1"/>
  <c r="C64" i="79"/>
  <c r="C61" i="89" s="1"/>
  <c r="C61" i="90" s="1"/>
  <c r="C61" i="91" s="1"/>
  <c r="B64" i="79"/>
  <c r="B61" i="89" s="1"/>
  <c r="B61" i="90" s="1"/>
  <c r="B61" i="91" s="1"/>
  <c r="A64" i="79"/>
  <c r="A61" i="89" s="1"/>
  <c r="A61" i="90" s="1"/>
  <c r="A61" i="91" s="1"/>
  <c r="L63" i="79"/>
  <c r="K63" i="79"/>
  <c r="J63" i="79"/>
  <c r="I63" i="79"/>
  <c r="H63" i="79"/>
  <c r="G63" i="79"/>
  <c r="F63" i="79"/>
  <c r="E63" i="79"/>
  <c r="E60" i="89" s="1"/>
  <c r="E60" i="90" s="1"/>
  <c r="E60" i="91" s="1"/>
  <c r="D63" i="79"/>
  <c r="D60" i="89" s="1"/>
  <c r="D60" i="90" s="1"/>
  <c r="D60" i="91" s="1"/>
  <c r="C63" i="79"/>
  <c r="C60" i="89" s="1"/>
  <c r="C60" i="90" s="1"/>
  <c r="C60" i="91" s="1"/>
  <c r="B63" i="79"/>
  <c r="B60" i="89" s="1"/>
  <c r="B60" i="90" s="1"/>
  <c r="B60" i="91" s="1"/>
  <c r="A63" i="79"/>
  <c r="A60" i="89" s="1"/>
  <c r="A60" i="90" s="1"/>
  <c r="A60" i="91" s="1"/>
  <c r="L62" i="79"/>
  <c r="K62" i="79"/>
  <c r="J62" i="79"/>
  <c r="I62" i="79"/>
  <c r="H62" i="79"/>
  <c r="G62" i="79"/>
  <c r="F62" i="79"/>
  <c r="E62" i="79"/>
  <c r="E59" i="89" s="1"/>
  <c r="E59" i="90" s="1"/>
  <c r="E59" i="91" s="1"/>
  <c r="D62" i="79"/>
  <c r="D59" i="89" s="1"/>
  <c r="D59" i="90" s="1"/>
  <c r="D59" i="91" s="1"/>
  <c r="C62" i="79"/>
  <c r="C59" i="89" s="1"/>
  <c r="C59" i="90" s="1"/>
  <c r="C59" i="91" s="1"/>
  <c r="B62" i="79"/>
  <c r="B59" i="89" s="1"/>
  <c r="B59" i="90" s="1"/>
  <c r="B59" i="91" s="1"/>
  <c r="A62" i="79"/>
  <c r="A59" i="89" s="1"/>
  <c r="A59" i="90" s="1"/>
  <c r="A59" i="91" s="1"/>
  <c r="L61" i="79"/>
  <c r="K61" i="79"/>
  <c r="J61" i="79"/>
  <c r="I61" i="79"/>
  <c r="H61" i="79"/>
  <c r="G61" i="79"/>
  <c r="F61" i="79"/>
  <c r="E61" i="79"/>
  <c r="E58" i="89" s="1"/>
  <c r="E58" i="90" s="1"/>
  <c r="E58" i="91" s="1"/>
  <c r="D61" i="79"/>
  <c r="D58" i="89" s="1"/>
  <c r="D58" i="90" s="1"/>
  <c r="D58" i="91" s="1"/>
  <c r="C61" i="79"/>
  <c r="C58" i="89" s="1"/>
  <c r="C58" i="90" s="1"/>
  <c r="C58" i="91" s="1"/>
  <c r="B61" i="79"/>
  <c r="B58" i="89" s="1"/>
  <c r="B58" i="90" s="1"/>
  <c r="B58" i="91" s="1"/>
  <c r="A61" i="79"/>
  <c r="A58" i="89" s="1"/>
  <c r="A58" i="90" s="1"/>
  <c r="A58" i="91" s="1"/>
  <c r="L60" i="79"/>
  <c r="K60" i="79"/>
  <c r="J60" i="79"/>
  <c r="I60" i="79"/>
  <c r="H60" i="79"/>
  <c r="G60" i="79"/>
  <c r="F60" i="79"/>
  <c r="E60" i="79"/>
  <c r="E57" i="89" s="1"/>
  <c r="E57" i="90" s="1"/>
  <c r="E57" i="91" s="1"/>
  <c r="D60" i="79"/>
  <c r="D57" i="89" s="1"/>
  <c r="D57" i="90" s="1"/>
  <c r="D57" i="91" s="1"/>
  <c r="C60" i="79"/>
  <c r="C57" i="89" s="1"/>
  <c r="C57" i="90" s="1"/>
  <c r="C57" i="91" s="1"/>
  <c r="B60" i="79"/>
  <c r="B57" i="89" s="1"/>
  <c r="B57" i="90" s="1"/>
  <c r="B57" i="91" s="1"/>
  <c r="A60" i="79"/>
  <c r="A57" i="89" s="1"/>
  <c r="A57" i="90" s="1"/>
  <c r="A57" i="91" s="1"/>
  <c r="L59" i="79"/>
  <c r="K59" i="79"/>
  <c r="J59" i="79"/>
  <c r="I59" i="79"/>
  <c r="H59" i="79"/>
  <c r="G59" i="79"/>
  <c r="F59" i="79"/>
  <c r="E59" i="79"/>
  <c r="E56" i="89" s="1"/>
  <c r="E56" i="90" s="1"/>
  <c r="E56" i="91" s="1"/>
  <c r="D59" i="79"/>
  <c r="D56" i="89" s="1"/>
  <c r="D56" i="90" s="1"/>
  <c r="D56" i="91" s="1"/>
  <c r="C59" i="79"/>
  <c r="C56" i="89" s="1"/>
  <c r="C56" i="90" s="1"/>
  <c r="C56" i="91" s="1"/>
  <c r="B59" i="79"/>
  <c r="B56" i="89" s="1"/>
  <c r="B56" i="90" s="1"/>
  <c r="B56" i="91" s="1"/>
  <c r="A59" i="79"/>
  <c r="A56" i="89" s="1"/>
  <c r="A56" i="90" s="1"/>
  <c r="A56" i="91" s="1"/>
  <c r="L58" i="79"/>
  <c r="K58" i="79"/>
  <c r="J58" i="79"/>
  <c r="I58" i="79"/>
  <c r="H58" i="79"/>
  <c r="G58" i="79"/>
  <c r="F58" i="79"/>
  <c r="E58" i="79"/>
  <c r="E55" i="89" s="1"/>
  <c r="E55" i="90" s="1"/>
  <c r="E55" i="91" s="1"/>
  <c r="D58" i="79"/>
  <c r="D55" i="89" s="1"/>
  <c r="D55" i="90" s="1"/>
  <c r="D55" i="91" s="1"/>
  <c r="C58" i="79"/>
  <c r="C55" i="89" s="1"/>
  <c r="C55" i="90" s="1"/>
  <c r="C55" i="91" s="1"/>
  <c r="B58" i="79"/>
  <c r="B55" i="89" s="1"/>
  <c r="B55" i="90" s="1"/>
  <c r="B55" i="91" s="1"/>
  <c r="A58" i="79"/>
  <c r="A55" i="89" s="1"/>
  <c r="A55" i="90" s="1"/>
  <c r="A55" i="91" s="1"/>
  <c r="L57" i="79"/>
  <c r="K57" i="79"/>
  <c r="J57" i="79"/>
  <c r="I57" i="79"/>
  <c r="H57" i="79"/>
  <c r="G57" i="79"/>
  <c r="F57" i="79"/>
  <c r="E57" i="79"/>
  <c r="E54" i="89" s="1"/>
  <c r="E54" i="90" s="1"/>
  <c r="E54" i="91" s="1"/>
  <c r="D57" i="79"/>
  <c r="D54" i="89" s="1"/>
  <c r="D54" i="90" s="1"/>
  <c r="D54" i="91" s="1"/>
  <c r="C57" i="79"/>
  <c r="C54" i="89" s="1"/>
  <c r="C54" i="90" s="1"/>
  <c r="C54" i="91" s="1"/>
  <c r="B57" i="79"/>
  <c r="B54" i="89" s="1"/>
  <c r="B54" i="90" s="1"/>
  <c r="B54" i="91" s="1"/>
  <c r="A57" i="79"/>
  <c r="A54" i="89" s="1"/>
  <c r="A54" i="90" s="1"/>
  <c r="A54" i="91" s="1"/>
  <c r="L56" i="79"/>
  <c r="K56" i="79"/>
  <c r="J56" i="79"/>
  <c r="I56" i="79"/>
  <c r="H56" i="79"/>
  <c r="G56" i="79"/>
  <c r="F56" i="79"/>
  <c r="E56" i="79"/>
  <c r="E53" i="89" s="1"/>
  <c r="E53" i="90" s="1"/>
  <c r="E53" i="91" s="1"/>
  <c r="D56" i="79"/>
  <c r="D53" i="89" s="1"/>
  <c r="D53" i="90" s="1"/>
  <c r="D53" i="91" s="1"/>
  <c r="C56" i="79"/>
  <c r="C53" i="89" s="1"/>
  <c r="C53" i="90" s="1"/>
  <c r="C53" i="91" s="1"/>
  <c r="B56" i="79"/>
  <c r="A56" i="79"/>
  <c r="A53" i="89" s="1"/>
  <c r="A53" i="90" s="1"/>
  <c r="A53" i="91" s="1"/>
  <c r="L55" i="79"/>
  <c r="K55" i="79"/>
  <c r="J55" i="79"/>
  <c r="I55" i="79"/>
  <c r="H55" i="79"/>
  <c r="G55" i="79"/>
  <c r="F55" i="79"/>
  <c r="E55" i="79"/>
  <c r="E52" i="89" s="1"/>
  <c r="E52" i="90" s="1"/>
  <c r="E52" i="91" s="1"/>
  <c r="D55" i="79"/>
  <c r="D52" i="89" s="1"/>
  <c r="D52" i="90" s="1"/>
  <c r="D52" i="91" s="1"/>
  <c r="C55" i="79"/>
  <c r="C52" i="89" s="1"/>
  <c r="C52" i="90" s="1"/>
  <c r="C52" i="91" s="1"/>
  <c r="B55" i="79"/>
  <c r="B52" i="89" s="1"/>
  <c r="B52" i="90" s="1"/>
  <c r="B52" i="91" s="1"/>
  <c r="A55" i="79"/>
  <c r="A52" i="89" s="1"/>
  <c r="A52" i="90" s="1"/>
  <c r="A52" i="91" s="1"/>
  <c r="L54" i="79"/>
  <c r="K54" i="79"/>
  <c r="J54" i="79"/>
  <c r="I54" i="79"/>
  <c r="H54" i="79"/>
  <c r="G54" i="79"/>
  <c r="F54" i="79"/>
  <c r="E54" i="79"/>
  <c r="E51" i="89" s="1"/>
  <c r="E51" i="90" s="1"/>
  <c r="E51" i="91" s="1"/>
  <c r="D54" i="79"/>
  <c r="D51" i="89" s="1"/>
  <c r="D51" i="90" s="1"/>
  <c r="D51" i="91" s="1"/>
  <c r="C54" i="79"/>
  <c r="C51" i="89" s="1"/>
  <c r="C51" i="90" s="1"/>
  <c r="C51" i="91" s="1"/>
  <c r="B54" i="79"/>
  <c r="A54" i="79"/>
  <c r="A51" i="89" s="1"/>
  <c r="A51" i="90" s="1"/>
  <c r="A51" i="91" s="1"/>
  <c r="L53" i="79"/>
  <c r="K53" i="79"/>
  <c r="J53" i="79"/>
  <c r="I53" i="79"/>
  <c r="H53" i="79"/>
  <c r="G53" i="79"/>
  <c r="F53" i="79"/>
  <c r="E53" i="79"/>
  <c r="E50" i="89" s="1"/>
  <c r="E50" i="90" s="1"/>
  <c r="E50" i="91" s="1"/>
  <c r="D53" i="79"/>
  <c r="D50" i="89" s="1"/>
  <c r="D50" i="90" s="1"/>
  <c r="D50" i="91" s="1"/>
  <c r="C53" i="79"/>
  <c r="C50" i="89" s="1"/>
  <c r="C50" i="90" s="1"/>
  <c r="C50" i="91" s="1"/>
  <c r="B53" i="79"/>
  <c r="B50" i="89" s="1"/>
  <c r="B50" i="90" s="1"/>
  <c r="B50" i="91" s="1"/>
  <c r="A53" i="79"/>
  <c r="A50" i="89" s="1"/>
  <c r="A50" i="90" s="1"/>
  <c r="A50" i="91" s="1"/>
  <c r="L52" i="79"/>
  <c r="K52" i="79"/>
  <c r="J52" i="79"/>
  <c r="I52" i="79"/>
  <c r="H52" i="79"/>
  <c r="G52" i="79"/>
  <c r="F52" i="79"/>
  <c r="E52" i="79"/>
  <c r="E49" i="89" s="1"/>
  <c r="E49" i="90" s="1"/>
  <c r="E49" i="91" s="1"/>
  <c r="D52" i="79"/>
  <c r="D49" i="89" s="1"/>
  <c r="D49" i="90" s="1"/>
  <c r="D49" i="91" s="1"/>
  <c r="C52" i="79"/>
  <c r="C49" i="89" s="1"/>
  <c r="C49" i="90" s="1"/>
  <c r="C49" i="91" s="1"/>
  <c r="B52" i="79"/>
  <c r="M52" i="79" s="1"/>
  <c r="A52" i="79"/>
  <c r="A49" i="89" s="1"/>
  <c r="A49" i="90" s="1"/>
  <c r="A49" i="91" s="1"/>
  <c r="L51" i="79"/>
  <c r="K51" i="79"/>
  <c r="J51" i="79"/>
  <c r="I51" i="79"/>
  <c r="H51" i="79"/>
  <c r="G51" i="79"/>
  <c r="F51" i="79"/>
  <c r="E51" i="79"/>
  <c r="E48" i="89" s="1"/>
  <c r="E48" i="90" s="1"/>
  <c r="E48" i="91" s="1"/>
  <c r="D51" i="79"/>
  <c r="D48" i="89" s="1"/>
  <c r="D48" i="90" s="1"/>
  <c r="D48" i="91" s="1"/>
  <c r="C51" i="79"/>
  <c r="C48" i="89" s="1"/>
  <c r="C48" i="90" s="1"/>
  <c r="C48" i="91" s="1"/>
  <c r="B51" i="79"/>
  <c r="M51" i="79" s="1"/>
  <c r="A51" i="79"/>
  <c r="A48" i="89" s="1"/>
  <c r="A48" i="90" s="1"/>
  <c r="A48" i="91" s="1"/>
  <c r="L50" i="79"/>
  <c r="K50" i="79"/>
  <c r="J50" i="79"/>
  <c r="I50" i="79"/>
  <c r="H50" i="79"/>
  <c r="G50" i="79"/>
  <c r="F50" i="79"/>
  <c r="E50" i="79"/>
  <c r="E47" i="89" s="1"/>
  <c r="E47" i="90" s="1"/>
  <c r="E47" i="91" s="1"/>
  <c r="D50" i="79"/>
  <c r="D47" i="89" s="1"/>
  <c r="D47" i="90" s="1"/>
  <c r="D47" i="91" s="1"/>
  <c r="C50" i="79"/>
  <c r="C47" i="89" s="1"/>
  <c r="C47" i="90" s="1"/>
  <c r="C47" i="91" s="1"/>
  <c r="B50" i="79"/>
  <c r="B47" i="89" s="1"/>
  <c r="B47" i="90" s="1"/>
  <c r="B47" i="91" s="1"/>
  <c r="A50" i="79"/>
  <c r="A47" i="89" s="1"/>
  <c r="A47" i="90" s="1"/>
  <c r="A47" i="91" s="1"/>
  <c r="L49" i="79"/>
  <c r="K49" i="79"/>
  <c r="J49" i="79"/>
  <c r="I49" i="79"/>
  <c r="H49" i="79"/>
  <c r="G49" i="79"/>
  <c r="F49" i="79"/>
  <c r="E49" i="79"/>
  <c r="E46" i="89" s="1"/>
  <c r="E46" i="90" s="1"/>
  <c r="E46" i="91" s="1"/>
  <c r="D49" i="79"/>
  <c r="D46" i="89" s="1"/>
  <c r="D46" i="90" s="1"/>
  <c r="D46" i="91" s="1"/>
  <c r="C49" i="79"/>
  <c r="C46" i="89" s="1"/>
  <c r="C46" i="90" s="1"/>
  <c r="C46" i="91" s="1"/>
  <c r="B49" i="79"/>
  <c r="B46" i="89" s="1"/>
  <c r="B46" i="90" s="1"/>
  <c r="B46" i="91" s="1"/>
  <c r="A49" i="79"/>
  <c r="A46" i="89" s="1"/>
  <c r="A46" i="90" s="1"/>
  <c r="A46" i="91" s="1"/>
  <c r="L48" i="79"/>
  <c r="K48" i="79"/>
  <c r="J48" i="79"/>
  <c r="I48" i="79"/>
  <c r="H48" i="79"/>
  <c r="G48" i="79"/>
  <c r="F48" i="79"/>
  <c r="E48" i="79"/>
  <c r="E45" i="89" s="1"/>
  <c r="E45" i="90" s="1"/>
  <c r="E45" i="91" s="1"/>
  <c r="D48" i="79"/>
  <c r="D45" i="89" s="1"/>
  <c r="D45" i="90" s="1"/>
  <c r="D45" i="91" s="1"/>
  <c r="C48" i="79"/>
  <c r="C45" i="89" s="1"/>
  <c r="C45" i="90" s="1"/>
  <c r="C45" i="91" s="1"/>
  <c r="B48" i="79"/>
  <c r="B45" i="89" s="1"/>
  <c r="B45" i="90" s="1"/>
  <c r="B45" i="91" s="1"/>
  <c r="A48" i="79"/>
  <c r="A45" i="89" s="1"/>
  <c r="A45" i="90" s="1"/>
  <c r="A45" i="91" s="1"/>
  <c r="L47" i="79"/>
  <c r="K47" i="79"/>
  <c r="J47" i="79"/>
  <c r="I47" i="79"/>
  <c r="H47" i="79"/>
  <c r="G47" i="79"/>
  <c r="F47" i="79"/>
  <c r="E47" i="79"/>
  <c r="E44" i="89" s="1"/>
  <c r="E44" i="90" s="1"/>
  <c r="E44" i="91" s="1"/>
  <c r="D47" i="79"/>
  <c r="D44" i="89" s="1"/>
  <c r="D44" i="90" s="1"/>
  <c r="D44" i="91" s="1"/>
  <c r="C47" i="79"/>
  <c r="C44" i="89" s="1"/>
  <c r="C44" i="90" s="1"/>
  <c r="C44" i="91" s="1"/>
  <c r="B47" i="79"/>
  <c r="A47" i="79"/>
  <c r="A44" i="89" s="1"/>
  <c r="A44" i="90" s="1"/>
  <c r="A44" i="91" s="1"/>
  <c r="L46" i="79"/>
  <c r="K46" i="79"/>
  <c r="J46" i="79"/>
  <c r="I46" i="79"/>
  <c r="H46" i="79"/>
  <c r="G46" i="79"/>
  <c r="F46" i="79"/>
  <c r="E46" i="79"/>
  <c r="E43" i="89" s="1"/>
  <c r="E43" i="90" s="1"/>
  <c r="E43" i="91" s="1"/>
  <c r="D46" i="79"/>
  <c r="D43" i="89" s="1"/>
  <c r="D43" i="90" s="1"/>
  <c r="D43" i="91" s="1"/>
  <c r="C46" i="79"/>
  <c r="C43" i="89" s="1"/>
  <c r="C43" i="90" s="1"/>
  <c r="C43" i="91" s="1"/>
  <c r="B46" i="79"/>
  <c r="A46" i="79"/>
  <c r="A43" i="89" s="1"/>
  <c r="A43" i="90" s="1"/>
  <c r="A43" i="91" s="1"/>
  <c r="L45" i="79"/>
  <c r="K45" i="79"/>
  <c r="J45" i="79"/>
  <c r="I45" i="79"/>
  <c r="H45" i="79"/>
  <c r="G45" i="79"/>
  <c r="F45" i="79"/>
  <c r="E45" i="79"/>
  <c r="E42" i="89" s="1"/>
  <c r="E42" i="90" s="1"/>
  <c r="E42" i="91" s="1"/>
  <c r="D45" i="79"/>
  <c r="D42" i="89" s="1"/>
  <c r="D42" i="90" s="1"/>
  <c r="D42" i="91" s="1"/>
  <c r="C45" i="79"/>
  <c r="C42" i="89" s="1"/>
  <c r="C42" i="90" s="1"/>
  <c r="C42" i="91" s="1"/>
  <c r="B45" i="79"/>
  <c r="B42" i="89" s="1"/>
  <c r="B42" i="90" s="1"/>
  <c r="B42" i="91" s="1"/>
  <c r="A45" i="79"/>
  <c r="A42" i="89" s="1"/>
  <c r="A42" i="90" s="1"/>
  <c r="A42" i="91" s="1"/>
  <c r="L44" i="79"/>
  <c r="K44" i="79"/>
  <c r="J44" i="79"/>
  <c r="I44" i="79"/>
  <c r="H44" i="79"/>
  <c r="G44" i="79"/>
  <c r="F44" i="79"/>
  <c r="E44" i="79"/>
  <c r="E41" i="89" s="1"/>
  <c r="E41" i="90" s="1"/>
  <c r="E41" i="91" s="1"/>
  <c r="D44" i="79"/>
  <c r="D41" i="89" s="1"/>
  <c r="D41" i="90" s="1"/>
  <c r="D41" i="91" s="1"/>
  <c r="C44" i="79"/>
  <c r="C41" i="89" s="1"/>
  <c r="C41" i="90" s="1"/>
  <c r="C41" i="91" s="1"/>
  <c r="B44" i="79"/>
  <c r="A44" i="79"/>
  <c r="A41" i="89" s="1"/>
  <c r="A41" i="90" s="1"/>
  <c r="A41" i="91" s="1"/>
  <c r="L43" i="79"/>
  <c r="K43" i="79"/>
  <c r="J43" i="79"/>
  <c r="I43" i="79"/>
  <c r="H43" i="79"/>
  <c r="G43" i="79"/>
  <c r="F43" i="79"/>
  <c r="E43" i="79"/>
  <c r="E40" i="89" s="1"/>
  <c r="E40" i="90" s="1"/>
  <c r="E40" i="91" s="1"/>
  <c r="D43" i="79"/>
  <c r="D40" i="89" s="1"/>
  <c r="D40" i="90" s="1"/>
  <c r="D40" i="91" s="1"/>
  <c r="C43" i="79"/>
  <c r="C40" i="89" s="1"/>
  <c r="C40" i="90" s="1"/>
  <c r="C40" i="91" s="1"/>
  <c r="B43" i="79"/>
  <c r="A43" i="79"/>
  <c r="A40" i="89" s="1"/>
  <c r="A40" i="90" s="1"/>
  <c r="A40" i="91" s="1"/>
  <c r="L42" i="79"/>
  <c r="K42" i="79"/>
  <c r="J42" i="79"/>
  <c r="I42" i="79"/>
  <c r="H42" i="79"/>
  <c r="G42" i="79"/>
  <c r="F42" i="79"/>
  <c r="E42" i="79"/>
  <c r="E39" i="89" s="1"/>
  <c r="E39" i="90" s="1"/>
  <c r="E39" i="91" s="1"/>
  <c r="D42" i="79"/>
  <c r="D39" i="89" s="1"/>
  <c r="D39" i="90" s="1"/>
  <c r="D39" i="91" s="1"/>
  <c r="C42" i="79"/>
  <c r="C39" i="89" s="1"/>
  <c r="C39" i="90" s="1"/>
  <c r="C39" i="91" s="1"/>
  <c r="B42" i="79"/>
  <c r="B39" i="89" s="1"/>
  <c r="B39" i="90" s="1"/>
  <c r="B39" i="91" s="1"/>
  <c r="A42" i="79"/>
  <c r="A39" i="89" s="1"/>
  <c r="A39" i="90" s="1"/>
  <c r="A39" i="91" s="1"/>
  <c r="L41" i="79"/>
  <c r="K41" i="79"/>
  <c r="J41" i="79"/>
  <c r="I41" i="79"/>
  <c r="H41" i="79"/>
  <c r="G41" i="79"/>
  <c r="F41" i="79"/>
  <c r="E41" i="79"/>
  <c r="E38" i="89" s="1"/>
  <c r="E38" i="90" s="1"/>
  <c r="E38" i="91" s="1"/>
  <c r="D41" i="79"/>
  <c r="D38" i="89" s="1"/>
  <c r="D38" i="90" s="1"/>
  <c r="D38" i="91" s="1"/>
  <c r="C41" i="79"/>
  <c r="C38" i="89" s="1"/>
  <c r="C38" i="90" s="1"/>
  <c r="C38" i="91" s="1"/>
  <c r="B41" i="79"/>
  <c r="B38" i="89" s="1"/>
  <c r="B38" i="90" s="1"/>
  <c r="B38" i="91" s="1"/>
  <c r="A41" i="79"/>
  <c r="A38" i="89" s="1"/>
  <c r="A38" i="90" s="1"/>
  <c r="A38" i="91" s="1"/>
  <c r="L40" i="79"/>
  <c r="K40" i="79"/>
  <c r="J40" i="79"/>
  <c r="I40" i="79"/>
  <c r="H40" i="79"/>
  <c r="G40" i="79"/>
  <c r="F40" i="79"/>
  <c r="E40" i="79"/>
  <c r="E37" i="89" s="1"/>
  <c r="E37" i="90" s="1"/>
  <c r="E37" i="91" s="1"/>
  <c r="D40" i="79"/>
  <c r="D37" i="89" s="1"/>
  <c r="D37" i="90" s="1"/>
  <c r="D37" i="91" s="1"/>
  <c r="C40" i="79"/>
  <c r="C37" i="89" s="1"/>
  <c r="C37" i="90" s="1"/>
  <c r="C37" i="91" s="1"/>
  <c r="B40" i="79"/>
  <c r="B37" i="89" s="1"/>
  <c r="B37" i="90" s="1"/>
  <c r="B37" i="91" s="1"/>
  <c r="A40" i="79"/>
  <c r="A37" i="89" s="1"/>
  <c r="A37" i="90" s="1"/>
  <c r="A37" i="91" s="1"/>
  <c r="L39" i="79"/>
  <c r="K39" i="79"/>
  <c r="J39" i="79"/>
  <c r="I39" i="79"/>
  <c r="H39" i="79"/>
  <c r="G39" i="79"/>
  <c r="F39" i="79"/>
  <c r="E39" i="79"/>
  <c r="E36" i="89" s="1"/>
  <c r="E36" i="90" s="1"/>
  <c r="E36" i="91" s="1"/>
  <c r="D39" i="79"/>
  <c r="D36" i="89" s="1"/>
  <c r="D36" i="90" s="1"/>
  <c r="D36" i="91" s="1"/>
  <c r="C39" i="79"/>
  <c r="C36" i="89" s="1"/>
  <c r="C36" i="90" s="1"/>
  <c r="C36" i="91" s="1"/>
  <c r="B39" i="79"/>
  <c r="A39" i="79"/>
  <c r="A36" i="89" s="1"/>
  <c r="A36" i="90" s="1"/>
  <c r="A36" i="91" s="1"/>
  <c r="L38" i="79"/>
  <c r="K38" i="79"/>
  <c r="J38" i="79"/>
  <c r="I38" i="79"/>
  <c r="H38" i="79"/>
  <c r="G38" i="79"/>
  <c r="F38" i="79"/>
  <c r="E38" i="79"/>
  <c r="E35" i="89" s="1"/>
  <c r="E35" i="90" s="1"/>
  <c r="E35" i="91" s="1"/>
  <c r="D38" i="79"/>
  <c r="D35" i="89" s="1"/>
  <c r="D35" i="90" s="1"/>
  <c r="D35" i="91" s="1"/>
  <c r="C38" i="79"/>
  <c r="C35" i="89" s="1"/>
  <c r="C35" i="90" s="1"/>
  <c r="C35" i="91" s="1"/>
  <c r="B38" i="79"/>
  <c r="M38" i="79" s="1"/>
  <c r="A38" i="79"/>
  <c r="A35" i="89" s="1"/>
  <c r="A35" i="90" s="1"/>
  <c r="A35" i="91" s="1"/>
  <c r="L37" i="79"/>
  <c r="K37" i="79"/>
  <c r="J37" i="79"/>
  <c r="I37" i="79"/>
  <c r="H37" i="79"/>
  <c r="G37" i="79"/>
  <c r="F37" i="79"/>
  <c r="E37" i="79"/>
  <c r="E34" i="89" s="1"/>
  <c r="E34" i="90" s="1"/>
  <c r="E34" i="91" s="1"/>
  <c r="D37" i="79"/>
  <c r="D34" i="89" s="1"/>
  <c r="D34" i="90" s="1"/>
  <c r="D34" i="91" s="1"/>
  <c r="C37" i="79"/>
  <c r="C34" i="89" s="1"/>
  <c r="C34" i="90" s="1"/>
  <c r="C34" i="91" s="1"/>
  <c r="B37" i="79"/>
  <c r="M37" i="79" s="1"/>
  <c r="A37" i="79"/>
  <c r="A34" i="89" s="1"/>
  <c r="A34" i="90" s="1"/>
  <c r="A34" i="91" s="1"/>
  <c r="L36" i="79"/>
  <c r="K36" i="79"/>
  <c r="J36" i="79"/>
  <c r="I36" i="79"/>
  <c r="H36" i="79"/>
  <c r="G36" i="79"/>
  <c r="F36" i="79"/>
  <c r="E36" i="79"/>
  <c r="E33" i="89" s="1"/>
  <c r="E33" i="90" s="1"/>
  <c r="E33" i="91" s="1"/>
  <c r="D36" i="79"/>
  <c r="D33" i="89" s="1"/>
  <c r="D33" i="90" s="1"/>
  <c r="D33" i="91" s="1"/>
  <c r="C36" i="79"/>
  <c r="C33" i="89" s="1"/>
  <c r="C33" i="90" s="1"/>
  <c r="C33" i="91" s="1"/>
  <c r="B36" i="79"/>
  <c r="M36" i="79" s="1"/>
  <c r="A36" i="79"/>
  <c r="A33" i="89" s="1"/>
  <c r="A33" i="90" s="1"/>
  <c r="A33" i="91" s="1"/>
  <c r="L35" i="79"/>
  <c r="K35" i="79"/>
  <c r="J35" i="79"/>
  <c r="I35" i="79"/>
  <c r="H35" i="79"/>
  <c r="G35" i="79"/>
  <c r="F35" i="79"/>
  <c r="E35" i="79"/>
  <c r="E32" i="89" s="1"/>
  <c r="E32" i="90" s="1"/>
  <c r="E32" i="91" s="1"/>
  <c r="D35" i="79"/>
  <c r="D32" i="89" s="1"/>
  <c r="D32" i="90" s="1"/>
  <c r="D32" i="91" s="1"/>
  <c r="C35" i="79"/>
  <c r="C32" i="89" s="1"/>
  <c r="C32" i="90" s="1"/>
  <c r="C32" i="91" s="1"/>
  <c r="B35" i="79"/>
  <c r="A35" i="79"/>
  <c r="A32" i="89" s="1"/>
  <c r="A32" i="90" s="1"/>
  <c r="A32" i="91" s="1"/>
  <c r="L34" i="79"/>
  <c r="K34" i="79"/>
  <c r="J34" i="79"/>
  <c r="I34" i="79"/>
  <c r="H34" i="79"/>
  <c r="G34" i="79"/>
  <c r="F34" i="79"/>
  <c r="E34" i="79"/>
  <c r="E31" i="89" s="1"/>
  <c r="E31" i="90" s="1"/>
  <c r="E31" i="91" s="1"/>
  <c r="D34" i="79"/>
  <c r="D31" i="89" s="1"/>
  <c r="D31" i="90" s="1"/>
  <c r="D31" i="91" s="1"/>
  <c r="C34" i="79"/>
  <c r="C31" i="89" s="1"/>
  <c r="C31" i="90" s="1"/>
  <c r="C31" i="91" s="1"/>
  <c r="B34" i="79"/>
  <c r="B31" i="89" s="1"/>
  <c r="B31" i="90" s="1"/>
  <c r="B31" i="91" s="1"/>
  <c r="A34" i="79"/>
  <c r="A31" i="89" s="1"/>
  <c r="A31" i="90" s="1"/>
  <c r="A31" i="91" s="1"/>
  <c r="L33" i="79"/>
  <c r="K33" i="79"/>
  <c r="J33" i="79"/>
  <c r="I33" i="79"/>
  <c r="H33" i="79"/>
  <c r="G33" i="79"/>
  <c r="F33" i="79"/>
  <c r="E33" i="79"/>
  <c r="E30" i="89" s="1"/>
  <c r="E30" i="90" s="1"/>
  <c r="E30" i="91" s="1"/>
  <c r="D33" i="79"/>
  <c r="D30" i="89" s="1"/>
  <c r="D30" i="90" s="1"/>
  <c r="D30" i="91" s="1"/>
  <c r="C33" i="79"/>
  <c r="C30" i="89" s="1"/>
  <c r="C30" i="90" s="1"/>
  <c r="C30" i="91" s="1"/>
  <c r="B33" i="79"/>
  <c r="B30" i="89" s="1"/>
  <c r="B30" i="90" s="1"/>
  <c r="B30" i="91" s="1"/>
  <c r="A33" i="79"/>
  <c r="A30" i="89" s="1"/>
  <c r="A30" i="90" s="1"/>
  <c r="A30" i="91" s="1"/>
  <c r="L32" i="79"/>
  <c r="K32" i="79"/>
  <c r="J32" i="79"/>
  <c r="I32" i="79"/>
  <c r="H32" i="79"/>
  <c r="G32" i="79"/>
  <c r="F32" i="79"/>
  <c r="E32" i="79"/>
  <c r="E29" i="89" s="1"/>
  <c r="E29" i="90" s="1"/>
  <c r="E29" i="91" s="1"/>
  <c r="D32" i="79"/>
  <c r="D29" i="89" s="1"/>
  <c r="D29" i="90" s="1"/>
  <c r="D29" i="91" s="1"/>
  <c r="C32" i="79"/>
  <c r="C29" i="89" s="1"/>
  <c r="C29" i="90" s="1"/>
  <c r="C29" i="91" s="1"/>
  <c r="B32" i="79"/>
  <c r="M32" i="79" s="1"/>
  <c r="A32" i="79"/>
  <c r="A29" i="89" s="1"/>
  <c r="A29" i="90" s="1"/>
  <c r="A29" i="91" s="1"/>
  <c r="L31" i="79"/>
  <c r="K31" i="79"/>
  <c r="J31" i="79"/>
  <c r="I31" i="79"/>
  <c r="H31" i="79"/>
  <c r="G31" i="79"/>
  <c r="F31" i="79"/>
  <c r="E31" i="79"/>
  <c r="E28" i="89" s="1"/>
  <c r="E28" i="90" s="1"/>
  <c r="E28" i="91" s="1"/>
  <c r="D31" i="79"/>
  <c r="D28" i="89" s="1"/>
  <c r="D28" i="90" s="1"/>
  <c r="D28" i="91" s="1"/>
  <c r="C31" i="79"/>
  <c r="C28" i="89" s="1"/>
  <c r="C28" i="90" s="1"/>
  <c r="C28" i="91" s="1"/>
  <c r="B31" i="79"/>
  <c r="M31" i="79" s="1"/>
  <c r="A31" i="79"/>
  <c r="A28" i="89" s="1"/>
  <c r="A28" i="90" s="1"/>
  <c r="A28" i="91" s="1"/>
  <c r="L30" i="79"/>
  <c r="K30" i="79"/>
  <c r="J30" i="79"/>
  <c r="I30" i="79"/>
  <c r="H30" i="79"/>
  <c r="G30" i="79"/>
  <c r="F30" i="79"/>
  <c r="E30" i="79"/>
  <c r="E27" i="89" s="1"/>
  <c r="E27" i="90" s="1"/>
  <c r="E27" i="91" s="1"/>
  <c r="D30" i="79"/>
  <c r="D27" i="89" s="1"/>
  <c r="D27" i="90" s="1"/>
  <c r="D27" i="91" s="1"/>
  <c r="C30" i="79"/>
  <c r="C27" i="89" s="1"/>
  <c r="C27" i="90" s="1"/>
  <c r="C27" i="91" s="1"/>
  <c r="B30" i="79"/>
  <c r="B27" i="89" s="1"/>
  <c r="B27" i="90" s="1"/>
  <c r="B27" i="91" s="1"/>
  <c r="A30" i="79"/>
  <c r="A27" i="89" s="1"/>
  <c r="A27" i="90" s="1"/>
  <c r="A27" i="91" s="1"/>
  <c r="L29" i="79"/>
  <c r="K29" i="79"/>
  <c r="J29" i="79"/>
  <c r="I29" i="79"/>
  <c r="H29" i="79"/>
  <c r="G29" i="79"/>
  <c r="F29" i="79"/>
  <c r="E29" i="79"/>
  <c r="E26" i="89" s="1"/>
  <c r="E26" i="90" s="1"/>
  <c r="E26" i="91" s="1"/>
  <c r="D29" i="79"/>
  <c r="D26" i="89" s="1"/>
  <c r="D26" i="90" s="1"/>
  <c r="D26" i="91" s="1"/>
  <c r="C29" i="79"/>
  <c r="C26" i="89" s="1"/>
  <c r="C26" i="90" s="1"/>
  <c r="C26" i="91" s="1"/>
  <c r="B29" i="79"/>
  <c r="A29" i="79"/>
  <c r="A26" i="89" s="1"/>
  <c r="A26" i="90" s="1"/>
  <c r="A26" i="91" s="1"/>
  <c r="L28" i="79"/>
  <c r="K28" i="79"/>
  <c r="J28" i="79"/>
  <c r="I28" i="79"/>
  <c r="H28" i="79"/>
  <c r="G28" i="79"/>
  <c r="F28" i="79"/>
  <c r="E28" i="79"/>
  <c r="E25" i="89" s="1"/>
  <c r="E25" i="90" s="1"/>
  <c r="E25" i="91" s="1"/>
  <c r="D28" i="79"/>
  <c r="D25" i="89" s="1"/>
  <c r="D25" i="90" s="1"/>
  <c r="D25" i="91" s="1"/>
  <c r="C28" i="79"/>
  <c r="C25" i="89" s="1"/>
  <c r="C25" i="90" s="1"/>
  <c r="C25" i="91" s="1"/>
  <c r="B28" i="79"/>
  <c r="B25" i="89" s="1"/>
  <c r="B25" i="90" s="1"/>
  <c r="B25" i="91" s="1"/>
  <c r="A28" i="79"/>
  <c r="A25" i="89" s="1"/>
  <c r="A25" i="90" s="1"/>
  <c r="A25" i="91" s="1"/>
  <c r="L27" i="79"/>
  <c r="K27" i="79"/>
  <c r="J27" i="79"/>
  <c r="I27" i="79"/>
  <c r="H27" i="79"/>
  <c r="G27" i="79"/>
  <c r="F27" i="79"/>
  <c r="E27" i="79"/>
  <c r="E24" i="89" s="1"/>
  <c r="E24" i="90" s="1"/>
  <c r="E24" i="91" s="1"/>
  <c r="D27" i="79"/>
  <c r="D24" i="89" s="1"/>
  <c r="D24" i="90" s="1"/>
  <c r="D24" i="91" s="1"/>
  <c r="C27" i="79"/>
  <c r="C24" i="89" s="1"/>
  <c r="C24" i="90" s="1"/>
  <c r="C24" i="91" s="1"/>
  <c r="B27" i="79"/>
  <c r="B24" i="89" s="1"/>
  <c r="B24" i="90" s="1"/>
  <c r="B24" i="91" s="1"/>
  <c r="A27" i="79"/>
  <c r="A24" i="89" s="1"/>
  <c r="A24" i="90" s="1"/>
  <c r="A24" i="91" s="1"/>
  <c r="L26" i="79"/>
  <c r="K26" i="79"/>
  <c r="J26" i="79"/>
  <c r="I26" i="79"/>
  <c r="H26" i="79"/>
  <c r="G26" i="79"/>
  <c r="F26" i="79"/>
  <c r="E26" i="79"/>
  <c r="E23" i="89" s="1"/>
  <c r="E23" i="90" s="1"/>
  <c r="E23" i="91" s="1"/>
  <c r="D26" i="79"/>
  <c r="D23" i="89" s="1"/>
  <c r="D23" i="90" s="1"/>
  <c r="D23" i="91" s="1"/>
  <c r="C26" i="79"/>
  <c r="C23" i="89" s="1"/>
  <c r="C23" i="90" s="1"/>
  <c r="C23" i="91" s="1"/>
  <c r="B26" i="79"/>
  <c r="B23" i="89" s="1"/>
  <c r="B23" i="90" s="1"/>
  <c r="B23" i="91" s="1"/>
  <c r="A26" i="79"/>
  <c r="A23" i="89" s="1"/>
  <c r="A23" i="90" s="1"/>
  <c r="A23" i="91" s="1"/>
  <c r="L25" i="79"/>
  <c r="K25" i="79"/>
  <c r="J25" i="79"/>
  <c r="I25" i="79"/>
  <c r="H25" i="79"/>
  <c r="G25" i="79"/>
  <c r="F25" i="79"/>
  <c r="E25" i="79"/>
  <c r="E22" i="89" s="1"/>
  <c r="E22" i="90" s="1"/>
  <c r="E22" i="91" s="1"/>
  <c r="D25" i="79"/>
  <c r="D22" i="89" s="1"/>
  <c r="D22" i="90" s="1"/>
  <c r="D22" i="91" s="1"/>
  <c r="C25" i="79"/>
  <c r="C22" i="89" s="1"/>
  <c r="C22" i="90" s="1"/>
  <c r="C22" i="91" s="1"/>
  <c r="B25" i="79"/>
  <c r="M25" i="79" s="1"/>
  <c r="A25" i="79"/>
  <c r="A22" i="89" s="1"/>
  <c r="A22" i="90" s="1"/>
  <c r="A22" i="91" s="1"/>
  <c r="L24" i="79"/>
  <c r="K24" i="79"/>
  <c r="J24" i="79"/>
  <c r="I24" i="79"/>
  <c r="H24" i="79"/>
  <c r="G24" i="79"/>
  <c r="F24" i="79"/>
  <c r="E24" i="79"/>
  <c r="E21" i="89" s="1"/>
  <c r="E21" i="90" s="1"/>
  <c r="E21" i="91" s="1"/>
  <c r="D24" i="79"/>
  <c r="D21" i="89" s="1"/>
  <c r="D21" i="90" s="1"/>
  <c r="D21" i="91" s="1"/>
  <c r="C24" i="79"/>
  <c r="C21" i="89" s="1"/>
  <c r="C21" i="90" s="1"/>
  <c r="C21" i="91" s="1"/>
  <c r="B24" i="79"/>
  <c r="B21" i="89" s="1"/>
  <c r="B21" i="90" s="1"/>
  <c r="B21" i="91" s="1"/>
  <c r="A24" i="79"/>
  <c r="A21" i="89" s="1"/>
  <c r="A21" i="90" s="1"/>
  <c r="A21" i="91" s="1"/>
  <c r="L23" i="79"/>
  <c r="K23" i="79"/>
  <c r="J23" i="79"/>
  <c r="I23" i="79"/>
  <c r="H23" i="79"/>
  <c r="G23" i="79"/>
  <c r="F23" i="79"/>
  <c r="E23" i="79"/>
  <c r="E20" i="89" s="1"/>
  <c r="E20" i="90" s="1"/>
  <c r="E20" i="91" s="1"/>
  <c r="D23" i="79"/>
  <c r="D20" i="89" s="1"/>
  <c r="D20" i="90" s="1"/>
  <c r="D20" i="91" s="1"/>
  <c r="C23" i="79"/>
  <c r="C20" i="89" s="1"/>
  <c r="C20" i="90" s="1"/>
  <c r="C20" i="91" s="1"/>
  <c r="B23" i="79"/>
  <c r="B20" i="89" s="1"/>
  <c r="B20" i="90" s="1"/>
  <c r="B20" i="91" s="1"/>
  <c r="A23" i="79"/>
  <c r="A20" i="89" s="1"/>
  <c r="A20" i="90" s="1"/>
  <c r="A20" i="91" s="1"/>
  <c r="L22" i="79"/>
  <c r="K22" i="79"/>
  <c r="J22" i="79"/>
  <c r="I22" i="79"/>
  <c r="H22" i="79"/>
  <c r="G22" i="79"/>
  <c r="F22" i="79"/>
  <c r="E22" i="79"/>
  <c r="E19" i="89" s="1"/>
  <c r="E19" i="90" s="1"/>
  <c r="E19" i="91" s="1"/>
  <c r="D22" i="79"/>
  <c r="D19" i="89" s="1"/>
  <c r="D19" i="90" s="1"/>
  <c r="D19" i="91" s="1"/>
  <c r="C22" i="79"/>
  <c r="C19" i="89" s="1"/>
  <c r="C19" i="90" s="1"/>
  <c r="C19" i="91" s="1"/>
  <c r="B22" i="79"/>
  <c r="B19" i="89" s="1"/>
  <c r="B19" i="90" s="1"/>
  <c r="B19" i="91" s="1"/>
  <c r="A22" i="79"/>
  <c r="A19" i="89" s="1"/>
  <c r="A19" i="90" s="1"/>
  <c r="A19" i="91" s="1"/>
  <c r="L21" i="79"/>
  <c r="K21" i="79"/>
  <c r="J21" i="79"/>
  <c r="I21" i="79"/>
  <c r="H21" i="79"/>
  <c r="G21" i="79"/>
  <c r="F21" i="79"/>
  <c r="E21" i="79"/>
  <c r="E18" i="89" s="1"/>
  <c r="E18" i="90" s="1"/>
  <c r="E18" i="91" s="1"/>
  <c r="D21" i="79"/>
  <c r="D18" i="89" s="1"/>
  <c r="D18" i="90" s="1"/>
  <c r="D18" i="91" s="1"/>
  <c r="C21" i="79"/>
  <c r="C18" i="89" s="1"/>
  <c r="C18" i="90" s="1"/>
  <c r="C18" i="91" s="1"/>
  <c r="B21" i="79"/>
  <c r="B18" i="89" s="1"/>
  <c r="B18" i="90" s="1"/>
  <c r="B18" i="91" s="1"/>
  <c r="A21" i="79"/>
  <c r="A18" i="89" s="1"/>
  <c r="A18" i="90" s="1"/>
  <c r="A18" i="91" s="1"/>
  <c r="L20" i="79"/>
  <c r="K20" i="79"/>
  <c r="J20" i="79"/>
  <c r="I20" i="79"/>
  <c r="H20" i="79"/>
  <c r="G20" i="79"/>
  <c r="F20" i="79"/>
  <c r="E20" i="79"/>
  <c r="E17" i="89" s="1"/>
  <c r="E17" i="90" s="1"/>
  <c r="E17" i="91" s="1"/>
  <c r="D20" i="79"/>
  <c r="D17" i="89" s="1"/>
  <c r="D17" i="90" s="1"/>
  <c r="D17" i="91" s="1"/>
  <c r="C20" i="79"/>
  <c r="C17" i="89" s="1"/>
  <c r="C17" i="90" s="1"/>
  <c r="C17" i="91" s="1"/>
  <c r="B20" i="79"/>
  <c r="B17" i="89" s="1"/>
  <c r="B17" i="90" s="1"/>
  <c r="B17" i="91" s="1"/>
  <c r="A20" i="79"/>
  <c r="A17" i="89" s="1"/>
  <c r="A17" i="90" s="1"/>
  <c r="A17" i="91" s="1"/>
  <c r="L19" i="79"/>
  <c r="K19" i="79"/>
  <c r="J19" i="79"/>
  <c r="I19" i="79"/>
  <c r="H19" i="79"/>
  <c r="G19" i="79"/>
  <c r="F19" i="79"/>
  <c r="E19" i="79"/>
  <c r="E16" i="89" s="1"/>
  <c r="E16" i="90" s="1"/>
  <c r="E16" i="91" s="1"/>
  <c r="D19" i="79"/>
  <c r="D16" i="89" s="1"/>
  <c r="D16" i="90" s="1"/>
  <c r="D16" i="91" s="1"/>
  <c r="C19" i="79"/>
  <c r="C16" i="89" s="1"/>
  <c r="C16" i="90" s="1"/>
  <c r="C16" i="91" s="1"/>
  <c r="B19" i="79"/>
  <c r="A19" i="79"/>
  <c r="A16" i="89" s="1"/>
  <c r="A16" i="90" s="1"/>
  <c r="A16" i="91" s="1"/>
  <c r="L18" i="79"/>
  <c r="K18" i="79"/>
  <c r="J18" i="79"/>
  <c r="I18" i="79"/>
  <c r="H18" i="79"/>
  <c r="G18" i="79"/>
  <c r="F18" i="79"/>
  <c r="E18" i="79"/>
  <c r="E15" i="89" s="1"/>
  <c r="E15" i="90" s="1"/>
  <c r="E15" i="91" s="1"/>
  <c r="D18" i="79"/>
  <c r="D15" i="89" s="1"/>
  <c r="D15" i="90" s="1"/>
  <c r="D15" i="91" s="1"/>
  <c r="C18" i="79"/>
  <c r="C15" i="89" s="1"/>
  <c r="C15" i="90" s="1"/>
  <c r="C15" i="91" s="1"/>
  <c r="B18" i="79"/>
  <c r="B15" i="89" s="1"/>
  <c r="B15" i="90" s="1"/>
  <c r="B15" i="91" s="1"/>
  <c r="A18" i="79"/>
  <c r="A15" i="89" s="1"/>
  <c r="A15" i="90" s="1"/>
  <c r="A15" i="91" s="1"/>
  <c r="L17" i="79"/>
  <c r="K17" i="79"/>
  <c r="J17" i="79"/>
  <c r="I17" i="79"/>
  <c r="H17" i="79"/>
  <c r="G17" i="79"/>
  <c r="F17" i="79"/>
  <c r="E17" i="79"/>
  <c r="E14" i="89" s="1"/>
  <c r="E14" i="90" s="1"/>
  <c r="E14" i="91" s="1"/>
  <c r="D17" i="79"/>
  <c r="D14" i="89" s="1"/>
  <c r="D14" i="90" s="1"/>
  <c r="D14" i="91" s="1"/>
  <c r="C17" i="79"/>
  <c r="C14" i="89" s="1"/>
  <c r="C14" i="90" s="1"/>
  <c r="C14" i="91" s="1"/>
  <c r="B17" i="79"/>
  <c r="M17" i="79" s="1"/>
  <c r="A17" i="79"/>
  <c r="A14" i="89" s="1"/>
  <c r="A14" i="90" s="1"/>
  <c r="A14" i="91" s="1"/>
  <c r="L16" i="79"/>
  <c r="K16" i="79"/>
  <c r="J16" i="79"/>
  <c r="I16" i="79"/>
  <c r="H16" i="79"/>
  <c r="G16" i="79"/>
  <c r="F16" i="79"/>
  <c r="E16" i="79"/>
  <c r="E13" i="89" s="1"/>
  <c r="E13" i="90" s="1"/>
  <c r="E13" i="91" s="1"/>
  <c r="D16" i="79"/>
  <c r="D13" i="89" s="1"/>
  <c r="D13" i="90" s="1"/>
  <c r="D13" i="91" s="1"/>
  <c r="C16" i="79"/>
  <c r="C13" i="89" s="1"/>
  <c r="C13" i="90" s="1"/>
  <c r="C13" i="91" s="1"/>
  <c r="B16" i="79"/>
  <c r="B13" i="89" s="1"/>
  <c r="A16" i="79"/>
  <c r="A13" i="89" s="1"/>
  <c r="A13" i="90" s="1"/>
  <c r="A13" i="91" s="1"/>
  <c r="L15" i="79"/>
  <c r="K15" i="79"/>
  <c r="J15" i="79"/>
  <c r="I15" i="79"/>
  <c r="H15" i="79"/>
  <c r="G15" i="79"/>
  <c r="F15" i="79"/>
  <c r="E15" i="79"/>
  <c r="E12" i="89" s="1"/>
  <c r="E12" i="90" s="1"/>
  <c r="E12" i="91" s="1"/>
  <c r="D15" i="79"/>
  <c r="D12" i="89" s="1"/>
  <c r="D12" i="90" s="1"/>
  <c r="D12" i="91" s="1"/>
  <c r="C15" i="79"/>
  <c r="C12" i="89" s="1"/>
  <c r="C12" i="90" s="1"/>
  <c r="C12" i="91" s="1"/>
  <c r="B15" i="79"/>
  <c r="A15" i="79"/>
  <c r="A12" i="89" s="1"/>
  <c r="A12" i="90" s="1"/>
  <c r="A12" i="91" s="1"/>
  <c r="L14" i="79"/>
  <c r="K14" i="79"/>
  <c r="J14" i="79"/>
  <c r="I14" i="79"/>
  <c r="H14" i="79"/>
  <c r="G14" i="79"/>
  <c r="F14" i="79"/>
  <c r="E14" i="79"/>
  <c r="E11" i="89" s="1"/>
  <c r="E11" i="90" s="1"/>
  <c r="E11" i="91" s="1"/>
  <c r="D14" i="79"/>
  <c r="D11" i="89" s="1"/>
  <c r="D11" i="90" s="1"/>
  <c r="D11" i="91" s="1"/>
  <c r="C14" i="79"/>
  <c r="C11" i="89" s="1"/>
  <c r="C11" i="90" s="1"/>
  <c r="C11" i="91" s="1"/>
  <c r="B14" i="79"/>
  <c r="B11" i="89" s="1"/>
  <c r="B11" i="90" s="1"/>
  <c r="B11" i="91" s="1"/>
  <c r="A14" i="79"/>
  <c r="A11" i="89" s="1"/>
  <c r="A11" i="90" s="1"/>
  <c r="A11" i="91" s="1"/>
  <c r="L13" i="79"/>
  <c r="K13" i="79"/>
  <c r="J13" i="79"/>
  <c r="I13" i="79"/>
  <c r="H13" i="79"/>
  <c r="G13" i="79"/>
  <c r="F13" i="79"/>
  <c r="E13" i="79"/>
  <c r="E10" i="89" s="1"/>
  <c r="E10" i="90" s="1"/>
  <c r="E10" i="91" s="1"/>
  <c r="D13" i="79"/>
  <c r="D10" i="89" s="1"/>
  <c r="D10" i="90" s="1"/>
  <c r="D10" i="91" s="1"/>
  <c r="C13" i="79"/>
  <c r="C10" i="89" s="1"/>
  <c r="C10" i="90" s="1"/>
  <c r="C10" i="91" s="1"/>
  <c r="B13" i="79"/>
  <c r="B10" i="89" s="1"/>
  <c r="B10" i="90" s="1"/>
  <c r="B10" i="91" s="1"/>
  <c r="A13" i="79"/>
  <c r="A10" i="89" s="1"/>
  <c r="A10" i="90" s="1"/>
  <c r="A10" i="91" s="1"/>
  <c r="L12" i="79"/>
  <c r="K12" i="79"/>
  <c r="J12" i="79"/>
  <c r="I12" i="79"/>
  <c r="H12" i="79"/>
  <c r="G12" i="79"/>
  <c r="F12" i="79"/>
  <c r="E12" i="79"/>
  <c r="E9" i="89" s="1"/>
  <c r="E9" i="90" s="1"/>
  <c r="E9" i="91" s="1"/>
  <c r="D12" i="79"/>
  <c r="D9" i="89" s="1"/>
  <c r="D9" i="90" s="1"/>
  <c r="D9" i="91" s="1"/>
  <c r="C12" i="79"/>
  <c r="C9" i="89" s="1"/>
  <c r="C9" i="90" s="1"/>
  <c r="C9" i="91" s="1"/>
  <c r="B12" i="79"/>
  <c r="B9" i="89" s="1"/>
  <c r="B9" i="90" s="1"/>
  <c r="B9" i="91" s="1"/>
  <c r="A12" i="79"/>
  <c r="A9" i="89" s="1"/>
  <c r="A9" i="90" s="1"/>
  <c r="A9" i="91" s="1"/>
  <c r="L11" i="79"/>
  <c r="K11" i="79"/>
  <c r="J11" i="79"/>
  <c r="I11" i="79"/>
  <c r="H11" i="79"/>
  <c r="G11" i="79"/>
  <c r="F11" i="79"/>
  <c r="E11" i="79"/>
  <c r="E8" i="89" s="1"/>
  <c r="E8" i="90" s="1"/>
  <c r="E8" i="91" s="1"/>
  <c r="D11" i="79"/>
  <c r="D8" i="89" s="1"/>
  <c r="D8" i="90" s="1"/>
  <c r="D8" i="91" s="1"/>
  <c r="C11" i="79"/>
  <c r="C8" i="89" s="1"/>
  <c r="C8" i="90" s="1"/>
  <c r="C8" i="91" s="1"/>
  <c r="B11" i="79"/>
  <c r="B8" i="89" s="1"/>
  <c r="B8" i="90" s="1"/>
  <c r="B8" i="91" s="1"/>
  <c r="A11" i="79"/>
  <c r="A8" i="89" s="1"/>
  <c r="A8" i="90" s="1"/>
  <c r="A8" i="91" s="1"/>
  <c r="L10" i="79"/>
  <c r="K10" i="79"/>
  <c r="J10" i="79"/>
  <c r="I10" i="79"/>
  <c r="H10" i="79"/>
  <c r="G10" i="79"/>
  <c r="F10" i="79"/>
  <c r="E10" i="79"/>
  <c r="E7" i="89" s="1"/>
  <c r="E7" i="90" s="1"/>
  <c r="E7" i="91" s="1"/>
  <c r="D10" i="79"/>
  <c r="D7" i="89" s="1"/>
  <c r="D7" i="90" s="1"/>
  <c r="D7" i="91" s="1"/>
  <c r="C10" i="79"/>
  <c r="C7" i="89" s="1"/>
  <c r="C7" i="90" s="1"/>
  <c r="C7" i="91" s="1"/>
  <c r="C8" i="38" s="1"/>
  <c r="B10" i="79"/>
  <c r="B7" i="89" s="1"/>
  <c r="A10" i="79"/>
  <c r="A7" i="89" s="1"/>
  <c r="A7" i="90" s="1"/>
  <c r="A7" i="91" s="1"/>
  <c r="L9" i="79"/>
  <c r="K9" i="79"/>
  <c r="J9" i="79"/>
  <c r="I9" i="79"/>
  <c r="H9" i="79"/>
  <c r="G9" i="79"/>
  <c r="F9" i="79"/>
  <c r="E9" i="79"/>
  <c r="E6" i="89" s="1"/>
  <c r="E6" i="90" s="1"/>
  <c r="E6" i="91" s="1"/>
  <c r="D9" i="79"/>
  <c r="D6" i="89" s="1"/>
  <c r="D6" i="90" s="1"/>
  <c r="D6" i="91" s="1"/>
  <c r="C9" i="79"/>
  <c r="C6" i="89" s="1"/>
  <c r="C6" i="90" s="1"/>
  <c r="C6" i="91" s="1"/>
  <c r="B9" i="79"/>
  <c r="B6" i="89" s="1"/>
  <c r="B6" i="90" s="1"/>
  <c r="B6" i="91" s="1"/>
  <c r="A9" i="79"/>
  <c r="A6" i="89" s="1"/>
  <c r="A6" i="90" s="1"/>
  <c r="A6" i="91" s="1"/>
  <c r="L8" i="79"/>
  <c r="K8" i="79"/>
  <c r="J8" i="79"/>
  <c r="I8" i="79"/>
  <c r="H8" i="79"/>
  <c r="G8" i="79"/>
  <c r="F8" i="79"/>
  <c r="E8" i="79"/>
  <c r="E5" i="89" s="1"/>
  <c r="E5" i="90" s="1"/>
  <c r="E5" i="91" s="1"/>
  <c r="D8" i="79"/>
  <c r="D5" i="89" s="1"/>
  <c r="D5" i="90" s="1"/>
  <c r="D5" i="91" s="1"/>
  <c r="C8" i="79"/>
  <c r="C5" i="89" s="1"/>
  <c r="C5" i="90" s="1"/>
  <c r="C5" i="91" s="1"/>
  <c r="B8" i="79"/>
  <c r="A8" i="79"/>
  <c r="A5" i="89" s="1"/>
  <c r="A5" i="90" s="1"/>
  <c r="A5" i="91" s="1"/>
  <c r="A2" i="79"/>
  <c r="A1" i="102"/>
  <c r="A1" i="101"/>
  <c r="B42" i="88" l="1"/>
  <c r="O27" i="88"/>
  <c r="R37" i="79"/>
  <c r="J34" i="89" s="1"/>
  <c r="J34" i="91" s="1"/>
  <c r="S37" i="79"/>
  <c r="Q37" i="79"/>
  <c r="T37" i="79"/>
  <c r="L34" i="89" s="1"/>
  <c r="L34" i="91" s="1"/>
  <c r="P37" i="79"/>
  <c r="H34" i="89" s="1"/>
  <c r="H34" i="91" s="1"/>
  <c r="Q51" i="79"/>
  <c r="I48" i="89" s="1"/>
  <c r="I48" i="91" s="1"/>
  <c r="T51" i="79"/>
  <c r="L48" i="89" s="1"/>
  <c r="L48" i="91" s="1"/>
  <c r="P51" i="79"/>
  <c r="H48" i="89" s="1"/>
  <c r="H48" i="91" s="1"/>
  <c r="S51" i="79"/>
  <c r="K48" i="89" s="1"/>
  <c r="K48" i="91" s="1"/>
  <c r="R51" i="79"/>
  <c r="J48" i="89" s="1"/>
  <c r="J48" i="91" s="1"/>
  <c r="Q67" i="79"/>
  <c r="I64" i="89" s="1"/>
  <c r="I64" i="91" s="1"/>
  <c r="T67" i="79"/>
  <c r="L64" i="89" s="1"/>
  <c r="L64" i="91" s="1"/>
  <c r="P67" i="79"/>
  <c r="H64" i="89" s="1"/>
  <c r="H64" i="91" s="1"/>
  <c r="R67" i="79"/>
  <c r="J64" i="89" s="1"/>
  <c r="J64" i="91" s="1"/>
  <c r="S67" i="79"/>
  <c r="K64" i="89" s="1"/>
  <c r="K64" i="91" s="1"/>
  <c r="O5" i="40"/>
  <c r="S25" i="79"/>
  <c r="K22" i="89" s="1"/>
  <c r="K22" i="91" s="1"/>
  <c r="P25" i="79"/>
  <c r="H22" i="89" s="1"/>
  <c r="H22" i="91" s="1"/>
  <c r="Q25" i="79"/>
  <c r="I22" i="89" s="1"/>
  <c r="I22" i="91" s="1"/>
  <c r="T25" i="79"/>
  <c r="L22" i="89" s="1"/>
  <c r="L22" i="91" s="1"/>
  <c r="R25" i="79"/>
  <c r="J22" i="89" s="1"/>
  <c r="J22" i="91" s="1"/>
  <c r="J28" i="89"/>
  <c r="J28" i="91" s="1"/>
  <c r="P31" i="79"/>
  <c r="Q31" i="79"/>
  <c r="R31" i="79"/>
  <c r="S31" i="79"/>
  <c r="K28" i="89" s="1"/>
  <c r="K28" i="91" s="1"/>
  <c r="T31" i="79"/>
  <c r="L28" i="89" s="1"/>
  <c r="L28" i="91" s="1"/>
  <c r="S17" i="79"/>
  <c r="K14" i="89" s="1"/>
  <c r="K14" i="91" s="1"/>
  <c r="P17" i="79"/>
  <c r="H14" i="89" s="1"/>
  <c r="H14" i="91" s="1"/>
  <c r="Q17" i="79"/>
  <c r="I14" i="89" s="1"/>
  <c r="I14" i="91" s="1"/>
  <c r="R17" i="79"/>
  <c r="T17" i="79"/>
  <c r="L14" i="89" s="1"/>
  <c r="L14" i="91" s="1"/>
  <c r="P117" i="79"/>
  <c r="H114" i="89" s="1"/>
  <c r="H114" i="91" s="1"/>
  <c r="Q117" i="79"/>
  <c r="I114" i="89" s="1"/>
  <c r="I114" i="91" s="1"/>
  <c r="S117" i="79"/>
  <c r="K114" i="89" s="1"/>
  <c r="K114" i="91" s="1"/>
  <c r="R117" i="79"/>
  <c r="J114" i="89" s="1"/>
  <c r="J114" i="91" s="1"/>
  <c r="T117" i="79"/>
  <c r="L114" i="89" s="1"/>
  <c r="L114" i="91" s="1"/>
  <c r="M8" i="79"/>
  <c r="P8" i="79" s="1"/>
  <c r="H5" i="89" s="1"/>
  <c r="H5" i="91" s="1"/>
  <c r="P32" i="79"/>
  <c r="H29" i="89" s="1"/>
  <c r="H29" i="91" s="1"/>
  <c r="S32" i="79"/>
  <c r="K29" i="89" s="1"/>
  <c r="K29" i="91" s="1"/>
  <c r="T32" i="79"/>
  <c r="L29" i="89" s="1"/>
  <c r="L29" i="91" s="1"/>
  <c r="Q32" i="79"/>
  <c r="R32" i="79"/>
  <c r="J29" i="89" s="1"/>
  <c r="J29" i="91" s="1"/>
  <c r="T36" i="79"/>
  <c r="L33" i="89" s="1"/>
  <c r="L33" i="91" s="1"/>
  <c r="P36" i="79"/>
  <c r="H33" i="89" s="1"/>
  <c r="H33" i="91" s="1"/>
  <c r="R36" i="79"/>
  <c r="J33" i="89" s="1"/>
  <c r="J33" i="91" s="1"/>
  <c r="S36" i="79"/>
  <c r="K33" i="89" s="1"/>
  <c r="K33" i="91" s="1"/>
  <c r="Q36" i="79"/>
  <c r="R38" i="79"/>
  <c r="J35" i="89" s="1"/>
  <c r="J35" i="91" s="1"/>
  <c r="P38" i="79"/>
  <c r="Q38" i="79"/>
  <c r="T38" i="79"/>
  <c r="L35" i="89" s="1"/>
  <c r="L35" i="91" s="1"/>
  <c r="S38" i="79"/>
  <c r="K35" i="89" s="1"/>
  <c r="K35" i="91" s="1"/>
  <c r="T52" i="79"/>
  <c r="L49" i="89" s="1"/>
  <c r="L49" i="91" s="1"/>
  <c r="P52" i="79"/>
  <c r="S52" i="79"/>
  <c r="Q52" i="79"/>
  <c r="I49" i="89" s="1"/>
  <c r="I49" i="91" s="1"/>
  <c r="R52" i="79"/>
  <c r="T100" i="79"/>
  <c r="L97" i="89" s="1"/>
  <c r="L97" i="91" s="1"/>
  <c r="P100" i="79"/>
  <c r="H97" i="89" s="1"/>
  <c r="H97" i="91" s="1"/>
  <c r="R100" i="79"/>
  <c r="J97" i="89" s="1"/>
  <c r="J97" i="91" s="1"/>
  <c r="Q100" i="79"/>
  <c r="I97" i="89" s="1"/>
  <c r="I97" i="91" s="1"/>
  <c r="S100" i="79"/>
  <c r="O32" i="88"/>
  <c r="M59" i="79"/>
  <c r="O59" i="79" s="1"/>
  <c r="G56" i="89" s="1"/>
  <c r="G56" i="91" s="1"/>
  <c r="M69" i="79"/>
  <c r="M34" i="79"/>
  <c r="N34" i="79" s="1"/>
  <c r="M76" i="79"/>
  <c r="M94" i="79"/>
  <c r="B35" i="88"/>
  <c r="M23" i="79"/>
  <c r="M121" i="79"/>
  <c r="B97" i="89"/>
  <c r="B97" i="90" s="1"/>
  <c r="B97" i="91" s="1"/>
  <c r="M123" i="79"/>
  <c r="M10" i="79"/>
  <c r="M78" i="79"/>
  <c r="B114" i="89"/>
  <c r="B114" i="90" s="1"/>
  <c r="B114" i="91" s="1"/>
  <c r="M71" i="79"/>
  <c r="M16" i="79"/>
  <c r="M41" i="79"/>
  <c r="O7" i="88"/>
  <c r="B40" i="88"/>
  <c r="M64" i="79"/>
  <c r="M13" i="79"/>
  <c r="M30" i="79"/>
  <c r="M97" i="79"/>
  <c r="B5" i="89"/>
  <c r="B5" i="90" s="1"/>
  <c r="B5" i="91" s="1"/>
  <c r="O40" i="88"/>
  <c r="O25" i="88"/>
  <c r="B47" i="88"/>
  <c r="B35" i="89"/>
  <c r="B35" i="90" s="1"/>
  <c r="B35" i="91" s="1"/>
  <c r="I35" i="89"/>
  <c r="I35" i="91" s="1"/>
  <c r="M73" i="79"/>
  <c r="M82" i="79"/>
  <c r="N82" i="79" s="1"/>
  <c r="M91" i="79"/>
  <c r="M118" i="79"/>
  <c r="M127" i="79"/>
  <c r="B48" i="88"/>
  <c r="M12" i="79"/>
  <c r="M40" i="79"/>
  <c r="M58" i="79"/>
  <c r="M93" i="79"/>
  <c r="M107" i="79"/>
  <c r="B28" i="89"/>
  <c r="B28" i="90" s="1"/>
  <c r="B28" i="91" s="1"/>
  <c r="B64" i="89"/>
  <c r="B64" i="90" s="1"/>
  <c r="B64" i="91" s="1"/>
  <c r="J49" i="89"/>
  <c r="J49" i="91" s="1"/>
  <c r="M53" i="79"/>
  <c r="M84" i="79"/>
  <c r="M96" i="79"/>
  <c r="M113" i="79"/>
  <c r="B24" i="88"/>
  <c r="B49" i="88"/>
  <c r="O9" i="88"/>
  <c r="O16" i="88"/>
  <c r="M9" i="79"/>
  <c r="M26" i="79"/>
  <c r="M42" i="79"/>
  <c r="M55" i="79"/>
  <c r="M60" i="79"/>
  <c r="M79" i="79"/>
  <c r="M86" i="79"/>
  <c r="M115" i="79"/>
  <c r="B33" i="89"/>
  <c r="B33" i="90" s="1"/>
  <c r="B33" i="91" s="1"/>
  <c r="M22" i="79"/>
  <c r="M11" i="79"/>
  <c r="M14" i="79"/>
  <c r="M28" i="79"/>
  <c r="M48" i="79"/>
  <c r="M57" i="79"/>
  <c r="M62" i="79"/>
  <c r="B14" i="89"/>
  <c r="B14" i="90" s="1"/>
  <c r="B14" i="91" s="1"/>
  <c r="B25" i="88"/>
  <c r="M19" i="79"/>
  <c r="B16" i="89"/>
  <c r="B16" i="90" s="1"/>
  <c r="B16" i="91" s="1"/>
  <c r="M49" i="79"/>
  <c r="M61" i="79"/>
  <c r="M85" i="79"/>
  <c r="B43" i="88"/>
  <c r="B32" i="89"/>
  <c r="B32" i="90" s="1"/>
  <c r="B32" i="91" s="1"/>
  <c r="M35" i="79"/>
  <c r="M70" i="79"/>
  <c r="B67" i="89"/>
  <c r="B67" i="90" s="1"/>
  <c r="B67" i="91" s="1"/>
  <c r="B29" i="88"/>
  <c r="B44" i="88"/>
  <c r="B34" i="89"/>
  <c r="B34" i="90" s="1"/>
  <c r="B34" i="91" s="1"/>
  <c r="B85" i="89"/>
  <c r="B85" i="90" s="1"/>
  <c r="B85" i="91" s="1"/>
  <c r="M88" i="79"/>
  <c r="M89" i="79"/>
  <c r="B49" i="89"/>
  <c r="B49" i="90" s="1"/>
  <c r="B49" i="91" s="1"/>
  <c r="B12" i="89"/>
  <c r="B12" i="90" s="1"/>
  <c r="B12" i="91" s="1"/>
  <c r="M15" i="79"/>
  <c r="M106" i="79"/>
  <c r="B103" i="89"/>
  <c r="B103" i="90" s="1"/>
  <c r="B103" i="91" s="1"/>
  <c r="B121" i="89"/>
  <c r="B121" i="90" s="1"/>
  <c r="B121" i="91" s="1"/>
  <c r="M124" i="79"/>
  <c r="B22" i="89"/>
  <c r="B22" i="90" s="1"/>
  <c r="B22" i="91" s="1"/>
  <c r="B36" i="89"/>
  <c r="B36" i="90" s="1"/>
  <c r="B36" i="91" s="1"/>
  <c r="M39" i="79"/>
  <c r="O44" i="88"/>
  <c r="B84" i="89"/>
  <c r="B84" i="90" s="1"/>
  <c r="B84" i="91" s="1"/>
  <c r="M87" i="79"/>
  <c r="B40" i="89"/>
  <c r="B40" i="90" s="1"/>
  <c r="B40" i="91" s="1"/>
  <c r="M43" i="79"/>
  <c r="M72" i="79"/>
  <c r="B69" i="89"/>
  <c r="B69" i="90" s="1"/>
  <c r="B69" i="91" s="1"/>
  <c r="B72" i="89"/>
  <c r="B72" i="90" s="1"/>
  <c r="B72" i="91" s="1"/>
  <c r="M75" i="79"/>
  <c r="M54" i="79"/>
  <c r="B51" i="89"/>
  <c r="B51" i="90" s="1"/>
  <c r="B51" i="91" s="1"/>
  <c r="M46" i="79"/>
  <c r="B43" i="89"/>
  <c r="B43" i="90" s="1"/>
  <c r="B43" i="91" s="1"/>
  <c r="B65" i="89"/>
  <c r="B65" i="90" s="1"/>
  <c r="B65" i="91" s="1"/>
  <c r="M68" i="79"/>
  <c r="B106" i="89"/>
  <c r="B106" i="90" s="1"/>
  <c r="B106" i="91" s="1"/>
  <c r="M109" i="79"/>
  <c r="B29" i="89"/>
  <c r="B29" i="90" s="1"/>
  <c r="B29" i="91" s="1"/>
  <c r="O45" i="88"/>
  <c r="M111" i="79"/>
  <c r="B41" i="88"/>
  <c r="M103" i="79"/>
  <c r="M112" i="79"/>
  <c r="O41" i="88"/>
  <c r="K49" i="89"/>
  <c r="K49" i="91" s="1"/>
  <c r="O67" i="79"/>
  <c r="G64" i="89" s="1"/>
  <c r="G64" i="91" s="1"/>
  <c r="B34" i="88"/>
  <c r="O17" i="88"/>
  <c r="O34" i="88"/>
  <c r="O51" i="79"/>
  <c r="G48" i="89" s="1"/>
  <c r="G48" i="91" s="1"/>
  <c r="N51" i="79"/>
  <c r="I29" i="89"/>
  <c r="I29" i="91" s="1"/>
  <c r="O32" i="79"/>
  <c r="G29" i="89" s="1"/>
  <c r="G29" i="91" s="1"/>
  <c r="N32" i="79"/>
  <c r="B7" i="90"/>
  <c r="B7" i="91" s="1"/>
  <c r="M21" i="79"/>
  <c r="N25" i="79"/>
  <c r="O25" i="79"/>
  <c r="G22" i="89" s="1"/>
  <c r="G22" i="91" s="1"/>
  <c r="H35" i="89"/>
  <c r="H35" i="91" s="1"/>
  <c r="O38" i="79"/>
  <c r="G35" i="89" s="1"/>
  <c r="G35" i="91" s="1"/>
  <c r="M56" i="79"/>
  <c r="B53" i="89"/>
  <c r="B53" i="90" s="1"/>
  <c r="B53" i="91" s="1"/>
  <c r="N67" i="79"/>
  <c r="M77" i="79"/>
  <c r="M98" i="79"/>
  <c r="B48" i="89"/>
  <c r="B48" i="90" s="1"/>
  <c r="B48" i="91" s="1"/>
  <c r="B80" i="89"/>
  <c r="B80" i="90" s="1"/>
  <c r="B80" i="91" s="1"/>
  <c r="M83" i="79"/>
  <c r="B98" i="89"/>
  <c r="B98" i="90" s="1"/>
  <c r="B98" i="91" s="1"/>
  <c r="M101" i="79"/>
  <c r="O31" i="79"/>
  <c r="G28" i="89" s="1"/>
  <c r="G28" i="91" s="1"/>
  <c r="H28" i="89"/>
  <c r="H28" i="91" s="1"/>
  <c r="O36" i="79"/>
  <c r="G33" i="89" s="1"/>
  <c r="G33" i="91" s="1"/>
  <c r="N36" i="79"/>
  <c r="I33" i="89"/>
  <c r="I33" i="91" s="1"/>
  <c r="B116" i="89"/>
  <c r="B116" i="90" s="1"/>
  <c r="B116" i="91" s="1"/>
  <c r="M119" i="79"/>
  <c r="B13" i="90"/>
  <c r="B13" i="91" s="1"/>
  <c r="B77" i="89"/>
  <c r="B77" i="90" s="1"/>
  <c r="B77" i="91" s="1"/>
  <c r="M80" i="79"/>
  <c r="B41" i="89"/>
  <c r="B41" i="90" s="1"/>
  <c r="B41" i="91" s="1"/>
  <c r="M44" i="79"/>
  <c r="B101" i="89"/>
  <c r="B101" i="90" s="1"/>
  <c r="B101" i="91" s="1"/>
  <c r="M104" i="79"/>
  <c r="J14" i="89"/>
  <c r="J14" i="91" s="1"/>
  <c r="O17" i="79"/>
  <c r="G14" i="89" s="1"/>
  <c r="G14" i="91" s="1"/>
  <c r="N17" i="79"/>
  <c r="M24" i="79"/>
  <c r="I28" i="89"/>
  <c r="I28" i="91" s="1"/>
  <c r="B44" i="89"/>
  <c r="B44" i="90" s="1"/>
  <c r="B44" i="91" s="1"/>
  <c r="M47" i="79"/>
  <c r="N52" i="79"/>
  <c r="H49" i="89"/>
  <c r="H49" i="91" s="1"/>
  <c r="O52" i="79"/>
  <c r="G49" i="89" s="1"/>
  <c r="G49" i="91" s="1"/>
  <c r="B62" i="89"/>
  <c r="B62" i="90" s="1"/>
  <c r="B62" i="91" s="1"/>
  <c r="M65" i="79"/>
  <c r="M102" i="79"/>
  <c r="M105" i="79"/>
  <c r="B107" i="89"/>
  <c r="B107" i="90" s="1"/>
  <c r="B107" i="91" s="1"/>
  <c r="M110" i="79"/>
  <c r="M122" i="79"/>
  <c r="M125" i="79"/>
  <c r="N37" i="79"/>
  <c r="K34" i="89"/>
  <c r="K34" i="91" s="1"/>
  <c r="O37" i="79"/>
  <c r="G34" i="89" s="1"/>
  <c r="G34" i="91" s="1"/>
  <c r="M120" i="79"/>
  <c r="B125" i="89"/>
  <c r="B125" i="90" s="1"/>
  <c r="B125" i="91" s="1"/>
  <c r="M128" i="79"/>
  <c r="M18" i="79"/>
  <c r="M20" i="79"/>
  <c r="M50" i="79"/>
  <c r="M66" i="79"/>
  <c r="N100" i="79"/>
  <c r="K97" i="89"/>
  <c r="K97" i="91" s="1"/>
  <c r="B111" i="89"/>
  <c r="B111" i="90" s="1"/>
  <c r="B111" i="91" s="1"/>
  <c r="M114" i="79"/>
  <c r="O117" i="79"/>
  <c r="G114" i="89" s="1"/>
  <c r="G114" i="91" s="1"/>
  <c r="N117" i="79"/>
  <c r="M74" i="79"/>
  <c r="B71" i="89"/>
  <c r="B71" i="90" s="1"/>
  <c r="B71" i="91" s="1"/>
  <c r="B89" i="89"/>
  <c r="B89" i="90" s="1"/>
  <c r="B89" i="91" s="1"/>
  <c r="M92" i="79"/>
  <c r="O100" i="79"/>
  <c r="G97" i="89" s="1"/>
  <c r="G97" i="91" s="1"/>
  <c r="N31" i="79"/>
  <c r="M29" i="79"/>
  <c r="B26" i="89"/>
  <c r="B26" i="90" s="1"/>
  <c r="B26" i="91" s="1"/>
  <c r="I34" i="89"/>
  <c r="I34" i="91" s="1"/>
  <c r="M33" i="79"/>
  <c r="N38" i="79"/>
  <c r="M95" i="79"/>
  <c r="M116" i="79"/>
  <c r="M27" i="79"/>
  <c r="M45" i="79"/>
  <c r="M63" i="79"/>
  <c r="M81" i="79"/>
  <c r="M90" i="79"/>
  <c r="M99" i="79"/>
  <c r="M108" i="79"/>
  <c r="M126" i="79"/>
  <c r="B6" i="40"/>
  <c r="B7" i="40"/>
  <c r="C8" i="41"/>
  <c r="C6" i="41"/>
  <c r="B5" i="40"/>
  <c r="C12" i="41"/>
  <c r="B11" i="40"/>
  <c r="C13" i="41"/>
  <c r="B12" i="40"/>
  <c r="C11" i="41"/>
  <c r="B10" i="40"/>
  <c r="B9" i="40"/>
  <c r="B13" i="40"/>
  <c r="C15" i="41"/>
  <c r="B14" i="40"/>
  <c r="O28" i="88"/>
  <c r="O43" i="88"/>
  <c r="O11" i="88"/>
  <c r="B8" i="40"/>
  <c r="D9" i="80"/>
  <c r="O31" i="88"/>
  <c r="O46" i="88"/>
  <c r="B31" i="88"/>
  <c r="O14" i="88"/>
  <c r="B46" i="88"/>
  <c r="B50" i="88"/>
  <c r="O18" i="88"/>
  <c r="O50" i="88"/>
  <c r="B15" i="40"/>
  <c r="O30" i="88"/>
  <c r="B45" i="88"/>
  <c r="B30" i="88"/>
  <c r="O10" i="88"/>
  <c r="O42" i="88"/>
  <c r="B27" i="88"/>
  <c r="O15" i="88"/>
  <c r="B32" i="88"/>
  <c r="O29" i="88"/>
  <c r="O12" i="88"/>
  <c r="O48" i="88"/>
  <c r="B33" i="88"/>
  <c r="O8" i="79" l="1"/>
  <c r="G5" i="89" s="1"/>
  <c r="G5" i="91" s="1"/>
  <c r="R8" i="79"/>
  <c r="J5" i="89" s="1"/>
  <c r="J5" i="91" s="1"/>
  <c r="S8" i="79"/>
  <c r="K5" i="89" s="1"/>
  <c r="K5" i="91" s="1"/>
  <c r="Q8" i="79"/>
  <c r="I5" i="89" s="1"/>
  <c r="I5" i="91" s="1"/>
  <c r="N8" i="79"/>
  <c r="T8" i="79"/>
  <c r="L5" i="89" s="1"/>
  <c r="L5" i="91" s="1"/>
  <c r="P24" i="79"/>
  <c r="S24" i="79"/>
  <c r="K21" i="89" s="1"/>
  <c r="K21" i="91" s="1"/>
  <c r="T24" i="79"/>
  <c r="R24" i="79"/>
  <c r="J21" i="89" s="1"/>
  <c r="J21" i="91" s="1"/>
  <c r="Q24" i="79"/>
  <c r="I21" i="89" s="1"/>
  <c r="I21" i="91" s="1"/>
  <c r="Q75" i="79"/>
  <c r="T75" i="79"/>
  <c r="L72" i="89" s="1"/>
  <c r="L72" i="91" s="1"/>
  <c r="S75" i="79"/>
  <c r="R75" i="79"/>
  <c r="P75" i="79"/>
  <c r="H72" i="89" s="1"/>
  <c r="H72" i="91" s="1"/>
  <c r="F33" i="89"/>
  <c r="F33" i="91" s="1"/>
  <c r="U36" i="79"/>
  <c r="R110" i="79"/>
  <c r="P110" i="79"/>
  <c r="S110" i="79"/>
  <c r="K107" i="89" s="1"/>
  <c r="K107" i="91" s="1"/>
  <c r="Q110" i="79"/>
  <c r="I107" i="89" s="1"/>
  <c r="I107" i="91" s="1"/>
  <c r="T110" i="79"/>
  <c r="L107" i="89" s="1"/>
  <c r="L107" i="91" s="1"/>
  <c r="R45" i="79"/>
  <c r="J42" i="89" s="1"/>
  <c r="J42" i="91" s="1"/>
  <c r="S45" i="79"/>
  <c r="K42" i="89" s="1"/>
  <c r="K42" i="91" s="1"/>
  <c r="P45" i="79"/>
  <c r="Q45" i="79"/>
  <c r="T45" i="79"/>
  <c r="P114" i="79"/>
  <c r="H111" i="89" s="1"/>
  <c r="H111" i="91" s="1"/>
  <c r="R114" i="79"/>
  <c r="T114" i="79"/>
  <c r="S114" i="79"/>
  <c r="K111" i="89" s="1"/>
  <c r="K111" i="91" s="1"/>
  <c r="Q114" i="79"/>
  <c r="R61" i="79"/>
  <c r="J58" i="89" s="1"/>
  <c r="J58" i="91" s="1"/>
  <c r="S61" i="79"/>
  <c r="K58" i="89" s="1"/>
  <c r="K58" i="91" s="1"/>
  <c r="P61" i="79"/>
  <c r="H58" i="89" s="1"/>
  <c r="H58" i="91" s="1"/>
  <c r="Q61" i="79"/>
  <c r="I58" i="89" s="1"/>
  <c r="I58" i="91" s="1"/>
  <c r="T61" i="79"/>
  <c r="T12" i="79"/>
  <c r="P12" i="79"/>
  <c r="H9" i="89" s="1"/>
  <c r="H9" i="91" s="1"/>
  <c r="Q12" i="79"/>
  <c r="R12" i="79"/>
  <c r="J9" i="89" s="1"/>
  <c r="J9" i="91" s="1"/>
  <c r="S12" i="79"/>
  <c r="N41" i="79"/>
  <c r="S41" i="79"/>
  <c r="P41" i="79"/>
  <c r="H38" i="89" s="1"/>
  <c r="H38" i="91" s="1"/>
  <c r="R41" i="79"/>
  <c r="J38" i="89" s="1"/>
  <c r="J38" i="91" s="1"/>
  <c r="T41" i="79"/>
  <c r="L38" i="89" s="1"/>
  <c r="L38" i="91" s="1"/>
  <c r="Q41" i="79"/>
  <c r="I38" i="89" s="1"/>
  <c r="I38" i="91" s="1"/>
  <c r="S33" i="79"/>
  <c r="P33" i="79"/>
  <c r="H30" i="89" s="1"/>
  <c r="H30" i="91" s="1"/>
  <c r="Q33" i="79"/>
  <c r="T33" i="79"/>
  <c r="R33" i="79"/>
  <c r="F49" i="89"/>
  <c r="F49" i="91" s="1"/>
  <c r="U52" i="79"/>
  <c r="P111" i="79"/>
  <c r="Q111" i="79"/>
  <c r="I108" i="89" s="1"/>
  <c r="I108" i="91" s="1"/>
  <c r="S111" i="79"/>
  <c r="T111" i="79"/>
  <c r="L108" i="89" s="1"/>
  <c r="L108" i="91" s="1"/>
  <c r="R111" i="79"/>
  <c r="J108" i="89" s="1"/>
  <c r="J108" i="91" s="1"/>
  <c r="P39" i="79"/>
  <c r="H36" i="89" s="1"/>
  <c r="H36" i="91" s="1"/>
  <c r="F9" i="77" s="1"/>
  <c r="F7" i="40" s="1"/>
  <c r="Q39" i="79"/>
  <c r="T39" i="79"/>
  <c r="L36" i="89" s="1"/>
  <c r="L36" i="91" s="1"/>
  <c r="J9" i="77" s="1"/>
  <c r="S39" i="79"/>
  <c r="K36" i="89" s="1"/>
  <c r="K36" i="91" s="1"/>
  <c r="I9" i="77" s="1"/>
  <c r="I7" i="40" s="1"/>
  <c r="R39" i="79"/>
  <c r="P79" i="79"/>
  <c r="H76" i="89" s="1"/>
  <c r="H76" i="91" s="1"/>
  <c r="Q79" i="79"/>
  <c r="R79" i="79"/>
  <c r="J76" i="89" s="1"/>
  <c r="J76" i="91" s="1"/>
  <c r="T79" i="79"/>
  <c r="L76" i="89" s="1"/>
  <c r="L76" i="91" s="1"/>
  <c r="S79" i="79"/>
  <c r="K76" i="89" s="1"/>
  <c r="K76" i="91" s="1"/>
  <c r="O14" i="79"/>
  <c r="G11" i="89" s="1"/>
  <c r="G11" i="91" s="1"/>
  <c r="R14" i="79"/>
  <c r="J11" i="89" s="1"/>
  <c r="J11" i="91" s="1"/>
  <c r="Q14" i="79"/>
  <c r="S14" i="79"/>
  <c r="T14" i="79"/>
  <c r="P14" i="79"/>
  <c r="H11" i="89" s="1"/>
  <c r="H11" i="91" s="1"/>
  <c r="O127" i="79"/>
  <c r="G124" i="89" s="1"/>
  <c r="G124" i="91" s="1"/>
  <c r="T127" i="79"/>
  <c r="L124" i="89" s="1"/>
  <c r="L124" i="91" s="1"/>
  <c r="Q127" i="79"/>
  <c r="I124" i="89" s="1"/>
  <c r="I124" i="91" s="1"/>
  <c r="S127" i="79"/>
  <c r="K124" i="89" s="1"/>
  <c r="K124" i="91" s="1"/>
  <c r="P127" i="79"/>
  <c r="H124" i="89" s="1"/>
  <c r="H124" i="91" s="1"/>
  <c r="R127" i="79"/>
  <c r="J124" i="89" s="1"/>
  <c r="J124" i="91" s="1"/>
  <c r="S97" i="79"/>
  <c r="K94" i="89" s="1"/>
  <c r="K94" i="91" s="1"/>
  <c r="P97" i="79"/>
  <c r="H94" i="89" s="1"/>
  <c r="H94" i="91" s="1"/>
  <c r="Q97" i="79"/>
  <c r="I94" i="89" s="1"/>
  <c r="I94" i="91" s="1"/>
  <c r="T97" i="79"/>
  <c r="L94" i="89" s="1"/>
  <c r="L94" i="91" s="1"/>
  <c r="R97" i="79"/>
  <c r="J94" i="89" s="1"/>
  <c r="J94" i="91" s="1"/>
  <c r="P71" i="79"/>
  <c r="Q71" i="79"/>
  <c r="R71" i="79"/>
  <c r="J68" i="89" s="1"/>
  <c r="J68" i="91" s="1"/>
  <c r="S71" i="79"/>
  <c r="T71" i="79"/>
  <c r="L68" i="89" s="1"/>
  <c r="L68" i="91" s="1"/>
  <c r="Q18" i="79"/>
  <c r="I15" i="89" s="1"/>
  <c r="R18" i="79"/>
  <c r="J15" i="89" s="1"/>
  <c r="P18" i="79"/>
  <c r="H15" i="89" s="1"/>
  <c r="S18" i="79"/>
  <c r="K15" i="89" s="1"/>
  <c r="T18" i="79"/>
  <c r="P55" i="79"/>
  <c r="Q55" i="79"/>
  <c r="R55" i="79"/>
  <c r="J52" i="89" s="1"/>
  <c r="J52" i="91" s="1"/>
  <c r="S55" i="79"/>
  <c r="T55" i="79"/>
  <c r="R29" i="79"/>
  <c r="S29" i="79"/>
  <c r="T29" i="79"/>
  <c r="L26" i="89" s="1"/>
  <c r="L26" i="91" s="1"/>
  <c r="P29" i="79"/>
  <c r="H26" i="89" s="1"/>
  <c r="H26" i="91" s="1"/>
  <c r="Q29" i="79"/>
  <c r="I26" i="89" s="1"/>
  <c r="I26" i="91" s="1"/>
  <c r="L112" i="89"/>
  <c r="L112" i="91" s="1"/>
  <c r="P115" i="79"/>
  <c r="H112" i="89" s="1"/>
  <c r="H112" i="91" s="1"/>
  <c r="Q115" i="79"/>
  <c r="R115" i="79"/>
  <c r="J112" i="89" s="1"/>
  <c r="J112" i="91" s="1"/>
  <c r="S115" i="79"/>
  <c r="T115" i="79"/>
  <c r="F35" i="89"/>
  <c r="F35" i="91" s="1"/>
  <c r="U38" i="79"/>
  <c r="T68" i="79"/>
  <c r="L65" i="89" s="1"/>
  <c r="L65" i="91" s="1"/>
  <c r="P68" i="79"/>
  <c r="H65" i="89" s="1"/>
  <c r="H65" i="91" s="1"/>
  <c r="Q68" i="79"/>
  <c r="I65" i="89" s="1"/>
  <c r="I65" i="91" s="1"/>
  <c r="R68" i="79"/>
  <c r="J65" i="89" s="1"/>
  <c r="J65" i="91" s="1"/>
  <c r="S68" i="79"/>
  <c r="R121" i="79"/>
  <c r="J118" i="89" s="1"/>
  <c r="J118" i="91" s="1"/>
  <c r="S121" i="79"/>
  <c r="K118" i="89" s="1"/>
  <c r="K118" i="91" s="1"/>
  <c r="T121" i="79"/>
  <c r="P121" i="79"/>
  <c r="H118" i="89" s="1"/>
  <c r="H118" i="91" s="1"/>
  <c r="Q121" i="79"/>
  <c r="I118" i="89" s="1"/>
  <c r="I118" i="91" s="1"/>
  <c r="Q27" i="79"/>
  <c r="I24" i="89" s="1"/>
  <c r="I24" i="91" s="1"/>
  <c r="T27" i="79"/>
  <c r="L24" i="89" s="1"/>
  <c r="L24" i="91" s="1"/>
  <c r="P27" i="79"/>
  <c r="H24" i="89" s="1"/>
  <c r="H24" i="91" s="1"/>
  <c r="R27" i="79"/>
  <c r="J24" i="89" s="1"/>
  <c r="J24" i="91" s="1"/>
  <c r="S27" i="79"/>
  <c r="K24" i="89" s="1"/>
  <c r="K24" i="91" s="1"/>
  <c r="F28" i="89"/>
  <c r="F28" i="91" s="1"/>
  <c r="U31" i="79"/>
  <c r="F14" i="89"/>
  <c r="F14" i="91" s="1"/>
  <c r="U17" i="79"/>
  <c r="Q98" i="79"/>
  <c r="I95" i="89" s="1"/>
  <c r="I95" i="91" s="1"/>
  <c r="R98" i="79"/>
  <c r="T98" i="79"/>
  <c r="P98" i="79"/>
  <c r="H95" i="89" s="1"/>
  <c r="H95" i="91" s="1"/>
  <c r="S98" i="79"/>
  <c r="K95" i="89" s="1"/>
  <c r="K95" i="91" s="1"/>
  <c r="F29" i="89"/>
  <c r="F29" i="91" s="1"/>
  <c r="U32" i="79"/>
  <c r="S49" i="79"/>
  <c r="K46" i="89" s="1"/>
  <c r="K46" i="91" s="1"/>
  <c r="Q49" i="79"/>
  <c r="I46" i="89" s="1"/>
  <c r="I46" i="91" s="1"/>
  <c r="P49" i="79"/>
  <c r="R49" i="79"/>
  <c r="T49" i="79"/>
  <c r="L46" i="89" s="1"/>
  <c r="L46" i="91" s="1"/>
  <c r="P16" i="79"/>
  <c r="H13" i="89" s="1"/>
  <c r="H13" i="91" s="1"/>
  <c r="S16" i="79"/>
  <c r="K13" i="89" s="1"/>
  <c r="K13" i="91" s="1"/>
  <c r="T16" i="79"/>
  <c r="L13" i="89" s="1"/>
  <c r="L13" i="91" s="1"/>
  <c r="R16" i="79"/>
  <c r="J13" i="89" s="1"/>
  <c r="J13" i="91" s="1"/>
  <c r="Q16" i="79"/>
  <c r="I13" i="89" s="1"/>
  <c r="I13" i="91" s="1"/>
  <c r="P80" i="79"/>
  <c r="H77" i="89" s="1"/>
  <c r="H77" i="91" s="1"/>
  <c r="S80" i="79"/>
  <c r="K77" i="89" s="1"/>
  <c r="K77" i="91" s="1"/>
  <c r="T80" i="79"/>
  <c r="L77" i="89" s="1"/>
  <c r="L77" i="91" s="1"/>
  <c r="Q80" i="79"/>
  <c r="I77" i="89" s="1"/>
  <c r="I77" i="91" s="1"/>
  <c r="R80" i="79"/>
  <c r="R77" i="79"/>
  <c r="S77" i="79"/>
  <c r="K74" i="89" s="1"/>
  <c r="K74" i="91" s="1"/>
  <c r="Q77" i="79"/>
  <c r="I74" i="89" s="1"/>
  <c r="I74" i="91" s="1"/>
  <c r="P77" i="79"/>
  <c r="T77" i="79"/>
  <c r="P72" i="79"/>
  <c r="S72" i="79"/>
  <c r="K69" i="89" s="1"/>
  <c r="K69" i="91" s="1"/>
  <c r="T72" i="79"/>
  <c r="L69" i="89" s="1"/>
  <c r="L69" i="91" s="1"/>
  <c r="Q72" i="79"/>
  <c r="I69" i="89" s="1"/>
  <c r="I69" i="91" s="1"/>
  <c r="R72" i="79"/>
  <c r="J69" i="89" s="1"/>
  <c r="J69" i="91" s="1"/>
  <c r="T108" i="79"/>
  <c r="L105" i="89" s="1"/>
  <c r="L105" i="91" s="1"/>
  <c r="P108" i="79"/>
  <c r="Q108" i="79"/>
  <c r="S108" i="79"/>
  <c r="R108" i="79"/>
  <c r="J105" i="89" s="1"/>
  <c r="J105" i="91" s="1"/>
  <c r="N46" i="79"/>
  <c r="R46" i="79"/>
  <c r="P46" i="79"/>
  <c r="S46" i="79"/>
  <c r="K43" i="89" s="1"/>
  <c r="K43" i="91" s="1"/>
  <c r="Q46" i="79"/>
  <c r="I43" i="89" s="1"/>
  <c r="I43" i="91" s="1"/>
  <c r="T46" i="79"/>
  <c r="L43" i="89" s="1"/>
  <c r="L43" i="91" s="1"/>
  <c r="Q43" i="79"/>
  <c r="I40" i="89" s="1"/>
  <c r="I40" i="91" s="1"/>
  <c r="T43" i="79"/>
  <c r="P43" i="79"/>
  <c r="H40" i="89" s="1"/>
  <c r="H40" i="91" s="1"/>
  <c r="R43" i="79"/>
  <c r="J40" i="89" s="1"/>
  <c r="J40" i="91" s="1"/>
  <c r="S43" i="79"/>
  <c r="K40" i="89" s="1"/>
  <c r="K40" i="91" s="1"/>
  <c r="O89" i="79"/>
  <c r="G86" i="89" s="1"/>
  <c r="G86" i="91" s="1"/>
  <c r="S89" i="79"/>
  <c r="P89" i="79"/>
  <c r="Q89" i="79"/>
  <c r="R89" i="79"/>
  <c r="J86" i="89" s="1"/>
  <c r="J86" i="91" s="1"/>
  <c r="T89" i="79"/>
  <c r="L86" i="89" s="1"/>
  <c r="L86" i="91" s="1"/>
  <c r="N19" i="79"/>
  <c r="Q19" i="79"/>
  <c r="I16" i="89" s="1"/>
  <c r="I16" i="91" s="1"/>
  <c r="T19" i="79"/>
  <c r="L16" i="89" s="1"/>
  <c r="L16" i="91" s="1"/>
  <c r="R19" i="79"/>
  <c r="S19" i="79"/>
  <c r="P19" i="79"/>
  <c r="Q118" i="79"/>
  <c r="I115" i="89" s="1"/>
  <c r="I115" i="91" s="1"/>
  <c r="R118" i="79"/>
  <c r="J115" i="89" s="1"/>
  <c r="J115" i="91" s="1"/>
  <c r="S118" i="79"/>
  <c r="K115" i="89" s="1"/>
  <c r="K115" i="91" s="1"/>
  <c r="T118" i="79"/>
  <c r="L115" i="89" s="1"/>
  <c r="L115" i="91" s="1"/>
  <c r="P118" i="79"/>
  <c r="H115" i="89" s="1"/>
  <c r="H115" i="91" s="1"/>
  <c r="Q99" i="79"/>
  <c r="I96" i="89" s="1"/>
  <c r="I96" i="91" s="1"/>
  <c r="T99" i="79"/>
  <c r="P99" i="79"/>
  <c r="H96" i="89" s="1"/>
  <c r="H96" i="91" s="1"/>
  <c r="R99" i="79"/>
  <c r="J96" i="89" s="1"/>
  <c r="J96" i="91" s="1"/>
  <c r="S99" i="79"/>
  <c r="T92" i="79"/>
  <c r="L89" i="89" s="1"/>
  <c r="L89" i="91" s="1"/>
  <c r="P92" i="79"/>
  <c r="H89" i="89" s="1"/>
  <c r="H89" i="91" s="1"/>
  <c r="Q92" i="79"/>
  <c r="I89" i="89" s="1"/>
  <c r="I89" i="91" s="1"/>
  <c r="S92" i="79"/>
  <c r="R92" i="79"/>
  <c r="P128" i="79"/>
  <c r="Q128" i="79"/>
  <c r="R128" i="79"/>
  <c r="J125" i="89" s="1"/>
  <c r="J125" i="91" s="1"/>
  <c r="T128" i="79"/>
  <c r="L125" i="89" s="1"/>
  <c r="L125" i="91" s="1"/>
  <c r="S128" i="79"/>
  <c r="K125" i="89" s="1"/>
  <c r="K125" i="91" s="1"/>
  <c r="F31" i="89"/>
  <c r="F31" i="91" s="1"/>
  <c r="S65" i="79"/>
  <c r="R65" i="79"/>
  <c r="T65" i="79"/>
  <c r="L62" i="89" s="1"/>
  <c r="L62" i="91" s="1"/>
  <c r="P65" i="79"/>
  <c r="Q65" i="79"/>
  <c r="I62" i="89" s="1"/>
  <c r="I62" i="91" s="1"/>
  <c r="P104" i="79"/>
  <c r="H101" i="89" s="1"/>
  <c r="H101" i="91" s="1"/>
  <c r="S104" i="79"/>
  <c r="K101" i="89" s="1"/>
  <c r="K101" i="91" s="1"/>
  <c r="T104" i="79"/>
  <c r="L101" i="89" s="1"/>
  <c r="L101" i="91" s="1"/>
  <c r="Q104" i="79"/>
  <c r="R104" i="79"/>
  <c r="J101" i="89" s="1"/>
  <c r="J101" i="91" s="1"/>
  <c r="R101" i="79"/>
  <c r="J98" i="89" s="1"/>
  <c r="J98" i="91" s="1"/>
  <c r="S101" i="79"/>
  <c r="K98" i="89" s="1"/>
  <c r="K98" i="91" s="1"/>
  <c r="Q101" i="79"/>
  <c r="I98" i="89" s="1"/>
  <c r="I98" i="91" s="1"/>
  <c r="T101" i="79"/>
  <c r="L98" i="89" s="1"/>
  <c r="L98" i="91" s="1"/>
  <c r="P101" i="79"/>
  <c r="H98" i="89" s="1"/>
  <c r="H98" i="91" s="1"/>
  <c r="F64" i="89"/>
  <c r="F64" i="91" s="1"/>
  <c r="U67" i="79"/>
  <c r="S124" i="79"/>
  <c r="K121" i="89" s="1"/>
  <c r="K121" i="91" s="1"/>
  <c r="T124" i="79"/>
  <c r="P124" i="79"/>
  <c r="H121" i="89" s="1"/>
  <c r="H121" i="91" s="1"/>
  <c r="Q124" i="79"/>
  <c r="I121" i="89" s="1"/>
  <c r="I121" i="91" s="1"/>
  <c r="R124" i="79"/>
  <c r="J121" i="89" s="1"/>
  <c r="J121" i="91" s="1"/>
  <c r="P88" i="79"/>
  <c r="H85" i="89" s="1"/>
  <c r="H85" i="91" s="1"/>
  <c r="S88" i="79"/>
  <c r="K85" i="89" s="1"/>
  <c r="K85" i="91" s="1"/>
  <c r="T88" i="79"/>
  <c r="L85" i="89" s="1"/>
  <c r="L85" i="91" s="1"/>
  <c r="R88" i="79"/>
  <c r="J85" i="89" s="1"/>
  <c r="J85" i="91" s="1"/>
  <c r="Q88" i="79"/>
  <c r="I85" i="89" s="1"/>
  <c r="I85" i="91" s="1"/>
  <c r="O35" i="79"/>
  <c r="G32" i="89" s="1"/>
  <c r="G32" i="91" s="1"/>
  <c r="Q35" i="79"/>
  <c r="I32" i="89" s="1"/>
  <c r="I32" i="91" s="1"/>
  <c r="T35" i="79"/>
  <c r="P35" i="79"/>
  <c r="H32" i="89" s="1"/>
  <c r="H32" i="91" s="1"/>
  <c r="R35" i="79"/>
  <c r="J32" i="89" s="1"/>
  <c r="J32" i="91" s="1"/>
  <c r="S35" i="79"/>
  <c r="K32" i="89" s="1"/>
  <c r="K32" i="91" s="1"/>
  <c r="R22" i="79"/>
  <c r="J19" i="89" s="1"/>
  <c r="J19" i="91" s="1"/>
  <c r="P22" i="79"/>
  <c r="H19" i="89" s="1"/>
  <c r="H19" i="91" s="1"/>
  <c r="Q22" i="79"/>
  <c r="I19" i="89" s="1"/>
  <c r="I19" i="91" s="1"/>
  <c r="S22" i="79"/>
  <c r="T22" i="79"/>
  <c r="L19" i="89" s="1"/>
  <c r="L19" i="91" s="1"/>
  <c r="Q42" i="79"/>
  <c r="R42" i="79"/>
  <c r="J39" i="89" s="1"/>
  <c r="J39" i="91" s="1"/>
  <c r="S42" i="79"/>
  <c r="K39" i="89" s="1"/>
  <c r="K39" i="91" s="1"/>
  <c r="T42" i="79"/>
  <c r="L39" i="89" s="1"/>
  <c r="L39" i="91" s="1"/>
  <c r="P42" i="79"/>
  <c r="Q107" i="79"/>
  <c r="I104" i="89" s="1"/>
  <c r="I104" i="91" s="1"/>
  <c r="T107" i="79"/>
  <c r="L104" i="89" s="1"/>
  <c r="L104" i="91" s="1"/>
  <c r="P107" i="79"/>
  <c r="H104" i="89" s="1"/>
  <c r="H104" i="91" s="1"/>
  <c r="R107" i="79"/>
  <c r="J104" i="89" s="1"/>
  <c r="J104" i="91" s="1"/>
  <c r="S107" i="79"/>
  <c r="K104" i="89" s="1"/>
  <c r="K104" i="91" s="1"/>
  <c r="Q91" i="79"/>
  <c r="T91" i="79"/>
  <c r="P91" i="79"/>
  <c r="H88" i="89" s="1"/>
  <c r="H88" i="91" s="1"/>
  <c r="R91" i="79"/>
  <c r="J88" i="89" s="1"/>
  <c r="J88" i="91" s="1"/>
  <c r="S91" i="79"/>
  <c r="K88" i="89" s="1"/>
  <c r="K88" i="91" s="1"/>
  <c r="R13" i="79"/>
  <c r="J10" i="89" s="1"/>
  <c r="J10" i="91" s="1"/>
  <c r="S13" i="79"/>
  <c r="K10" i="89" s="1"/>
  <c r="K10" i="91" s="1"/>
  <c r="P13" i="79"/>
  <c r="H10" i="89" s="1"/>
  <c r="H10" i="91" s="1"/>
  <c r="Q13" i="79"/>
  <c r="I10" i="89" s="1"/>
  <c r="I10" i="91" s="1"/>
  <c r="T13" i="79"/>
  <c r="L10" i="89" s="1"/>
  <c r="L10" i="91" s="1"/>
  <c r="R78" i="79"/>
  <c r="J75" i="89" s="1"/>
  <c r="J75" i="91" s="1"/>
  <c r="Q78" i="79"/>
  <c r="I75" i="89" s="1"/>
  <c r="I75" i="91" s="1"/>
  <c r="S78" i="79"/>
  <c r="K75" i="89" s="1"/>
  <c r="K75" i="91" s="1"/>
  <c r="T78" i="79"/>
  <c r="L75" i="89" s="1"/>
  <c r="L75" i="91" s="1"/>
  <c r="P78" i="79"/>
  <c r="O76" i="79"/>
  <c r="G73" i="89" s="1"/>
  <c r="G73" i="91" s="1"/>
  <c r="T76" i="79"/>
  <c r="L73" i="89" s="1"/>
  <c r="L73" i="91" s="1"/>
  <c r="P76" i="79"/>
  <c r="Q76" i="79"/>
  <c r="I73" i="89" s="1"/>
  <c r="I73" i="91" s="1"/>
  <c r="R76" i="79"/>
  <c r="S76" i="79"/>
  <c r="K73" i="89" s="1"/>
  <c r="K73" i="91" s="1"/>
  <c r="P63" i="79"/>
  <c r="H60" i="89" s="1"/>
  <c r="Q63" i="79"/>
  <c r="I60" i="89" s="1"/>
  <c r="I60" i="91" s="1"/>
  <c r="R63" i="79"/>
  <c r="J60" i="89" s="1"/>
  <c r="J60" i="91" s="1"/>
  <c r="S63" i="79"/>
  <c r="T63" i="79"/>
  <c r="F48" i="89"/>
  <c r="F48" i="91" s="1"/>
  <c r="U51" i="79"/>
  <c r="P103" i="79"/>
  <c r="H100" i="89" s="1"/>
  <c r="H100" i="91" s="1"/>
  <c r="Q103" i="79"/>
  <c r="I100" i="89" s="1"/>
  <c r="I100" i="91" s="1"/>
  <c r="T103" i="79"/>
  <c r="R103" i="79"/>
  <c r="J100" i="89" s="1"/>
  <c r="J100" i="91" s="1"/>
  <c r="S103" i="79"/>
  <c r="K100" i="89" s="1"/>
  <c r="K100" i="91" s="1"/>
  <c r="Q106" i="79"/>
  <c r="I103" i="89" s="1"/>
  <c r="I103" i="91" s="1"/>
  <c r="R106" i="79"/>
  <c r="J103" i="89" s="1"/>
  <c r="J103" i="91" s="1"/>
  <c r="S106" i="79"/>
  <c r="K103" i="89" s="1"/>
  <c r="K103" i="91" s="1"/>
  <c r="T106" i="79"/>
  <c r="L103" i="89" s="1"/>
  <c r="L103" i="91" s="1"/>
  <c r="P106" i="79"/>
  <c r="H103" i="89" s="1"/>
  <c r="H103" i="91" s="1"/>
  <c r="S57" i="79"/>
  <c r="K54" i="89" s="1"/>
  <c r="K54" i="91" s="1"/>
  <c r="T57" i="79"/>
  <c r="L54" i="89" s="1"/>
  <c r="L54" i="91" s="1"/>
  <c r="P57" i="79"/>
  <c r="H54" i="89" s="1"/>
  <c r="H54" i="91" s="1"/>
  <c r="Q57" i="79"/>
  <c r="I54" i="89" s="1"/>
  <c r="I54" i="91" s="1"/>
  <c r="R57" i="79"/>
  <c r="J54" i="89" s="1"/>
  <c r="J54" i="91" s="1"/>
  <c r="O84" i="79"/>
  <c r="G81" i="89" s="1"/>
  <c r="G81" i="91" s="1"/>
  <c r="T84" i="79"/>
  <c r="P84" i="79"/>
  <c r="H81" i="89" s="1"/>
  <c r="H81" i="91" s="1"/>
  <c r="Q84" i="79"/>
  <c r="R84" i="79"/>
  <c r="J81" i="89" s="1"/>
  <c r="J81" i="91" s="1"/>
  <c r="S84" i="79"/>
  <c r="K81" i="89" s="1"/>
  <c r="K81" i="91" s="1"/>
  <c r="F5" i="89"/>
  <c r="F5" i="91" s="1"/>
  <c r="J66" i="89"/>
  <c r="J66" i="91" s="1"/>
  <c r="R69" i="79"/>
  <c r="S69" i="79"/>
  <c r="K66" i="89" s="1"/>
  <c r="K66" i="91" s="1"/>
  <c r="P69" i="79"/>
  <c r="T69" i="79"/>
  <c r="L66" i="89" s="1"/>
  <c r="L66" i="91" s="1"/>
  <c r="Q69" i="79"/>
  <c r="I66" i="89" s="1"/>
  <c r="I66" i="91" s="1"/>
  <c r="Q50" i="79"/>
  <c r="I47" i="89" s="1"/>
  <c r="I47" i="91" s="1"/>
  <c r="R50" i="79"/>
  <c r="J47" i="89" s="1"/>
  <c r="J47" i="91" s="1"/>
  <c r="P50" i="79"/>
  <c r="H47" i="89" s="1"/>
  <c r="H47" i="91" s="1"/>
  <c r="S50" i="79"/>
  <c r="T50" i="79"/>
  <c r="L47" i="89" s="1"/>
  <c r="L47" i="91" s="1"/>
  <c r="P48" i="79"/>
  <c r="H45" i="89" s="1"/>
  <c r="H45" i="91" s="1"/>
  <c r="S48" i="79"/>
  <c r="K45" i="89" s="1"/>
  <c r="K45" i="91" s="1"/>
  <c r="T48" i="79"/>
  <c r="L45" i="89" s="1"/>
  <c r="L45" i="91" s="1"/>
  <c r="Q48" i="79"/>
  <c r="I45" i="89" s="1"/>
  <c r="I45" i="91" s="1"/>
  <c r="R48" i="79"/>
  <c r="R86" i="79"/>
  <c r="J83" i="89" s="1"/>
  <c r="J83" i="91" s="1"/>
  <c r="P86" i="79"/>
  <c r="H83" i="89" s="1"/>
  <c r="H83" i="91" s="1"/>
  <c r="Q86" i="79"/>
  <c r="I83" i="89" s="1"/>
  <c r="I83" i="91" s="1"/>
  <c r="S86" i="79"/>
  <c r="K83" i="89" s="1"/>
  <c r="K83" i="91" s="1"/>
  <c r="T86" i="79"/>
  <c r="L83" i="89" s="1"/>
  <c r="L83" i="91" s="1"/>
  <c r="R53" i="79"/>
  <c r="J50" i="89" s="1"/>
  <c r="J50" i="91" s="1"/>
  <c r="S53" i="79"/>
  <c r="P53" i="79"/>
  <c r="H50" i="89" s="1"/>
  <c r="H50" i="91" s="1"/>
  <c r="Q53" i="79"/>
  <c r="I50" i="89" s="1"/>
  <c r="I50" i="91" s="1"/>
  <c r="T53" i="79"/>
  <c r="L50" i="89" s="1"/>
  <c r="L50" i="91" s="1"/>
  <c r="Q59" i="79"/>
  <c r="I56" i="89" s="1"/>
  <c r="I56" i="91" s="1"/>
  <c r="T59" i="79"/>
  <c r="L56" i="89" s="1"/>
  <c r="L56" i="91" s="1"/>
  <c r="R59" i="79"/>
  <c r="J56" i="89" s="1"/>
  <c r="J56" i="91" s="1"/>
  <c r="P59" i="79"/>
  <c r="H56" i="89" s="1"/>
  <c r="H56" i="91" s="1"/>
  <c r="S59" i="79"/>
  <c r="K56" i="89" s="1"/>
  <c r="K56" i="91" s="1"/>
  <c r="S105" i="79"/>
  <c r="K102" i="89" s="1"/>
  <c r="K102" i="91" s="1"/>
  <c r="P105" i="79"/>
  <c r="H102" i="89" s="1"/>
  <c r="H102" i="91" s="1"/>
  <c r="R105" i="79"/>
  <c r="Q105" i="79"/>
  <c r="I102" i="89" s="1"/>
  <c r="I102" i="91" s="1"/>
  <c r="T105" i="79"/>
  <c r="N103" i="79"/>
  <c r="F34" i="89"/>
  <c r="F34" i="91" s="1"/>
  <c r="U37" i="79"/>
  <c r="P47" i="79"/>
  <c r="H44" i="89" s="1"/>
  <c r="H44" i="91" s="1"/>
  <c r="Q47" i="79"/>
  <c r="I44" i="89" s="1"/>
  <c r="I44" i="91" s="1"/>
  <c r="S47" i="79"/>
  <c r="K44" i="89" s="1"/>
  <c r="K44" i="91" s="1"/>
  <c r="T47" i="79"/>
  <c r="L44" i="89" s="1"/>
  <c r="L44" i="91" s="1"/>
  <c r="R47" i="79"/>
  <c r="J44" i="89" s="1"/>
  <c r="J44" i="91" s="1"/>
  <c r="H91" i="89"/>
  <c r="H91" i="91" s="1"/>
  <c r="R94" i="79"/>
  <c r="J91" i="89" s="1"/>
  <c r="J91" i="91" s="1"/>
  <c r="P94" i="79"/>
  <c r="Q94" i="79"/>
  <c r="I91" i="89" s="1"/>
  <c r="I91" i="91" s="1"/>
  <c r="S94" i="79"/>
  <c r="K91" i="89" s="1"/>
  <c r="K91" i="91" s="1"/>
  <c r="T94" i="79"/>
  <c r="L91" i="89" s="1"/>
  <c r="L91" i="91" s="1"/>
  <c r="Q90" i="79"/>
  <c r="I87" i="89" s="1"/>
  <c r="I87" i="91" s="1"/>
  <c r="R90" i="79"/>
  <c r="P90" i="79"/>
  <c r="H87" i="89" s="1"/>
  <c r="H87" i="91" s="1"/>
  <c r="S90" i="79"/>
  <c r="K87" i="89" s="1"/>
  <c r="K87" i="91" s="1"/>
  <c r="T90" i="79"/>
  <c r="L87" i="89" s="1"/>
  <c r="L87" i="91" s="1"/>
  <c r="F114" i="89"/>
  <c r="F114" i="91" s="1"/>
  <c r="U117" i="79"/>
  <c r="F97" i="89"/>
  <c r="F97" i="91" s="1"/>
  <c r="U100" i="79"/>
  <c r="P125" i="79"/>
  <c r="Q125" i="79"/>
  <c r="I122" i="89" s="1"/>
  <c r="I122" i="91" s="1"/>
  <c r="S125" i="79"/>
  <c r="K122" i="89" s="1"/>
  <c r="K122" i="91" s="1"/>
  <c r="T125" i="79"/>
  <c r="R125" i="79"/>
  <c r="J122" i="89" s="1"/>
  <c r="J122" i="91" s="1"/>
  <c r="T119" i="79"/>
  <c r="L116" i="89" s="1"/>
  <c r="L116" i="91" s="1"/>
  <c r="Q119" i="79"/>
  <c r="I116" i="89" s="1"/>
  <c r="I116" i="91" s="1"/>
  <c r="R119" i="79"/>
  <c r="J116" i="89" s="1"/>
  <c r="J116" i="91" s="1"/>
  <c r="S119" i="79"/>
  <c r="K116" i="89" s="1"/>
  <c r="K116" i="91" s="1"/>
  <c r="P119" i="79"/>
  <c r="H116" i="89" s="1"/>
  <c r="H116" i="91" s="1"/>
  <c r="F22" i="89"/>
  <c r="F22" i="91" s="1"/>
  <c r="U25" i="79"/>
  <c r="O26" i="79"/>
  <c r="G23" i="89" s="1"/>
  <c r="G23" i="91" s="1"/>
  <c r="Q26" i="79"/>
  <c r="I23" i="89" s="1"/>
  <c r="I23" i="91" s="1"/>
  <c r="R26" i="79"/>
  <c r="J23" i="89" s="1"/>
  <c r="J23" i="91" s="1"/>
  <c r="P26" i="79"/>
  <c r="H23" i="89" s="1"/>
  <c r="H23" i="91" s="1"/>
  <c r="S26" i="79"/>
  <c r="T26" i="79"/>
  <c r="L23" i="89" s="1"/>
  <c r="L23" i="91" s="1"/>
  <c r="R113" i="79"/>
  <c r="J110" i="89" s="1"/>
  <c r="J110" i="91" s="1"/>
  <c r="S113" i="79"/>
  <c r="K110" i="89" s="1"/>
  <c r="K110" i="91" s="1"/>
  <c r="T113" i="79"/>
  <c r="L110" i="89" s="1"/>
  <c r="L110" i="91" s="1"/>
  <c r="P113" i="79"/>
  <c r="H110" i="89" s="1"/>
  <c r="H110" i="91" s="1"/>
  <c r="Q113" i="79"/>
  <c r="I110" i="89" s="1"/>
  <c r="I110" i="91" s="1"/>
  <c r="R93" i="79"/>
  <c r="J90" i="89" s="1"/>
  <c r="J90" i="91" s="1"/>
  <c r="S93" i="79"/>
  <c r="T93" i="79"/>
  <c r="L90" i="89" s="1"/>
  <c r="L90" i="91" s="1"/>
  <c r="Q93" i="79"/>
  <c r="I90" i="89" s="1"/>
  <c r="I90" i="91" s="1"/>
  <c r="P93" i="79"/>
  <c r="Q82" i="79"/>
  <c r="I79" i="89" s="1"/>
  <c r="I79" i="91" s="1"/>
  <c r="R82" i="79"/>
  <c r="J79" i="89" s="1"/>
  <c r="J79" i="91" s="1"/>
  <c r="S82" i="79"/>
  <c r="K79" i="89" s="1"/>
  <c r="K79" i="91" s="1"/>
  <c r="T82" i="79"/>
  <c r="L79" i="89" s="1"/>
  <c r="L79" i="91" s="1"/>
  <c r="P82" i="79"/>
  <c r="H79" i="89" s="1"/>
  <c r="H79" i="91" s="1"/>
  <c r="P64" i="79"/>
  <c r="H61" i="89" s="1"/>
  <c r="H61" i="91" s="1"/>
  <c r="S64" i="79"/>
  <c r="K61" i="89" s="1"/>
  <c r="K61" i="91" s="1"/>
  <c r="T64" i="79"/>
  <c r="R64" i="79"/>
  <c r="J61" i="89" s="1"/>
  <c r="J61" i="91" s="1"/>
  <c r="Q64" i="79"/>
  <c r="I61" i="89" s="1"/>
  <c r="I61" i="91" s="1"/>
  <c r="Q10" i="79"/>
  <c r="R10" i="79"/>
  <c r="J7" i="89" s="1"/>
  <c r="J7" i="91" s="1"/>
  <c r="S10" i="79"/>
  <c r="K7" i="89" s="1"/>
  <c r="K7" i="91" s="1"/>
  <c r="I7" i="77" s="1"/>
  <c r="I5" i="40" s="1"/>
  <c r="P10" i="79"/>
  <c r="H7" i="89" s="1"/>
  <c r="H7" i="91" s="1"/>
  <c r="T10" i="79"/>
  <c r="L7" i="89" s="1"/>
  <c r="L7" i="91" s="1"/>
  <c r="Q66" i="79"/>
  <c r="I63" i="89" s="1"/>
  <c r="I63" i="91" s="1"/>
  <c r="R66" i="79"/>
  <c r="P66" i="79"/>
  <c r="H63" i="89" s="1"/>
  <c r="H63" i="91" s="1"/>
  <c r="S66" i="79"/>
  <c r="K63" i="89" s="1"/>
  <c r="K63" i="91" s="1"/>
  <c r="T66" i="79"/>
  <c r="R85" i="79"/>
  <c r="J82" i="89" s="1"/>
  <c r="J82" i="91" s="1"/>
  <c r="S85" i="79"/>
  <c r="P85" i="79"/>
  <c r="H82" i="89" s="1"/>
  <c r="H82" i="91" s="1"/>
  <c r="T85" i="79"/>
  <c r="L82" i="89" s="1"/>
  <c r="L82" i="91" s="1"/>
  <c r="Q85" i="79"/>
  <c r="I82" i="89" s="1"/>
  <c r="I82" i="91" s="1"/>
  <c r="S9" i="79"/>
  <c r="K6" i="89" s="1"/>
  <c r="K6" i="91" s="1"/>
  <c r="Q9" i="79"/>
  <c r="I6" i="89" s="1"/>
  <c r="R9" i="79"/>
  <c r="J6" i="89" s="1"/>
  <c r="T9" i="79"/>
  <c r="L6" i="89" s="1"/>
  <c r="L6" i="91" s="1"/>
  <c r="P9" i="79"/>
  <c r="H6" i="89" s="1"/>
  <c r="H6" i="91" s="1"/>
  <c r="P40" i="79"/>
  <c r="H37" i="89" s="1"/>
  <c r="H37" i="91" s="1"/>
  <c r="S40" i="79"/>
  <c r="T40" i="79"/>
  <c r="L37" i="89" s="1"/>
  <c r="L37" i="91" s="1"/>
  <c r="Q40" i="79"/>
  <c r="I37" i="89" s="1"/>
  <c r="I37" i="91" s="1"/>
  <c r="R40" i="79"/>
  <c r="J37" i="89" s="1"/>
  <c r="J37" i="91" s="1"/>
  <c r="P15" i="79"/>
  <c r="H12" i="89" s="1"/>
  <c r="H12" i="91" s="1"/>
  <c r="Q15" i="79"/>
  <c r="I12" i="89" s="1"/>
  <c r="I12" i="91" s="1"/>
  <c r="S15" i="79"/>
  <c r="K12" i="89" s="1"/>
  <c r="K12" i="91" s="1"/>
  <c r="R15" i="79"/>
  <c r="J12" i="89" s="1"/>
  <c r="J12" i="91" s="1"/>
  <c r="T15" i="79"/>
  <c r="L12" i="89" s="1"/>
  <c r="L12" i="91" s="1"/>
  <c r="Q74" i="79"/>
  <c r="R74" i="79"/>
  <c r="J71" i="89" s="1"/>
  <c r="J71" i="91" s="1"/>
  <c r="P74" i="79"/>
  <c r="H71" i="89" s="1"/>
  <c r="H71" i="91" s="1"/>
  <c r="T74" i="79"/>
  <c r="L71" i="89" s="1"/>
  <c r="L71" i="91" s="1"/>
  <c r="S74" i="79"/>
  <c r="K71" i="89" s="1"/>
  <c r="K71" i="91" s="1"/>
  <c r="T28" i="79"/>
  <c r="L25" i="89" s="1"/>
  <c r="L25" i="91" s="1"/>
  <c r="P28" i="79"/>
  <c r="H25" i="89" s="1"/>
  <c r="H25" i="91" s="1"/>
  <c r="Q28" i="79"/>
  <c r="I25" i="89" s="1"/>
  <c r="I25" i="91" s="1"/>
  <c r="S28" i="79"/>
  <c r="K25" i="89" s="1"/>
  <c r="K25" i="91" s="1"/>
  <c r="R28" i="79"/>
  <c r="J25" i="89" s="1"/>
  <c r="J25" i="91" s="1"/>
  <c r="P23" i="79"/>
  <c r="Q23" i="79"/>
  <c r="I20" i="89" s="1"/>
  <c r="I20" i="91" s="1"/>
  <c r="R23" i="79"/>
  <c r="J20" i="89" s="1"/>
  <c r="J20" i="91" s="1"/>
  <c r="S23" i="79"/>
  <c r="K20" i="89" s="1"/>
  <c r="K20" i="91" s="1"/>
  <c r="T23" i="79"/>
  <c r="L20" i="89" s="1"/>
  <c r="L20" i="91" s="1"/>
  <c r="Q126" i="79"/>
  <c r="R126" i="79"/>
  <c r="J123" i="89" s="1"/>
  <c r="J123" i="91" s="1"/>
  <c r="S126" i="79"/>
  <c r="K123" i="89" s="1"/>
  <c r="K123" i="91" s="1"/>
  <c r="T126" i="79"/>
  <c r="L123" i="89" s="1"/>
  <c r="L123" i="91" s="1"/>
  <c r="P126" i="79"/>
  <c r="H123" i="89" s="1"/>
  <c r="H123" i="91" s="1"/>
  <c r="S116" i="79"/>
  <c r="K113" i="89" s="1"/>
  <c r="K113" i="91" s="1"/>
  <c r="T116" i="79"/>
  <c r="P116" i="79"/>
  <c r="H113" i="89" s="1"/>
  <c r="H113" i="91" s="1"/>
  <c r="Q116" i="79"/>
  <c r="R116" i="79"/>
  <c r="J113" i="89" s="1"/>
  <c r="J113" i="91" s="1"/>
  <c r="T20" i="79"/>
  <c r="L17" i="89" s="1"/>
  <c r="P20" i="79"/>
  <c r="H17" i="89" s="1"/>
  <c r="H17" i="91" s="1"/>
  <c r="S20" i="79"/>
  <c r="K17" i="89" s="1"/>
  <c r="K17" i="91" s="1"/>
  <c r="Q20" i="79"/>
  <c r="I17" i="89" s="1"/>
  <c r="I17" i="91" s="1"/>
  <c r="R20" i="79"/>
  <c r="J17" i="89" s="1"/>
  <c r="J17" i="91" s="1"/>
  <c r="R102" i="79"/>
  <c r="J99" i="89" s="1"/>
  <c r="J99" i="91" s="1"/>
  <c r="P102" i="79"/>
  <c r="H99" i="89" s="1"/>
  <c r="H99" i="91" s="1"/>
  <c r="Q102" i="79"/>
  <c r="I99" i="89" s="1"/>
  <c r="I99" i="91" s="1"/>
  <c r="T102" i="79"/>
  <c r="L99" i="89" s="1"/>
  <c r="L99" i="91" s="1"/>
  <c r="S102" i="79"/>
  <c r="O60" i="79"/>
  <c r="G57" i="89" s="1"/>
  <c r="G57" i="91" s="1"/>
  <c r="T60" i="79"/>
  <c r="L57" i="89" s="1"/>
  <c r="L57" i="91" s="1"/>
  <c r="P60" i="79"/>
  <c r="R60" i="79"/>
  <c r="J57" i="89" s="1"/>
  <c r="J57" i="91" s="1"/>
  <c r="S60" i="79"/>
  <c r="K57" i="89" s="1"/>
  <c r="K57" i="91" s="1"/>
  <c r="Q60" i="79"/>
  <c r="I57" i="89" s="1"/>
  <c r="I57" i="91" s="1"/>
  <c r="N49" i="79"/>
  <c r="R70" i="79"/>
  <c r="J67" i="89" s="1"/>
  <c r="J67" i="91" s="1"/>
  <c r="S70" i="79"/>
  <c r="K67" i="89" s="1"/>
  <c r="K67" i="91" s="1"/>
  <c r="T70" i="79"/>
  <c r="L67" i="89" s="1"/>
  <c r="L67" i="91" s="1"/>
  <c r="Q70" i="79"/>
  <c r="I67" i="89" s="1"/>
  <c r="I67" i="91" s="1"/>
  <c r="P70" i="79"/>
  <c r="O11" i="79"/>
  <c r="G8" i="89" s="1"/>
  <c r="G8" i="91" s="1"/>
  <c r="Q11" i="79"/>
  <c r="I8" i="89" s="1"/>
  <c r="I8" i="91" s="1"/>
  <c r="T11" i="79"/>
  <c r="S11" i="79"/>
  <c r="K8" i="89" s="1"/>
  <c r="K8" i="91" s="1"/>
  <c r="P11" i="79"/>
  <c r="H8" i="89" s="1"/>
  <c r="H8" i="91" s="1"/>
  <c r="R11" i="79"/>
  <c r="J8" i="89" s="1"/>
  <c r="J8" i="91" s="1"/>
  <c r="R30" i="79"/>
  <c r="J27" i="89" s="1"/>
  <c r="J27" i="91" s="1"/>
  <c r="P30" i="79"/>
  <c r="H27" i="89" s="1"/>
  <c r="H27" i="91" s="1"/>
  <c r="Q30" i="79"/>
  <c r="I27" i="89" s="1"/>
  <c r="I27" i="91" s="1"/>
  <c r="S30" i="79"/>
  <c r="K27" i="89" s="1"/>
  <c r="K27" i="91" s="1"/>
  <c r="T30" i="79"/>
  <c r="L27" i="89" s="1"/>
  <c r="L27" i="91" s="1"/>
  <c r="S81" i="79"/>
  <c r="K78" i="89" s="1"/>
  <c r="K78" i="91" s="1"/>
  <c r="P81" i="79"/>
  <c r="H78" i="89" s="1"/>
  <c r="H78" i="91" s="1"/>
  <c r="Q81" i="79"/>
  <c r="I78" i="89" s="1"/>
  <c r="I78" i="91" s="1"/>
  <c r="R81" i="79"/>
  <c r="J78" i="89" s="1"/>
  <c r="J78" i="91" s="1"/>
  <c r="T81" i="79"/>
  <c r="P95" i="79"/>
  <c r="H92" i="89" s="1"/>
  <c r="H92" i="91" s="1"/>
  <c r="Q95" i="79"/>
  <c r="I92" i="89" s="1"/>
  <c r="I92" i="91" s="1"/>
  <c r="R95" i="79"/>
  <c r="J92" i="89" s="1"/>
  <c r="J92" i="91" s="1"/>
  <c r="T95" i="79"/>
  <c r="L92" i="89" s="1"/>
  <c r="L92" i="91" s="1"/>
  <c r="S95" i="79"/>
  <c r="K92" i="89" s="1"/>
  <c r="K92" i="91" s="1"/>
  <c r="F79" i="89"/>
  <c r="F79" i="91" s="1"/>
  <c r="N84" i="79"/>
  <c r="P120" i="79"/>
  <c r="H117" i="89" s="1"/>
  <c r="H117" i="91" s="1"/>
  <c r="Q120" i="79"/>
  <c r="I117" i="89" s="1"/>
  <c r="I117" i="91" s="1"/>
  <c r="R120" i="79"/>
  <c r="J117" i="89" s="1"/>
  <c r="J117" i="91" s="1"/>
  <c r="T120" i="79"/>
  <c r="L117" i="89" s="1"/>
  <c r="L117" i="91" s="1"/>
  <c r="S120" i="79"/>
  <c r="K117" i="89" s="1"/>
  <c r="K117" i="91" s="1"/>
  <c r="P122" i="79"/>
  <c r="H119" i="89" s="1"/>
  <c r="H119" i="91" s="1"/>
  <c r="R122" i="79"/>
  <c r="J119" i="89" s="1"/>
  <c r="J119" i="91" s="1"/>
  <c r="Q122" i="79"/>
  <c r="I119" i="89" s="1"/>
  <c r="I119" i="91" s="1"/>
  <c r="T122" i="79"/>
  <c r="L119" i="89" s="1"/>
  <c r="L119" i="91" s="1"/>
  <c r="S122" i="79"/>
  <c r="K119" i="89" s="1"/>
  <c r="K119" i="91" s="1"/>
  <c r="T44" i="79"/>
  <c r="L41" i="89" s="1"/>
  <c r="L41" i="91" s="1"/>
  <c r="P44" i="79"/>
  <c r="H41" i="89" s="1"/>
  <c r="H41" i="91" s="1"/>
  <c r="Q44" i="79"/>
  <c r="I41" i="89" s="1"/>
  <c r="I41" i="91" s="1"/>
  <c r="S44" i="79"/>
  <c r="K41" i="89" s="1"/>
  <c r="K41" i="91" s="1"/>
  <c r="R44" i="79"/>
  <c r="N59" i="79"/>
  <c r="Q83" i="79"/>
  <c r="I80" i="89" s="1"/>
  <c r="I80" i="91" s="1"/>
  <c r="T83" i="79"/>
  <c r="L80" i="89" s="1"/>
  <c r="L80" i="91" s="1"/>
  <c r="R83" i="79"/>
  <c r="J80" i="89" s="1"/>
  <c r="J80" i="91" s="1"/>
  <c r="S83" i="79"/>
  <c r="K80" i="89" s="1"/>
  <c r="K80" i="91" s="1"/>
  <c r="P83" i="79"/>
  <c r="H80" i="89" s="1"/>
  <c r="H80" i="91" s="1"/>
  <c r="P56" i="79"/>
  <c r="H53" i="89" s="1"/>
  <c r="H53" i="91" s="1"/>
  <c r="S56" i="79"/>
  <c r="T56" i="79"/>
  <c r="L53" i="89" s="1"/>
  <c r="L53" i="91" s="1"/>
  <c r="Q56" i="79"/>
  <c r="R56" i="79"/>
  <c r="J53" i="89" s="1"/>
  <c r="J53" i="91" s="1"/>
  <c r="R21" i="79"/>
  <c r="J18" i="89" s="1"/>
  <c r="J18" i="91" s="1"/>
  <c r="S21" i="79"/>
  <c r="K18" i="89" s="1"/>
  <c r="K18" i="91" s="1"/>
  <c r="P21" i="79"/>
  <c r="H18" i="89" s="1"/>
  <c r="H18" i="91" s="1"/>
  <c r="Q21" i="79"/>
  <c r="I18" i="89" s="1"/>
  <c r="I18" i="91" s="1"/>
  <c r="T21" i="79"/>
  <c r="L18" i="89" s="1"/>
  <c r="L18" i="91" s="1"/>
  <c r="P112" i="79"/>
  <c r="H109" i="89" s="1"/>
  <c r="H109" i="91" s="1"/>
  <c r="Q112" i="79"/>
  <c r="I109" i="89" s="1"/>
  <c r="I109" i="91" s="1"/>
  <c r="R112" i="79"/>
  <c r="J109" i="89" s="1"/>
  <c r="J109" i="91" s="1"/>
  <c r="T112" i="79"/>
  <c r="L109" i="89" s="1"/>
  <c r="L109" i="91" s="1"/>
  <c r="S112" i="79"/>
  <c r="K109" i="89" s="1"/>
  <c r="K109" i="91" s="1"/>
  <c r="R109" i="79"/>
  <c r="J106" i="89" s="1"/>
  <c r="J106" i="91" s="1"/>
  <c r="S109" i="79"/>
  <c r="K106" i="89" s="1"/>
  <c r="K106" i="91" s="1"/>
  <c r="P109" i="79"/>
  <c r="H106" i="89" s="1"/>
  <c r="H106" i="91" s="1"/>
  <c r="Q109" i="79"/>
  <c r="I106" i="89" s="1"/>
  <c r="I106" i="91" s="1"/>
  <c r="T109" i="79"/>
  <c r="L106" i="89" s="1"/>
  <c r="L106" i="91" s="1"/>
  <c r="R54" i="79"/>
  <c r="J51" i="89" s="1"/>
  <c r="J51" i="91" s="1"/>
  <c r="Q54" i="79"/>
  <c r="I51" i="89" s="1"/>
  <c r="I51" i="91" s="1"/>
  <c r="T54" i="79"/>
  <c r="L51" i="89" s="1"/>
  <c r="L51" i="91" s="1"/>
  <c r="P54" i="79"/>
  <c r="H51" i="89" s="1"/>
  <c r="H51" i="91" s="1"/>
  <c r="S54" i="79"/>
  <c r="K51" i="89" s="1"/>
  <c r="K51" i="91" s="1"/>
  <c r="P87" i="79"/>
  <c r="Q87" i="79"/>
  <c r="I84" i="89" s="1"/>
  <c r="I84" i="91" s="1"/>
  <c r="S87" i="79"/>
  <c r="K84" i="89" s="1"/>
  <c r="K84" i="91" s="1"/>
  <c r="R87" i="79"/>
  <c r="J84" i="89" s="1"/>
  <c r="J84" i="91" s="1"/>
  <c r="T87" i="79"/>
  <c r="L84" i="89" s="1"/>
  <c r="L84" i="91" s="1"/>
  <c r="R62" i="79"/>
  <c r="J59" i="89" s="1"/>
  <c r="J59" i="91" s="1"/>
  <c r="T62" i="79"/>
  <c r="L59" i="89" s="1"/>
  <c r="L59" i="91" s="1"/>
  <c r="P62" i="79"/>
  <c r="H59" i="89" s="1"/>
  <c r="H59" i="91" s="1"/>
  <c r="Q62" i="79"/>
  <c r="I59" i="89" s="1"/>
  <c r="I59" i="91" s="1"/>
  <c r="S62" i="79"/>
  <c r="K59" i="89" s="1"/>
  <c r="K59" i="91" s="1"/>
  <c r="O96" i="79"/>
  <c r="G93" i="89" s="1"/>
  <c r="G93" i="91" s="1"/>
  <c r="P96" i="79"/>
  <c r="H93" i="89" s="1"/>
  <c r="H93" i="91" s="1"/>
  <c r="S96" i="79"/>
  <c r="K93" i="89" s="1"/>
  <c r="K93" i="91" s="1"/>
  <c r="T96" i="79"/>
  <c r="L93" i="89" s="1"/>
  <c r="L93" i="91" s="1"/>
  <c r="Q96" i="79"/>
  <c r="I93" i="89" s="1"/>
  <c r="I93" i="91" s="1"/>
  <c r="R96" i="79"/>
  <c r="J93" i="89" s="1"/>
  <c r="J93" i="91" s="1"/>
  <c r="Q58" i="79"/>
  <c r="I55" i="89" s="1"/>
  <c r="I55" i="91" s="1"/>
  <c r="R58" i="79"/>
  <c r="J55" i="89" s="1"/>
  <c r="J55" i="91" s="1"/>
  <c r="P58" i="79"/>
  <c r="H55" i="89" s="1"/>
  <c r="H55" i="91" s="1"/>
  <c r="S58" i="79"/>
  <c r="K55" i="89" s="1"/>
  <c r="K55" i="91" s="1"/>
  <c r="T58" i="79"/>
  <c r="L55" i="89" s="1"/>
  <c r="L55" i="91" s="1"/>
  <c r="S73" i="79"/>
  <c r="K70" i="89" s="1"/>
  <c r="K70" i="91" s="1"/>
  <c r="Q73" i="79"/>
  <c r="I70" i="89" s="1"/>
  <c r="I70" i="91" s="1"/>
  <c r="R73" i="79"/>
  <c r="J70" i="89" s="1"/>
  <c r="J70" i="91" s="1"/>
  <c r="T73" i="79"/>
  <c r="L70" i="89" s="1"/>
  <c r="L70" i="91" s="1"/>
  <c r="P73" i="79"/>
  <c r="H70" i="89" s="1"/>
  <c r="H70" i="91" s="1"/>
  <c r="P123" i="79"/>
  <c r="H120" i="89" s="1"/>
  <c r="H120" i="91" s="1"/>
  <c r="Q123" i="79"/>
  <c r="I120" i="89" s="1"/>
  <c r="I120" i="91" s="1"/>
  <c r="R123" i="79"/>
  <c r="S123" i="79"/>
  <c r="K120" i="89" s="1"/>
  <c r="K120" i="91" s="1"/>
  <c r="T123" i="79"/>
  <c r="L120" i="89" s="1"/>
  <c r="L120" i="91" s="1"/>
  <c r="Q34" i="79"/>
  <c r="I31" i="89" s="1"/>
  <c r="I31" i="91" s="1"/>
  <c r="R34" i="79"/>
  <c r="J31" i="89" s="1"/>
  <c r="J31" i="91" s="1"/>
  <c r="T34" i="79"/>
  <c r="L31" i="89" s="1"/>
  <c r="L31" i="91" s="1"/>
  <c r="S34" i="79"/>
  <c r="K31" i="89" s="1"/>
  <c r="K31" i="91" s="1"/>
  <c r="P34" i="79"/>
  <c r="H31" i="89" s="1"/>
  <c r="H31" i="91" s="1"/>
  <c r="I76" i="89"/>
  <c r="I76" i="91" s="1"/>
  <c r="N79" i="79"/>
  <c r="O79" i="79"/>
  <c r="G76" i="89" s="1"/>
  <c r="G76" i="91" s="1"/>
  <c r="K38" i="89"/>
  <c r="K38" i="91" s="1"/>
  <c r="O40" i="79"/>
  <c r="G37" i="89" s="1"/>
  <c r="G37" i="91" s="1"/>
  <c r="K52" i="89"/>
  <c r="K52" i="91" s="1"/>
  <c r="O55" i="79"/>
  <c r="G52" i="89" s="1"/>
  <c r="G52" i="91" s="1"/>
  <c r="J120" i="89"/>
  <c r="J120" i="91" s="1"/>
  <c r="N9" i="79"/>
  <c r="I81" i="89"/>
  <c r="I81" i="91" s="1"/>
  <c r="K72" i="89"/>
  <c r="K72" i="91" s="1"/>
  <c r="L52" i="89"/>
  <c r="L52" i="91" s="1"/>
  <c r="N55" i="79"/>
  <c r="H52" i="89"/>
  <c r="H52" i="91" s="1"/>
  <c r="O34" i="79"/>
  <c r="G31" i="89" s="1"/>
  <c r="G31" i="91" s="1"/>
  <c r="I52" i="89"/>
  <c r="I52" i="91" s="1"/>
  <c r="O123" i="79"/>
  <c r="G120" i="89" s="1"/>
  <c r="G120" i="91" s="1"/>
  <c r="L81" i="89"/>
  <c r="L81" i="91" s="1"/>
  <c r="H16" i="89"/>
  <c r="H16" i="91" s="1"/>
  <c r="O43" i="79"/>
  <c r="G40" i="89" s="1"/>
  <c r="G40" i="91" s="1"/>
  <c r="N10" i="79"/>
  <c r="H75" i="89"/>
  <c r="H75" i="91" s="1"/>
  <c r="J73" i="89"/>
  <c r="J73" i="91" s="1"/>
  <c r="O10" i="79"/>
  <c r="G7" i="89" s="1"/>
  <c r="G7" i="91" s="1"/>
  <c r="O22" i="79"/>
  <c r="G19" i="89" s="1"/>
  <c r="G19" i="91" s="1"/>
  <c r="N22" i="79"/>
  <c r="O78" i="79"/>
  <c r="G75" i="89" s="1"/>
  <c r="G75" i="91" s="1"/>
  <c r="I7" i="89"/>
  <c r="I7" i="91" s="1"/>
  <c r="N61" i="79"/>
  <c r="N68" i="79"/>
  <c r="N42" i="79"/>
  <c r="H73" i="89"/>
  <c r="H73" i="91" s="1"/>
  <c r="I39" i="89"/>
  <c r="I39" i="91" s="1"/>
  <c r="H39" i="89"/>
  <c r="H39" i="91" s="1"/>
  <c r="J72" i="89"/>
  <c r="J72" i="91" s="1"/>
  <c r="O94" i="79"/>
  <c r="G91" i="89" s="1"/>
  <c r="G91" i="91" s="1"/>
  <c r="N73" i="79"/>
  <c r="O107" i="79"/>
  <c r="G104" i="89" s="1"/>
  <c r="G104" i="91" s="1"/>
  <c r="N94" i="79"/>
  <c r="N76" i="79"/>
  <c r="N58" i="79"/>
  <c r="O30" i="79"/>
  <c r="G27" i="89" s="1"/>
  <c r="G27" i="91" s="1"/>
  <c r="H66" i="89"/>
  <c r="H66" i="91" s="1"/>
  <c r="O69" i="79"/>
  <c r="G66" i="89" s="1"/>
  <c r="G66" i="91" s="1"/>
  <c r="N14" i="79"/>
  <c r="N107" i="79"/>
  <c r="N69" i="79"/>
  <c r="I9" i="89"/>
  <c r="I9" i="91" s="1"/>
  <c r="O73" i="79"/>
  <c r="G70" i="89" s="1"/>
  <c r="G70" i="91" s="1"/>
  <c r="K37" i="89"/>
  <c r="K37" i="91" s="1"/>
  <c r="N30" i="79"/>
  <c r="O111" i="79"/>
  <c r="G108" i="89" s="1"/>
  <c r="G108" i="91" s="1"/>
  <c r="N123" i="79"/>
  <c r="O58" i="79"/>
  <c r="G55" i="89" s="1"/>
  <c r="G55" i="91" s="1"/>
  <c r="H90" i="89"/>
  <c r="H90" i="91" s="1"/>
  <c r="K68" i="89"/>
  <c r="K68" i="91" s="1"/>
  <c r="O16" i="79"/>
  <c r="G13" i="89" s="1"/>
  <c r="G13" i="91" s="1"/>
  <c r="N16" i="79"/>
  <c r="H68" i="89"/>
  <c r="H68" i="91" s="1"/>
  <c r="K90" i="89"/>
  <c r="K90" i="91" s="1"/>
  <c r="O62" i="79"/>
  <c r="G59" i="89" s="1"/>
  <c r="G59" i="91" s="1"/>
  <c r="O23" i="79"/>
  <c r="G20" i="89" s="1"/>
  <c r="G20" i="91" s="1"/>
  <c r="N43" i="79"/>
  <c r="I68" i="89"/>
  <c r="I68" i="91" s="1"/>
  <c r="O97" i="79"/>
  <c r="G94" i="89" s="1"/>
  <c r="G94" i="91" s="1"/>
  <c r="N71" i="79"/>
  <c r="H86" i="89"/>
  <c r="H86" i="91" s="1"/>
  <c r="N23" i="79"/>
  <c r="H20" i="89"/>
  <c r="H20" i="91" s="1"/>
  <c r="J45" i="89"/>
  <c r="J45" i="91" s="1"/>
  <c r="N118" i="79"/>
  <c r="K86" i="89"/>
  <c r="K86" i="91" s="1"/>
  <c r="N60" i="79"/>
  <c r="N75" i="79"/>
  <c r="O41" i="79"/>
  <c r="G38" i="89" s="1"/>
  <c r="G38" i="91" s="1"/>
  <c r="O71" i="79"/>
  <c r="G68" i="89" s="1"/>
  <c r="G68" i="91" s="1"/>
  <c r="M5" i="91"/>
  <c r="K23" i="89"/>
  <c r="K23" i="91" s="1"/>
  <c r="L118" i="89"/>
  <c r="L118" i="91" s="1"/>
  <c r="N26" i="79"/>
  <c r="N57" i="79"/>
  <c r="N62" i="79"/>
  <c r="O75" i="79"/>
  <c r="G72" i="89" s="1"/>
  <c r="G72" i="91" s="1"/>
  <c r="O118" i="79"/>
  <c r="G115" i="89" s="1"/>
  <c r="G115" i="91" s="1"/>
  <c r="O121" i="79"/>
  <c r="G118" i="89" s="1"/>
  <c r="G118" i="91" s="1"/>
  <c r="L61" i="89"/>
  <c r="L61" i="91" s="1"/>
  <c r="O61" i="79"/>
  <c r="G58" i="89" s="1"/>
  <c r="G58" i="91" s="1"/>
  <c r="N121" i="79"/>
  <c r="N64" i="79"/>
  <c r="N115" i="79"/>
  <c r="N111" i="79"/>
  <c r="N97" i="79"/>
  <c r="O57" i="79"/>
  <c r="G54" i="89" s="1"/>
  <c r="G54" i="91" s="1"/>
  <c r="I72" i="89"/>
  <c r="I72" i="91" s="1"/>
  <c r="O42" i="79"/>
  <c r="G39" i="89" s="1"/>
  <c r="G39" i="91" s="1"/>
  <c r="H43" i="89"/>
  <c r="H43" i="91" s="1"/>
  <c r="L11" i="89"/>
  <c r="L11" i="91" s="1"/>
  <c r="K11" i="89"/>
  <c r="K11" i="91" s="1"/>
  <c r="O82" i="79"/>
  <c r="G79" i="89" s="1"/>
  <c r="G79" i="91" s="1"/>
  <c r="N12" i="79"/>
  <c r="O88" i="79"/>
  <c r="G85" i="89" s="1"/>
  <c r="G85" i="91" s="1"/>
  <c r="N78" i="79"/>
  <c r="N93" i="79"/>
  <c r="O12" i="79"/>
  <c r="G9" i="89" s="1"/>
  <c r="G9" i="91" s="1"/>
  <c r="N91" i="79"/>
  <c r="O64" i="79"/>
  <c r="G61" i="89" s="1"/>
  <c r="G61" i="91" s="1"/>
  <c r="O91" i="79"/>
  <c r="G88" i="89" s="1"/>
  <c r="G88" i="91" s="1"/>
  <c r="L88" i="89"/>
  <c r="L88" i="91" s="1"/>
  <c r="I88" i="89"/>
  <c r="I88" i="91" s="1"/>
  <c r="N13" i="79"/>
  <c r="N40" i="79"/>
  <c r="O53" i="79"/>
  <c r="G50" i="89" s="1"/>
  <c r="G50" i="91" s="1"/>
  <c r="L8" i="89"/>
  <c r="L8" i="91" s="1"/>
  <c r="N87" i="79"/>
  <c r="N53" i="79"/>
  <c r="O13" i="79"/>
  <c r="G10" i="89" s="1"/>
  <c r="G10" i="91" s="1"/>
  <c r="H57" i="89"/>
  <c r="H57" i="91" s="1"/>
  <c r="K50" i="89"/>
  <c r="K50" i="91" s="1"/>
  <c r="K19" i="89"/>
  <c r="K19" i="91" s="1"/>
  <c r="N11" i="79"/>
  <c r="N127" i="79"/>
  <c r="M114" i="91"/>
  <c r="N86" i="79"/>
  <c r="O70" i="79"/>
  <c r="G67" i="89" s="1"/>
  <c r="G67" i="91" s="1"/>
  <c r="N96" i="79"/>
  <c r="O19" i="79"/>
  <c r="G16" i="89" s="1"/>
  <c r="G16" i="91" s="1"/>
  <c r="I11" i="89"/>
  <c r="I11" i="91" s="1"/>
  <c r="H84" i="89"/>
  <c r="H84" i="91" s="1"/>
  <c r="N48" i="79"/>
  <c r="K16" i="89"/>
  <c r="K16" i="91" s="1"/>
  <c r="N70" i="79"/>
  <c r="O93" i="79"/>
  <c r="G90" i="89" s="1"/>
  <c r="G90" i="91" s="1"/>
  <c r="O87" i="79"/>
  <c r="G84" i="89" s="1"/>
  <c r="G84" i="91" s="1"/>
  <c r="J16" i="89"/>
  <c r="J16" i="91" s="1"/>
  <c r="O28" i="79"/>
  <c r="G25" i="89" s="1"/>
  <c r="G25" i="91" s="1"/>
  <c r="K9" i="89"/>
  <c r="K9" i="91" s="1"/>
  <c r="L9" i="89"/>
  <c r="L9" i="91" s="1"/>
  <c r="O115" i="79"/>
  <c r="G112" i="89" s="1"/>
  <c r="G112" i="91" s="1"/>
  <c r="N113" i="79"/>
  <c r="O86" i="79"/>
  <c r="G83" i="89" s="1"/>
  <c r="G83" i="91" s="1"/>
  <c r="O9" i="79"/>
  <c r="G6" i="89" s="1"/>
  <c r="G6" i="91" s="1"/>
  <c r="N28" i="79"/>
  <c r="O48" i="79"/>
  <c r="G45" i="89" s="1"/>
  <c r="G45" i="91" s="1"/>
  <c r="M34" i="91"/>
  <c r="O113" i="79"/>
  <c r="G110" i="89" s="1"/>
  <c r="G110" i="91" s="1"/>
  <c r="K112" i="89"/>
  <c r="K112" i="91" s="1"/>
  <c r="I112" i="89"/>
  <c r="I112" i="91" s="1"/>
  <c r="O39" i="79"/>
  <c r="G36" i="89" s="1"/>
  <c r="G36" i="91" s="1"/>
  <c r="E9" i="77" s="1"/>
  <c r="E7" i="40" s="1"/>
  <c r="O112" i="79"/>
  <c r="G109" i="89" s="1"/>
  <c r="G109" i="91" s="1"/>
  <c r="O109" i="79"/>
  <c r="G106" i="89" s="1"/>
  <c r="G106" i="91" s="1"/>
  <c r="L121" i="89"/>
  <c r="L121" i="91" s="1"/>
  <c r="O15" i="79"/>
  <c r="G12" i="89" s="1"/>
  <c r="G12" i="91" s="1"/>
  <c r="L32" i="89"/>
  <c r="L32" i="91" s="1"/>
  <c r="N109" i="79"/>
  <c r="M33" i="91"/>
  <c r="M48" i="91"/>
  <c r="H69" i="89"/>
  <c r="H69" i="91" s="1"/>
  <c r="N72" i="79"/>
  <c r="M28" i="91"/>
  <c r="N54" i="79"/>
  <c r="O72" i="79"/>
  <c r="G69" i="89" s="1"/>
  <c r="G69" i="91" s="1"/>
  <c r="O54" i="79"/>
  <c r="G51" i="89" s="1"/>
  <c r="G51" i="91" s="1"/>
  <c r="O106" i="79"/>
  <c r="G103" i="89" s="1"/>
  <c r="G103" i="91" s="1"/>
  <c r="N85" i="79"/>
  <c r="K82" i="89"/>
  <c r="K82" i="91" s="1"/>
  <c r="O85" i="79"/>
  <c r="G82" i="89" s="1"/>
  <c r="G82" i="91" s="1"/>
  <c r="N39" i="79"/>
  <c r="L58" i="89"/>
  <c r="L58" i="91" s="1"/>
  <c r="K108" i="89"/>
  <c r="K108" i="91" s="1"/>
  <c r="I36" i="89"/>
  <c r="I36" i="91" s="1"/>
  <c r="G9" i="77" s="1"/>
  <c r="G7" i="40" s="1"/>
  <c r="J43" i="89"/>
  <c r="J43" i="91" s="1"/>
  <c r="O46" i="79"/>
  <c r="G43" i="89" s="1"/>
  <c r="G43" i="91" s="1"/>
  <c r="H46" i="89"/>
  <c r="H46" i="91" s="1"/>
  <c r="J46" i="89"/>
  <c r="J46" i="91" s="1"/>
  <c r="O49" i="79"/>
  <c r="G46" i="89" s="1"/>
  <c r="G46" i="91" s="1"/>
  <c r="H108" i="89"/>
  <c r="H108" i="91" s="1"/>
  <c r="N89" i="79"/>
  <c r="M14" i="91"/>
  <c r="J36" i="89"/>
  <c r="J36" i="91" s="1"/>
  <c r="H9" i="77" s="1"/>
  <c r="H7" i="40" s="1"/>
  <c r="N106" i="79"/>
  <c r="L40" i="89"/>
  <c r="L40" i="91" s="1"/>
  <c r="O124" i="79"/>
  <c r="G121" i="89" s="1"/>
  <c r="G121" i="91" s="1"/>
  <c r="N112" i="79"/>
  <c r="N35" i="79"/>
  <c r="O103" i="79"/>
  <c r="G100" i="89" s="1"/>
  <c r="G100" i="91" s="1"/>
  <c r="L100" i="89"/>
  <c r="L100" i="91" s="1"/>
  <c r="I86" i="89"/>
  <c r="I86" i="91" s="1"/>
  <c r="O68" i="79"/>
  <c r="G65" i="89" s="1"/>
  <c r="G65" i="91" s="1"/>
  <c r="N88" i="79"/>
  <c r="M35" i="91"/>
  <c r="K65" i="89"/>
  <c r="K65" i="91" s="1"/>
  <c r="H67" i="89"/>
  <c r="H67" i="91" s="1"/>
  <c r="N124" i="79"/>
  <c r="N15" i="79"/>
  <c r="M22" i="91"/>
  <c r="I101" i="89"/>
  <c r="I101" i="91" s="1"/>
  <c r="O104" i="79"/>
  <c r="G101" i="89" s="1"/>
  <c r="G101" i="91" s="1"/>
  <c r="N104" i="79"/>
  <c r="O101" i="79"/>
  <c r="G98" i="89" s="1"/>
  <c r="G98" i="91" s="1"/>
  <c r="N101" i="79"/>
  <c r="O126" i="79"/>
  <c r="G123" i="89" s="1"/>
  <c r="G123" i="91" s="1"/>
  <c r="N126" i="79"/>
  <c r="I123" i="89"/>
  <c r="I123" i="91" s="1"/>
  <c r="O95" i="79"/>
  <c r="G92" i="89" s="1"/>
  <c r="G92" i="91" s="1"/>
  <c r="N95" i="79"/>
  <c r="L96" i="89"/>
  <c r="L96" i="91" s="1"/>
  <c r="O99" i="79"/>
  <c r="G96" i="89" s="1"/>
  <c r="G96" i="91" s="1"/>
  <c r="N99" i="79"/>
  <c r="K96" i="89"/>
  <c r="K96" i="91" s="1"/>
  <c r="M29" i="91"/>
  <c r="J89" i="89"/>
  <c r="J89" i="91" s="1"/>
  <c r="N92" i="79"/>
  <c r="K89" i="89"/>
  <c r="K89" i="91" s="1"/>
  <c r="O92" i="79"/>
  <c r="G89" i="89" s="1"/>
  <c r="G89" i="91" s="1"/>
  <c r="M64" i="91"/>
  <c r="J26" i="89"/>
  <c r="J26" i="91" s="1"/>
  <c r="K26" i="89"/>
  <c r="O29" i="79"/>
  <c r="G26" i="89" s="1"/>
  <c r="G26" i="91" s="1"/>
  <c r="N29" i="79"/>
  <c r="K47" i="89"/>
  <c r="K47" i="91" s="1"/>
  <c r="O50" i="79"/>
  <c r="G47" i="89" s="1"/>
  <c r="G47" i="91" s="1"/>
  <c r="N50" i="79"/>
  <c r="L102" i="89"/>
  <c r="L102" i="91" s="1"/>
  <c r="J102" i="89"/>
  <c r="J102" i="91" s="1"/>
  <c r="O105" i="79"/>
  <c r="G102" i="89" s="1"/>
  <c r="G102" i="91" s="1"/>
  <c r="N105" i="79"/>
  <c r="N83" i="79"/>
  <c r="O83" i="79"/>
  <c r="G80" i="89" s="1"/>
  <c r="G80" i="91" s="1"/>
  <c r="B16" i="40"/>
  <c r="K99" i="89"/>
  <c r="K99" i="91" s="1"/>
  <c r="O102" i="79"/>
  <c r="G99" i="89" s="1"/>
  <c r="G99" i="91" s="1"/>
  <c r="N102" i="79"/>
  <c r="J95" i="89"/>
  <c r="J95" i="91" s="1"/>
  <c r="O98" i="79"/>
  <c r="G95" i="89" s="1"/>
  <c r="G95" i="91" s="1"/>
  <c r="N98" i="79"/>
  <c r="L95" i="89"/>
  <c r="L95" i="91" s="1"/>
  <c r="C17" i="41"/>
  <c r="M97" i="91"/>
  <c r="L30" i="89"/>
  <c r="L30" i="91" s="1"/>
  <c r="K30" i="89"/>
  <c r="K30" i="91" s="1"/>
  <c r="J30" i="89"/>
  <c r="J30" i="91" s="1"/>
  <c r="I30" i="89"/>
  <c r="I30" i="91" s="1"/>
  <c r="O33" i="79"/>
  <c r="G30" i="89" s="1"/>
  <c r="G30" i="91" s="1"/>
  <c r="N33" i="79"/>
  <c r="I71" i="89"/>
  <c r="I71" i="91" s="1"/>
  <c r="N74" i="79"/>
  <c r="O74" i="79"/>
  <c r="G71" i="89" s="1"/>
  <c r="G71" i="91" s="1"/>
  <c r="J74" i="89"/>
  <c r="J74" i="91" s="1"/>
  <c r="H74" i="89"/>
  <c r="H74" i="91" s="1"/>
  <c r="O77" i="79"/>
  <c r="G74" i="89" s="1"/>
  <c r="G74" i="91" s="1"/>
  <c r="L74" i="89"/>
  <c r="L74" i="91" s="1"/>
  <c r="N77" i="79"/>
  <c r="O108" i="79"/>
  <c r="G105" i="89" s="1"/>
  <c r="G105" i="91" s="1"/>
  <c r="N108" i="79"/>
  <c r="K105" i="89"/>
  <c r="K105" i="91" s="1"/>
  <c r="I105" i="89"/>
  <c r="I105" i="91" s="1"/>
  <c r="H105" i="89"/>
  <c r="H105" i="91" s="1"/>
  <c r="L111" i="89"/>
  <c r="L111" i="91" s="1"/>
  <c r="I111" i="89"/>
  <c r="I111" i="91" s="1"/>
  <c r="J111" i="89"/>
  <c r="J111" i="91" s="1"/>
  <c r="O114" i="79"/>
  <c r="G111" i="89" s="1"/>
  <c r="G111" i="91" s="1"/>
  <c r="N114" i="79"/>
  <c r="O20" i="79"/>
  <c r="G17" i="89" s="1"/>
  <c r="G17" i="91" s="1"/>
  <c r="N20" i="79"/>
  <c r="L21" i="89"/>
  <c r="L21" i="91" s="1"/>
  <c r="O24" i="79"/>
  <c r="G21" i="89" s="1"/>
  <c r="G21" i="91" s="1"/>
  <c r="H21" i="89"/>
  <c r="H21" i="91" s="1"/>
  <c r="N24" i="79"/>
  <c r="L15" i="89"/>
  <c r="O18" i="79"/>
  <c r="G15" i="89" s="1"/>
  <c r="N18" i="79"/>
  <c r="M49" i="91"/>
  <c r="J41" i="89"/>
  <c r="J41" i="91" s="1"/>
  <c r="O44" i="79"/>
  <c r="G41" i="89" s="1"/>
  <c r="G41" i="91" s="1"/>
  <c r="N44" i="79"/>
  <c r="J77" i="89"/>
  <c r="J77" i="91" s="1"/>
  <c r="O80" i="79"/>
  <c r="G77" i="89" s="1"/>
  <c r="G77" i="91" s="1"/>
  <c r="N80" i="79"/>
  <c r="O90" i="79"/>
  <c r="G87" i="89" s="1"/>
  <c r="G87" i="91" s="1"/>
  <c r="N90" i="79"/>
  <c r="J87" i="89"/>
  <c r="J87" i="91" s="1"/>
  <c r="I125" i="89"/>
  <c r="I125" i="91" s="1"/>
  <c r="H125" i="89"/>
  <c r="H125" i="91" s="1"/>
  <c r="O128" i="79"/>
  <c r="G125" i="89" s="1"/>
  <c r="G125" i="91" s="1"/>
  <c r="N128" i="79"/>
  <c r="H122" i="89"/>
  <c r="H122" i="91" s="1"/>
  <c r="L122" i="89"/>
  <c r="L122" i="91" s="1"/>
  <c r="O125" i="79"/>
  <c r="G122" i="89" s="1"/>
  <c r="G122" i="91" s="1"/>
  <c r="N125" i="79"/>
  <c r="N56" i="79"/>
  <c r="O56" i="79"/>
  <c r="G53" i="89" s="1"/>
  <c r="G53" i="91" s="1"/>
  <c r="K53" i="89"/>
  <c r="K53" i="91" s="1"/>
  <c r="I53" i="89"/>
  <c r="I53" i="91" s="1"/>
  <c r="O21" i="79"/>
  <c r="G18" i="89" s="1"/>
  <c r="G18" i="91" s="1"/>
  <c r="N21" i="79"/>
  <c r="L78" i="89"/>
  <c r="L78" i="91" s="1"/>
  <c r="O81" i="79"/>
  <c r="G78" i="89" s="1"/>
  <c r="G78" i="91" s="1"/>
  <c r="N81" i="79"/>
  <c r="L113" i="89"/>
  <c r="L113" i="91" s="1"/>
  <c r="N116" i="79"/>
  <c r="I113" i="89"/>
  <c r="I113" i="91" s="1"/>
  <c r="O116" i="79"/>
  <c r="G113" i="89" s="1"/>
  <c r="G113" i="91" s="1"/>
  <c r="L63" i="89"/>
  <c r="L63" i="91" s="1"/>
  <c r="J63" i="89"/>
  <c r="J63" i="91" s="1"/>
  <c r="N66" i="79"/>
  <c r="O66" i="79"/>
  <c r="G63" i="89" s="1"/>
  <c r="G63" i="91" s="1"/>
  <c r="O122" i="79"/>
  <c r="G119" i="89" s="1"/>
  <c r="G119" i="91" s="1"/>
  <c r="N122" i="79"/>
  <c r="L60" i="89"/>
  <c r="L60" i="91" s="1"/>
  <c r="O63" i="79"/>
  <c r="G60" i="89" s="1"/>
  <c r="G60" i="91" s="1"/>
  <c r="N63" i="79"/>
  <c r="K60" i="89"/>
  <c r="K60" i="91" s="1"/>
  <c r="O120" i="79"/>
  <c r="G117" i="89" s="1"/>
  <c r="G117" i="91" s="1"/>
  <c r="N120" i="79"/>
  <c r="J107" i="89"/>
  <c r="J107" i="91" s="1"/>
  <c r="H107" i="89"/>
  <c r="H107" i="91" s="1"/>
  <c r="O110" i="79"/>
  <c r="G107" i="89" s="1"/>
  <c r="G107" i="91" s="1"/>
  <c r="N110" i="79"/>
  <c r="O47" i="79"/>
  <c r="G44" i="89" s="1"/>
  <c r="G44" i="91" s="1"/>
  <c r="N47" i="79"/>
  <c r="L42" i="89"/>
  <c r="L42" i="91" s="1"/>
  <c r="O45" i="79"/>
  <c r="G42" i="89" s="1"/>
  <c r="G42" i="91" s="1"/>
  <c r="N45" i="79"/>
  <c r="I42" i="89"/>
  <c r="I42" i="91" s="1"/>
  <c r="H42" i="89"/>
  <c r="H42" i="91" s="1"/>
  <c r="O119" i="79"/>
  <c r="G116" i="89" s="1"/>
  <c r="G116" i="91" s="1"/>
  <c r="N119" i="79"/>
  <c r="O27" i="79"/>
  <c r="G24" i="89" s="1"/>
  <c r="G24" i="91" s="1"/>
  <c r="N27" i="79"/>
  <c r="J62" i="89"/>
  <c r="J62" i="91" s="1"/>
  <c r="H62" i="89"/>
  <c r="H62" i="91" s="1"/>
  <c r="K62" i="89"/>
  <c r="K62" i="91" s="1"/>
  <c r="O65" i="79"/>
  <c r="G62" i="89" s="1"/>
  <c r="G62" i="91" s="1"/>
  <c r="N65" i="79"/>
  <c r="U8" i="79" l="1"/>
  <c r="M56" i="91"/>
  <c r="M76" i="91"/>
  <c r="J6" i="91"/>
  <c r="W7" i="88" s="1" a="1"/>
  <c r="W7" i="88" s="1"/>
  <c r="I7" i="88" a="1"/>
  <c r="I7" i="88" s="1"/>
  <c r="F86" i="89"/>
  <c r="F86" i="91" s="1"/>
  <c r="U89" i="79"/>
  <c r="F100" i="89"/>
  <c r="F100" i="91" s="1"/>
  <c r="U103" i="79"/>
  <c r="F18" i="89"/>
  <c r="F18" i="91" s="1"/>
  <c r="U21" i="79"/>
  <c r="F87" i="89"/>
  <c r="F87" i="91" s="1"/>
  <c r="U90" i="79"/>
  <c r="F71" i="89"/>
  <c r="F71" i="91" s="1"/>
  <c r="U74" i="79"/>
  <c r="F98" i="89"/>
  <c r="F98" i="91" s="1"/>
  <c r="U101" i="79"/>
  <c r="F101" i="89"/>
  <c r="F101" i="91" s="1"/>
  <c r="U104" i="79"/>
  <c r="F25" i="89"/>
  <c r="F25" i="91" s="1"/>
  <c r="U28" i="79"/>
  <c r="X7" i="88" a="1"/>
  <c r="X7" i="88" s="1"/>
  <c r="F37" i="89"/>
  <c r="F37" i="91" s="1"/>
  <c r="U40" i="79"/>
  <c r="F75" i="89"/>
  <c r="F75" i="91" s="1"/>
  <c r="U78" i="79"/>
  <c r="F54" i="89"/>
  <c r="F54" i="91" s="1"/>
  <c r="U57" i="79"/>
  <c r="F115" i="89"/>
  <c r="F115" i="91" s="1"/>
  <c r="U118" i="79"/>
  <c r="F11" i="89"/>
  <c r="F11" i="91" s="1"/>
  <c r="U14" i="79"/>
  <c r="F55" i="89"/>
  <c r="F55" i="91" s="1"/>
  <c r="U58" i="79"/>
  <c r="F70" i="89"/>
  <c r="F70" i="91" s="1"/>
  <c r="U73" i="79"/>
  <c r="F39" i="89"/>
  <c r="F39" i="91" s="1"/>
  <c r="U42" i="79"/>
  <c r="F76" i="89"/>
  <c r="F76" i="91" s="1"/>
  <c r="U79" i="79"/>
  <c r="F10" i="89"/>
  <c r="F10" i="91" s="1"/>
  <c r="U13" i="79"/>
  <c r="F20" i="89"/>
  <c r="F20" i="91" s="1"/>
  <c r="U23" i="79"/>
  <c r="F73" i="89"/>
  <c r="F73" i="91" s="1"/>
  <c r="D12" i="77" s="1"/>
  <c r="U76" i="79"/>
  <c r="F65" i="89"/>
  <c r="F65" i="91" s="1"/>
  <c r="U68" i="79"/>
  <c r="F19" i="89"/>
  <c r="F19" i="91" s="1"/>
  <c r="L8" i="77" s="1" a="1"/>
  <c r="L8" i="77" s="1"/>
  <c r="L6" i="40" s="1"/>
  <c r="U22" i="79"/>
  <c r="F52" i="89"/>
  <c r="F52" i="91" s="1"/>
  <c r="L13" i="77" s="1" a="1"/>
  <c r="L13" i="77" s="1"/>
  <c r="L11" i="40" s="1"/>
  <c r="U55" i="79"/>
  <c r="F16" i="89"/>
  <c r="F16" i="91" s="1"/>
  <c r="U19" i="79"/>
  <c r="F24" i="89"/>
  <c r="F24" i="91" s="1"/>
  <c r="U27" i="79"/>
  <c r="F107" i="89"/>
  <c r="F107" i="91" s="1"/>
  <c r="L16" i="77" s="1" a="1"/>
  <c r="L16" i="77" s="1"/>
  <c r="L14" i="40" s="1"/>
  <c r="U110" i="79"/>
  <c r="F45" i="89"/>
  <c r="F45" i="91" s="1"/>
  <c r="U48" i="79"/>
  <c r="F84" i="89"/>
  <c r="F84" i="91" s="1"/>
  <c r="U87" i="79"/>
  <c r="F44" i="89"/>
  <c r="F44" i="91" s="1"/>
  <c r="U47" i="79"/>
  <c r="F116" i="89"/>
  <c r="F116" i="91" s="1"/>
  <c r="U119" i="79"/>
  <c r="F40" i="89"/>
  <c r="F40" i="91" s="1"/>
  <c r="U43" i="79"/>
  <c r="F66" i="89"/>
  <c r="F66" i="91" s="1"/>
  <c r="U69" i="79"/>
  <c r="F91" i="89"/>
  <c r="F91" i="91" s="1"/>
  <c r="U94" i="79"/>
  <c r="F58" i="89"/>
  <c r="F58" i="91" s="1"/>
  <c r="U61" i="79"/>
  <c r="F53" i="89"/>
  <c r="F53" i="91" s="1"/>
  <c r="U56" i="79"/>
  <c r="F41" i="89"/>
  <c r="F41" i="91" s="1"/>
  <c r="L10" i="77" s="1" a="1"/>
  <c r="L10" i="77" s="1"/>
  <c r="L8" i="40" s="1"/>
  <c r="U44" i="79"/>
  <c r="F105" i="89"/>
  <c r="F105" i="91" s="1"/>
  <c r="U108" i="79"/>
  <c r="F102" i="89"/>
  <c r="F102" i="91" s="1"/>
  <c r="D11" i="77" s="1"/>
  <c r="U105" i="79"/>
  <c r="F82" i="89"/>
  <c r="F82" i="91" s="1"/>
  <c r="U85" i="79"/>
  <c r="F69" i="89"/>
  <c r="F69" i="91" s="1"/>
  <c r="U72" i="79"/>
  <c r="F83" i="89"/>
  <c r="F83" i="91" s="1"/>
  <c r="U86" i="79"/>
  <c r="F124" i="89"/>
  <c r="F124" i="91" s="1"/>
  <c r="U127" i="79"/>
  <c r="F94" i="89"/>
  <c r="F94" i="91" s="1"/>
  <c r="U97" i="79"/>
  <c r="F23" i="89"/>
  <c r="F23" i="91" s="1"/>
  <c r="U26" i="79"/>
  <c r="F13" i="89"/>
  <c r="F13" i="91" s="1"/>
  <c r="U16" i="79"/>
  <c r="F56" i="89"/>
  <c r="F56" i="91" s="1"/>
  <c r="U59" i="79"/>
  <c r="F81" i="89"/>
  <c r="F81" i="91" s="1"/>
  <c r="U84" i="79"/>
  <c r="F43" i="89"/>
  <c r="F43" i="91" s="1"/>
  <c r="U46" i="79"/>
  <c r="F9" i="89"/>
  <c r="F9" i="91" s="1"/>
  <c r="U12" i="79"/>
  <c r="F59" i="89"/>
  <c r="F59" i="91" s="1"/>
  <c r="U62" i="79"/>
  <c r="F95" i="89"/>
  <c r="F95" i="91" s="1"/>
  <c r="U98" i="79"/>
  <c r="F51" i="89"/>
  <c r="F51" i="91" s="1"/>
  <c r="U54" i="79"/>
  <c r="F17" i="89"/>
  <c r="U20" i="79"/>
  <c r="F103" i="89"/>
  <c r="F103" i="91" s="1"/>
  <c r="U106" i="79"/>
  <c r="F7" i="89"/>
  <c r="F7" i="91" s="1"/>
  <c r="U10" i="79"/>
  <c r="C7" i="77" s="1"/>
  <c r="F46" i="89"/>
  <c r="F46" i="91" s="1"/>
  <c r="U49" i="79"/>
  <c r="F62" i="89"/>
  <c r="F62" i="91" s="1"/>
  <c r="U65" i="79"/>
  <c r="F63" i="89"/>
  <c r="F63" i="91" s="1"/>
  <c r="L14" i="77" s="1" a="1"/>
  <c r="L14" i="77" s="1"/>
  <c r="L12" i="40" s="1"/>
  <c r="U66" i="79"/>
  <c r="F30" i="89"/>
  <c r="F30" i="91" s="1"/>
  <c r="L9" i="77" s="1" a="1"/>
  <c r="L9" i="77" s="1"/>
  <c r="U33" i="79"/>
  <c r="U82" i="79"/>
  <c r="C9" i="77"/>
  <c r="F118" i="89"/>
  <c r="F118" i="91" s="1"/>
  <c r="L17" i="77" s="1" a="1"/>
  <c r="L17" i="77" s="1"/>
  <c r="L15" i="40" s="1"/>
  <c r="V15" i="40" s="1"/>
  <c r="U121" i="79"/>
  <c r="F111" i="89"/>
  <c r="F111" i="91" s="1"/>
  <c r="U114" i="79"/>
  <c r="F26" i="89"/>
  <c r="F26" i="91" s="1"/>
  <c r="U29" i="79"/>
  <c r="F47" i="89"/>
  <c r="F47" i="91" s="1"/>
  <c r="U50" i="79"/>
  <c r="F36" i="89"/>
  <c r="F36" i="91" s="1"/>
  <c r="D9" i="77" s="1"/>
  <c r="D7" i="40" s="1"/>
  <c r="U39" i="79"/>
  <c r="F27" i="89"/>
  <c r="F27" i="91" s="1"/>
  <c r="U30" i="79"/>
  <c r="F119" i="89"/>
  <c r="F119" i="91" s="1"/>
  <c r="U122" i="79"/>
  <c r="F15" i="89"/>
  <c r="F15" i="91" s="1"/>
  <c r="U18" i="79"/>
  <c r="F85" i="89"/>
  <c r="F85" i="91" s="1"/>
  <c r="L15" i="77" s="1" a="1"/>
  <c r="L15" i="77" s="1"/>
  <c r="L13" i="40" s="1"/>
  <c r="U88" i="79"/>
  <c r="F110" i="89"/>
  <c r="F110" i="91" s="1"/>
  <c r="U113" i="79"/>
  <c r="F88" i="89"/>
  <c r="F88" i="91" s="1"/>
  <c r="U91" i="79"/>
  <c r="F42" i="89"/>
  <c r="F42" i="91" s="1"/>
  <c r="U45" i="79"/>
  <c r="F78" i="89"/>
  <c r="F78" i="91" s="1"/>
  <c r="U81" i="79"/>
  <c r="F89" i="89"/>
  <c r="F89" i="91" s="1"/>
  <c r="U92" i="79"/>
  <c r="F123" i="89"/>
  <c r="F123" i="91" s="1"/>
  <c r="U126" i="79"/>
  <c r="F109" i="89"/>
  <c r="F109" i="91" s="1"/>
  <c r="U112" i="79"/>
  <c r="F67" i="89"/>
  <c r="F67" i="91" s="1"/>
  <c r="U70" i="79"/>
  <c r="F93" i="89"/>
  <c r="F93" i="91" s="1"/>
  <c r="U96" i="79"/>
  <c r="F8" i="89"/>
  <c r="F8" i="91" s="1"/>
  <c r="L7" i="77" s="1" a="1"/>
  <c r="L7" i="77" s="1"/>
  <c r="U11" i="79"/>
  <c r="F112" i="89"/>
  <c r="F112" i="91" s="1"/>
  <c r="D16" i="77" s="1"/>
  <c r="U115" i="79"/>
  <c r="F72" i="89"/>
  <c r="F72" i="91" s="1"/>
  <c r="U75" i="79"/>
  <c r="F6" i="89"/>
  <c r="F6" i="91" s="1"/>
  <c r="R7" i="88" s="1" a="1"/>
  <c r="R7" i="88" s="1"/>
  <c r="U9" i="79"/>
  <c r="U34" i="79"/>
  <c r="F60" i="89"/>
  <c r="F60" i="91" s="1"/>
  <c r="U63" i="79"/>
  <c r="F21" i="89"/>
  <c r="F21" i="91" s="1"/>
  <c r="U24" i="79"/>
  <c r="F92" i="89"/>
  <c r="F92" i="91" s="1"/>
  <c r="U95" i="79"/>
  <c r="F106" i="89"/>
  <c r="F106" i="91" s="1"/>
  <c r="U109" i="79"/>
  <c r="F120" i="89"/>
  <c r="F120" i="91" s="1"/>
  <c r="U123" i="79"/>
  <c r="F77" i="89"/>
  <c r="F77" i="91" s="1"/>
  <c r="U80" i="79"/>
  <c r="F99" i="89"/>
  <c r="F99" i="91" s="1"/>
  <c r="U102" i="79"/>
  <c r="F12" i="89"/>
  <c r="F12" i="91" s="1"/>
  <c r="U15" i="79"/>
  <c r="F32" i="89"/>
  <c r="F32" i="91" s="1"/>
  <c r="U35" i="79"/>
  <c r="F108" i="89"/>
  <c r="F108" i="91" s="1"/>
  <c r="U111" i="79"/>
  <c r="F113" i="89"/>
  <c r="F113" i="91" s="1"/>
  <c r="U116" i="79"/>
  <c r="F125" i="89"/>
  <c r="F125" i="91" s="1"/>
  <c r="U128" i="79"/>
  <c r="F117" i="89"/>
  <c r="F117" i="91" s="1"/>
  <c r="U120" i="79"/>
  <c r="C17" i="77" s="1"/>
  <c r="F122" i="89"/>
  <c r="F122" i="91" s="1"/>
  <c r="U125" i="79"/>
  <c r="F74" i="89"/>
  <c r="F74" i="91" s="1"/>
  <c r="L12" i="77" s="1" a="1"/>
  <c r="L12" i="77" s="1"/>
  <c r="L10" i="40" s="1"/>
  <c r="U77" i="79"/>
  <c r="F80" i="89"/>
  <c r="F80" i="91" s="1"/>
  <c r="U83" i="79"/>
  <c r="F96" i="89"/>
  <c r="F96" i="91" s="1"/>
  <c r="L11" i="77" s="1" a="1"/>
  <c r="L11" i="77" s="1"/>
  <c r="L9" i="40" s="1"/>
  <c r="U99" i="79"/>
  <c r="F121" i="89"/>
  <c r="F121" i="91" s="1"/>
  <c r="U124" i="79"/>
  <c r="F50" i="89"/>
  <c r="F50" i="91" s="1"/>
  <c r="U53" i="79"/>
  <c r="F90" i="89"/>
  <c r="F90" i="91" s="1"/>
  <c r="U93" i="79"/>
  <c r="F61" i="89"/>
  <c r="F61" i="91" s="1"/>
  <c r="U64" i="79"/>
  <c r="F57" i="89"/>
  <c r="F57" i="91" s="1"/>
  <c r="U60" i="79"/>
  <c r="F68" i="89"/>
  <c r="F68" i="91" s="1"/>
  <c r="D14" i="77" s="1"/>
  <c r="U71" i="79"/>
  <c r="F104" i="89"/>
  <c r="F104" i="91" s="1"/>
  <c r="U107" i="79"/>
  <c r="F38" i="89"/>
  <c r="F38" i="91" s="1"/>
  <c r="U41" i="79"/>
  <c r="M115" i="91"/>
  <c r="M55" i="91"/>
  <c r="E13" i="77"/>
  <c r="E11" i="40" s="1"/>
  <c r="M27" i="91"/>
  <c r="M39" i="91"/>
  <c r="M37" i="91"/>
  <c r="M38" i="91"/>
  <c r="I14" i="77"/>
  <c r="I12" i="40" s="1"/>
  <c r="M67" i="91"/>
  <c r="E7" i="77"/>
  <c r="E5" i="40" s="1"/>
  <c r="G7" i="88" a="1"/>
  <c r="G7" i="88" s="1"/>
  <c r="H15" i="77"/>
  <c r="H13" i="40" s="1"/>
  <c r="M65" i="91"/>
  <c r="M81" i="91"/>
  <c r="M112" i="91"/>
  <c r="M52" i="91"/>
  <c r="M31" i="91"/>
  <c r="H7" i="77"/>
  <c r="H5" i="40" s="1"/>
  <c r="D7" i="77"/>
  <c r="D5" i="40" s="1"/>
  <c r="D15" i="77"/>
  <c r="D13" i="40" s="1"/>
  <c r="M75" i="91"/>
  <c r="F8" i="77"/>
  <c r="F6" i="40" s="1"/>
  <c r="J7" i="40"/>
  <c r="F7" i="77"/>
  <c r="F5" i="40" s="1"/>
  <c r="M118" i="91"/>
  <c r="G7" i="77"/>
  <c r="G5" i="40" s="1"/>
  <c r="M66" i="91"/>
  <c r="M73" i="91"/>
  <c r="E10" i="77"/>
  <c r="E8" i="40" s="1"/>
  <c r="K7" i="88" a="1"/>
  <c r="K7" i="88" s="1"/>
  <c r="J12" i="77"/>
  <c r="J10" i="40" s="1"/>
  <c r="H13" i="77"/>
  <c r="H11" i="40" s="1"/>
  <c r="E16" i="77"/>
  <c r="E14" i="40" s="1"/>
  <c r="M70" i="91"/>
  <c r="F13" i="77"/>
  <c r="F11" i="40" s="1"/>
  <c r="M23" i="91"/>
  <c r="M13" i="91"/>
  <c r="M90" i="91"/>
  <c r="M19" i="91"/>
  <c r="M50" i="91"/>
  <c r="J15" i="77"/>
  <c r="J13" i="40" s="1"/>
  <c r="M61" i="91"/>
  <c r="U7" i="88" a="1"/>
  <c r="U7" i="88" s="1"/>
  <c r="M120" i="91"/>
  <c r="M91" i="91"/>
  <c r="F7" i="88" a="1"/>
  <c r="F7" i="88" s="1"/>
  <c r="M59" i="91"/>
  <c r="I12" i="77"/>
  <c r="I10" i="40" s="1"/>
  <c r="M94" i="91"/>
  <c r="M85" i="91"/>
  <c r="M25" i="91"/>
  <c r="M57" i="91"/>
  <c r="M54" i="91"/>
  <c r="H16" i="77"/>
  <c r="H14" i="40" s="1"/>
  <c r="M103" i="91"/>
  <c r="M20" i="91"/>
  <c r="M7" i="91"/>
  <c r="Y7" i="88" a="1"/>
  <c r="Y7" i="88" s="1"/>
  <c r="J14" i="77"/>
  <c r="J12" i="40" s="1"/>
  <c r="E17" i="77"/>
  <c r="E15" i="40" s="1"/>
  <c r="M124" i="91"/>
  <c r="M104" i="91"/>
  <c r="M68" i="91"/>
  <c r="E12" i="77"/>
  <c r="E10" i="40" s="1"/>
  <c r="M86" i="91"/>
  <c r="F15" i="77"/>
  <c r="F13" i="40" s="1"/>
  <c r="M88" i="91"/>
  <c r="G14" i="77"/>
  <c r="G12" i="40" s="1"/>
  <c r="G12" i="77"/>
  <c r="G10" i="40" s="1"/>
  <c r="I15" i="77"/>
  <c r="I13" i="40" s="1"/>
  <c r="M83" i="91"/>
  <c r="M72" i="91"/>
  <c r="G15" i="77"/>
  <c r="G13" i="40" s="1"/>
  <c r="E15" i="77"/>
  <c r="E13" i="40" s="1"/>
  <c r="M110" i="91"/>
  <c r="M10" i="91"/>
  <c r="I16" i="77"/>
  <c r="I14" i="40" s="1"/>
  <c r="J7" i="88" a="1"/>
  <c r="J7" i="88" s="1"/>
  <c r="G13" i="77"/>
  <c r="G11" i="40" s="1"/>
  <c r="I17" i="77"/>
  <c r="I15" i="40" s="1"/>
  <c r="G10" i="77"/>
  <c r="G8" i="40" s="1"/>
  <c r="H12" i="77"/>
  <c r="H10" i="40" s="1"/>
  <c r="M11" i="91"/>
  <c r="M93" i="91"/>
  <c r="H10" i="77"/>
  <c r="H8" i="40" s="1"/>
  <c r="H11" i="77"/>
  <c r="H9" i="40" s="1"/>
  <c r="E7" i="88" a="1"/>
  <c r="E7" i="88" s="1"/>
  <c r="H14" i="77"/>
  <c r="H12" i="40" s="1"/>
  <c r="M21" i="91"/>
  <c r="M108" i="91"/>
  <c r="G17" i="77"/>
  <c r="G15" i="40" s="1"/>
  <c r="E14" i="77"/>
  <c r="E12" i="40" s="1"/>
  <c r="J16" i="77"/>
  <c r="J14" i="40" s="1"/>
  <c r="M16" i="91"/>
  <c r="M106" i="91"/>
  <c r="J10" i="77"/>
  <c r="J8" i="40" s="1"/>
  <c r="M40" i="91"/>
  <c r="M79" i="91"/>
  <c r="G16" i="77"/>
  <c r="G14" i="40" s="1"/>
  <c r="M121" i="91"/>
  <c r="M45" i="91"/>
  <c r="I13" i="88" a="1"/>
  <c r="I13" i="88" s="1"/>
  <c r="M8" i="91"/>
  <c r="H8" i="77"/>
  <c r="H6" i="40" s="1"/>
  <c r="M84" i="91"/>
  <c r="M100" i="91"/>
  <c r="M109" i="91"/>
  <c r="I6" i="91"/>
  <c r="H7" i="88" a="1"/>
  <c r="H7" i="88" s="1"/>
  <c r="E12" i="88" a="1"/>
  <c r="E12" i="88" s="1"/>
  <c r="H17" i="77"/>
  <c r="H15" i="40" s="1"/>
  <c r="M107" i="91"/>
  <c r="J13" i="77"/>
  <c r="J11" i="40" s="1"/>
  <c r="M43" i="91"/>
  <c r="M12" i="91"/>
  <c r="M82" i="91"/>
  <c r="M32" i="91"/>
  <c r="M101" i="91"/>
  <c r="M46" i="91"/>
  <c r="I17" i="88" a="1"/>
  <c r="I17" i="88" s="1"/>
  <c r="M87" i="91"/>
  <c r="E9" i="88" a="1"/>
  <c r="E9" i="88" s="1"/>
  <c r="M58" i="91"/>
  <c r="K16" i="88" a="1"/>
  <c r="K16" i="88" s="1"/>
  <c r="M99" i="91"/>
  <c r="M69" i="91"/>
  <c r="I10" i="77"/>
  <c r="I8" i="40" s="1"/>
  <c r="I8" i="77"/>
  <c r="I6" i="40" s="1"/>
  <c r="I15" i="88" a="1"/>
  <c r="I15" i="88" s="1"/>
  <c r="M42" i="91"/>
  <c r="J8" i="88" a="1"/>
  <c r="J8" i="88" s="1"/>
  <c r="M105" i="91"/>
  <c r="M51" i="91"/>
  <c r="I13" i="77"/>
  <c r="M36" i="91"/>
  <c r="M119" i="91"/>
  <c r="L17" i="91"/>
  <c r="M17" i="91" s="1"/>
  <c r="K11" i="88" a="1"/>
  <c r="K11" i="88" s="1"/>
  <c r="K15" i="88" a="1"/>
  <c r="K15" i="88" s="1"/>
  <c r="K8" i="88" a="1"/>
  <c r="K8" i="88" s="1"/>
  <c r="K9" i="88" a="1"/>
  <c r="K9" i="88" s="1"/>
  <c r="K17" i="88" a="1"/>
  <c r="K17" i="88" s="1"/>
  <c r="K10" i="88" a="1"/>
  <c r="K10" i="88" s="1"/>
  <c r="K12" i="88" a="1"/>
  <c r="K12" i="88" s="1"/>
  <c r="K26" i="91"/>
  <c r="M26" i="91" s="1"/>
  <c r="J15" i="88" a="1"/>
  <c r="J15" i="88" s="1"/>
  <c r="J12" i="88" a="1"/>
  <c r="J12" i="88" s="1"/>
  <c r="J11" i="88" a="1"/>
  <c r="J11" i="88" s="1"/>
  <c r="J13" i="88" a="1"/>
  <c r="J13" i="88" s="1"/>
  <c r="J8" i="77"/>
  <c r="F17" i="91"/>
  <c r="M62" i="91"/>
  <c r="F14" i="77"/>
  <c r="F12" i="40" s="1"/>
  <c r="H60" i="91"/>
  <c r="M60" i="91" s="1"/>
  <c r="G17" i="88" a="1"/>
  <c r="G17" i="88" s="1"/>
  <c r="I15" i="91"/>
  <c r="H9" i="88" a="1"/>
  <c r="H9" i="88" s="1"/>
  <c r="H11" i="88" a="1"/>
  <c r="H11" i="88" s="1"/>
  <c r="H15" i="88" a="1"/>
  <c r="H15" i="88" s="1"/>
  <c r="H17" i="88" a="1"/>
  <c r="H17" i="88" s="1"/>
  <c r="H12" i="88" a="1"/>
  <c r="H12" i="88" s="1"/>
  <c r="H10" i="88" a="1"/>
  <c r="H10" i="88" s="1"/>
  <c r="H14" i="88" a="1"/>
  <c r="H14" i="88" s="1"/>
  <c r="H13" i="88" a="1"/>
  <c r="H13" i="88" s="1"/>
  <c r="H16" i="88" a="1"/>
  <c r="H16" i="88" s="1"/>
  <c r="H8" i="88" a="1"/>
  <c r="H8" i="88" s="1"/>
  <c r="M44" i="91"/>
  <c r="M117" i="91"/>
  <c r="F17" i="77"/>
  <c r="F15" i="40" s="1"/>
  <c r="M41" i="91"/>
  <c r="G10" i="88" a="1"/>
  <c r="G10" i="88" s="1"/>
  <c r="F16" i="88" a="1"/>
  <c r="F16" i="88" s="1"/>
  <c r="M122" i="91"/>
  <c r="G15" i="91"/>
  <c r="S8" i="88" s="1" a="1"/>
  <c r="S8" i="88" s="1"/>
  <c r="F14" i="88" a="1"/>
  <c r="F14" i="88" s="1"/>
  <c r="F11" i="88" a="1"/>
  <c r="F11" i="88" s="1"/>
  <c r="F10" i="88" a="1"/>
  <c r="F10" i="88" s="1"/>
  <c r="E10" i="88" a="1"/>
  <c r="E10" i="88" s="1"/>
  <c r="M80" i="91"/>
  <c r="F12" i="77"/>
  <c r="F10" i="40" s="1"/>
  <c r="I10" i="88" a="1"/>
  <c r="I10" i="88" s="1"/>
  <c r="H15" i="91"/>
  <c r="U9" i="88" s="1" a="1"/>
  <c r="U9" i="88" s="1"/>
  <c r="G11" i="88" a="1"/>
  <c r="G11" i="88" s="1"/>
  <c r="M96" i="91"/>
  <c r="I11" i="88" a="1"/>
  <c r="I11" i="88" s="1"/>
  <c r="F12" i="88" a="1"/>
  <c r="F12" i="88" s="1"/>
  <c r="F9" i="88" a="1"/>
  <c r="F9" i="88" s="1"/>
  <c r="J15" i="91"/>
  <c r="W10" i="88" s="1" a="1"/>
  <c r="W10" i="88" s="1"/>
  <c r="I14" i="88" a="1"/>
  <c r="I14" i="88" s="1"/>
  <c r="I12" i="88" a="1"/>
  <c r="I12" i="88" s="1"/>
  <c r="M74" i="91"/>
  <c r="M71" i="91"/>
  <c r="M24" i="91"/>
  <c r="F17" i="88" a="1"/>
  <c r="F17" i="88" s="1"/>
  <c r="M111" i="91"/>
  <c r="J11" i="77"/>
  <c r="J9" i="40" s="1"/>
  <c r="F15" i="88" a="1"/>
  <c r="F15" i="88" s="1"/>
  <c r="M102" i="91"/>
  <c r="I9" i="88" a="1"/>
  <c r="I9" i="88" s="1"/>
  <c r="F13" i="88" a="1"/>
  <c r="F13" i="88" s="1"/>
  <c r="G14" i="88" a="1"/>
  <c r="G14" i="88" s="1"/>
  <c r="M123" i="91"/>
  <c r="G15" i="88" a="1"/>
  <c r="G15" i="88" s="1"/>
  <c r="M125" i="91"/>
  <c r="J17" i="88" a="1"/>
  <c r="J17" i="88" s="1"/>
  <c r="T7" i="88" a="1"/>
  <c r="T7" i="88" s="1"/>
  <c r="G9" i="88" a="1"/>
  <c r="G9" i="88" s="1"/>
  <c r="M116" i="91"/>
  <c r="G8" i="88" a="1"/>
  <c r="G8" i="88" s="1"/>
  <c r="E8" i="77"/>
  <c r="E6" i="40" s="1"/>
  <c r="K14" i="88" a="1"/>
  <c r="K14" i="88" s="1"/>
  <c r="G12" i="88" a="1"/>
  <c r="G12" i="88" s="1"/>
  <c r="E11" i="77"/>
  <c r="E9" i="40" s="1"/>
  <c r="J10" i="88" a="1"/>
  <c r="J10" i="88" s="1"/>
  <c r="I8" i="88" a="1"/>
  <c r="I8" i="88" s="1"/>
  <c r="M9" i="91"/>
  <c r="M30" i="91"/>
  <c r="M95" i="91"/>
  <c r="F11" i="77"/>
  <c r="F9" i="40" s="1"/>
  <c r="I16" i="88" a="1"/>
  <c r="I16" i="88" s="1"/>
  <c r="M113" i="91"/>
  <c r="F16" i="77"/>
  <c r="F14" i="40" s="1"/>
  <c r="D8" i="77"/>
  <c r="M53" i="91"/>
  <c r="K15" i="91"/>
  <c r="J16" i="88" a="1"/>
  <c r="J16" i="88" s="1"/>
  <c r="J14" i="88" a="1"/>
  <c r="J14" i="88" s="1"/>
  <c r="G13" i="88" a="1"/>
  <c r="G13" i="88" s="1"/>
  <c r="M89" i="91"/>
  <c r="J7" i="77"/>
  <c r="J5" i="40" s="1"/>
  <c r="E14" i="88" a="1"/>
  <c r="E14" i="88" s="1"/>
  <c r="M98" i="91"/>
  <c r="E11" i="88" a="1"/>
  <c r="E11" i="88" s="1"/>
  <c r="G11" i="77"/>
  <c r="G9" i="40" s="1"/>
  <c r="M47" i="91"/>
  <c r="F10" i="77"/>
  <c r="F8" i="40" s="1"/>
  <c r="E8" i="88" a="1"/>
  <c r="E8" i="88" s="1"/>
  <c r="M92" i="91"/>
  <c r="S7" i="88" a="1"/>
  <c r="S7" i="88" s="1"/>
  <c r="J17" i="77"/>
  <c r="J15" i="40" s="1"/>
  <c r="J9" i="88" a="1"/>
  <c r="J9" i="88" s="1"/>
  <c r="E13" i="88" a="1"/>
  <c r="E13" i="88" s="1"/>
  <c r="E17" i="88" a="1"/>
  <c r="E17" i="88" s="1"/>
  <c r="M63" i="91"/>
  <c r="G8" i="77"/>
  <c r="G6" i="40" s="1"/>
  <c r="M77" i="91"/>
  <c r="L15" i="91"/>
  <c r="K13" i="88" a="1"/>
  <c r="K13" i="88" s="1"/>
  <c r="M78" i="91"/>
  <c r="M18" i="91"/>
  <c r="F8" i="88" a="1"/>
  <c r="F8" i="88" s="1"/>
  <c r="E16" i="88" a="1"/>
  <c r="E16" i="88" s="1"/>
  <c r="I11" i="77"/>
  <c r="I9" i="40" s="1"/>
  <c r="E15" i="88" a="1"/>
  <c r="E15" i="88" s="1"/>
  <c r="G16" i="88" a="1"/>
  <c r="G16" i="88" s="1"/>
  <c r="D13" i="77" l="1"/>
  <c r="K13" i="77" s="1"/>
  <c r="E12" i="41" s="1"/>
  <c r="D17" i="77"/>
  <c r="D15" i="40" s="1"/>
  <c r="K15" i="40" s="1"/>
  <c r="S15" i="40" s="1"/>
  <c r="D13" i="88" a="1"/>
  <c r="D13" i="88" s="1"/>
  <c r="D8" i="88" a="1"/>
  <c r="D8" i="88" s="1"/>
  <c r="C16" i="77"/>
  <c r="D15" i="41" s="1"/>
  <c r="K9" i="77"/>
  <c r="E8" i="41" s="1"/>
  <c r="G18" i="38" s="1"/>
  <c r="C16" i="88" a="1"/>
  <c r="C16" i="88" s="1"/>
  <c r="E33" i="88" s="1"/>
  <c r="D7" i="88" a="1"/>
  <c r="D7" i="88" s="1"/>
  <c r="C24" i="88" s="1"/>
  <c r="D10" i="77"/>
  <c r="D8" i="40" s="1"/>
  <c r="K8" i="40" s="1"/>
  <c r="S8" i="40" s="1"/>
  <c r="D16" i="88" a="1"/>
  <c r="D16" i="88" s="1"/>
  <c r="S13" i="88" a="1"/>
  <c r="S13" i="88" s="1"/>
  <c r="P15" i="40"/>
  <c r="Q7" i="88" a="1"/>
  <c r="Q7" i="88" s="1"/>
  <c r="L18" i="77"/>
  <c r="C8" i="77"/>
  <c r="D7" i="41" s="1"/>
  <c r="C17" i="38" s="1"/>
  <c r="D9" i="88" a="1"/>
  <c r="D9" i="88" s="1"/>
  <c r="E26" i="88" s="1"/>
  <c r="C9" i="88" a="1"/>
  <c r="C9" i="88" s="1"/>
  <c r="C10" i="88" a="1"/>
  <c r="C10" i="88" s="1"/>
  <c r="C7" i="88" a="1"/>
  <c r="C7" i="88" s="1"/>
  <c r="K24" i="88" s="1"/>
  <c r="C14" i="77"/>
  <c r="C15" i="88" a="1"/>
  <c r="C15" i="88" s="1"/>
  <c r="K32" i="88" s="1"/>
  <c r="C13" i="88" a="1"/>
  <c r="C13" i="88" s="1"/>
  <c r="C30" i="88" s="1"/>
  <c r="D10" i="88" a="1"/>
  <c r="D10" i="88" s="1"/>
  <c r="C11" i="88" a="1"/>
  <c r="C11" i="88" s="1"/>
  <c r="D15" i="88" a="1"/>
  <c r="D15" i="88" s="1"/>
  <c r="L5" i="40"/>
  <c r="L16" i="40" s="1"/>
  <c r="D8" i="41"/>
  <c r="C7" i="40"/>
  <c r="N7" i="40" s="1"/>
  <c r="C13" i="77"/>
  <c r="C15" i="77"/>
  <c r="C12" i="77"/>
  <c r="C17" i="88" a="1"/>
  <c r="C17" i="88" s="1"/>
  <c r="D12" i="88" a="1"/>
  <c r="D12" i="88" s="1"/>
  <c r="D17" i="88" a="1"/>
  <c r="D17" i="88" s="1"/>
  <c r="C12" i="88" a="1"/>
  <c r="C12" i="88" s="1"/>
  <c r="D29" i="88" s="1"/>
  <c r="C14" i="88" a="1"/>
  <c r="C14" i="88" s="1"/>
  <c r="D11" i="88" a="1"/>
  <c r="D11" i="88" s="1"/>
  <c r="C8" i="88" a="1"/>
  <c r="C8" i="88" s="1"/>
  <c r="G25" i="88" s="1"/>
  <c r="D14" i="88" a="1"/>
  <c r="D14" i="88" s="1"/>
  <c r="G31" i="88" s="1"/>
  <c r="D16" i="41"/>
  <c r="C15" i="40"/>
  <c r="D6" i="41"/>
  <c r="D7" i="80" s="1"/>
  <c r="C5" i="40"/>
  <c r="C11" i="77"/>
  <c r="C10" i="77"/>
  <c r="P6" i="40"/>
  <c r="P11" i="40"/>
  <c r="V13" i="40"/>
  <c r="V11" i="40"/>
  <c r="K7" i="40"/>
  <c r="S7" i="40" s="1"/>
  <c r="V6" i="40"/>
  <c r="D10" i="40"/>
  <c r="K10" i="40" s="1"/>
  <c r="S10" i="40" s="1"/>
  <c r="D9" i="40"/>
  <c r="K9" i="40" s="1"/>
  <c r="S9" i="40" s="1"/>
  <c r="D14" i="40"/>
  <c r="K14" i="40" s="1"/>
  <c r="S14" i="40" s="1"/>
  <c r="D12" i="40"/>
  <c r="K12" i="40" s="1"/>
  <c r="S12" i="40" s="1"/>
  <c r="J6" i="40"/>
  <c r="J16" i="40" s="1"/>
  <c r="K5" i="40"/>
  <c r="T10" i="88" a="1"/>
  <c r="T10" i="88" s="1"/>
  <c r="T13" i="88" a="1"/>
  <c r="T13" i="88" s="1"/>
  <c r="S10" i="88" a="1"/>
  <c r="S10" i="88" s="1"/>
  <c r="K13" i="40"/>
  <c r="S13" i="40" s="1"/>
  <c r="K15" i="77"/>
  <c r="P13" i="40"/>
  <c r="R17" i="88" a="1"/>
  <c r="R17" i="88" s="1"/>
  <c r="H16" i="40"/>
  <c r="E16" i="40"/>
  <c r="K12" i="77"/>
  <c r="E11" i="41" s="1"/>
  <c r="V7" i="88" a="1"/>
  <c r="V7" i="88" s="1"/>
  <c r="M6" i="91"/>
  <c r="I18" i="88"/>
  <c r="Q14" i="88" a="1"/>
  <c r="Q14" i="88" s="1"/>
  <c r="F18" i="88"/>
  <c r="J24" i="88"/>
  <c r="F16" i="40"/>
  <c r="I11" i="40"/>
  <c r="G16" i="40"/>
  <c r="R13" i="88" a="1"/>
  <c r="R13" i="88" s="1"/>
  <c r="Q8" i="88" a="1"/>
  <c r="Q8" i="88" s="1"/>
  <c r="Q13" i="88" a="1"/>
  <c r="Q13" i="88" s="1"/>
  <c r="J26" i="88"/>
  <c r="W17" i="88" a="1"/>
  <c r="W17" i="88" s="1"/>
  <c r="K18" i="88"/>
  <c r="W14" i="88" a="1"/>
  <c r="W14" i="88" s="1"/>
  <c r="K30" i="88"/>
  <c r="M15" i="91"/>
  <c r="U16" i="88" a="1"/>
  <c r="U16" i="88" s="1"/>
  <c r="U11" i="88" a="1"/>
  <c r="U11" i="88" s="1"/>
  <c r="U17" i="88" a="1"/>
  <c r="U17" i="88" s="1"/>
  <c r="U12" i="88" a="1"/>
  <c r="U12" i="88" s="1"/>
  <c r="U15" i="88" a="1"/>
  <c r="U15" i="88" s="1"/>
  <c r="U10" i="88" a="1"/>
  <c r="U10" i="88" s="1"/>
  <c r="Y16" i="88" a="1"/>
  <c r="Y16" i="88" s="1"/>
  <c r="Y10" i="88" a="1"/>
  <c r="Y10" i="88" s="1"/>
  <c r="Y11" i="88" a="1"/>
  <c r="Y11" i="88" s="1"/>
  <c r="Y12" i="88" a="1"/>
  <c r="Y12" i="88" s="1"/>
  <c r="Y17" i="88" a="1"/>
  <c r="Y17" i="88" s="1"/>
  <c r="Y14" i="88" a="1"/>
  <c r="Y14" i="88" s="1"/>
  <c r="Y9" i="88" a="1"/>
  <c r="Y9" i="88" s="1"/>
  <c r="Y15" i="88" a="1"/>
  <c r="Y15" i="88" s="1"/>
  <c r="U8" i="88" a="1"/>
  <c r="U8" i="88" s="1"/>
  <c r="U13" i="88" a="1"/>
  <c r="U13" i="88" s="1"/>
  <c r="E18" i="88"/>
  <c r="V12" i="40"/>
  <c r="P12" i="40"/>
  <c r="V10" i="40"/>
  <c r="P10" i="40"/>
  <c r="F25" i="88"/>
  <c r="Y8" i="88" a="1"/>
  <c r="Y8" i="88" s="1"/>
  <c r="J18" i="88"/>
  <c r="F32" i="88"/>
  <c r="T16" i="88" a="1"/>
  <c r="T16" i="88" s="1"/>
  <c r="T17" i="88" a="1"/>
  <c r="T17" i="88" s="1"/>
  <c r="T9" i="88" a="1"/>
  <c r="T9" i="88" s="1"/>
  <c r="S15" i="88" a="1"/>
  <c r="S15" i="88" s="1"/>
  <c r="S11" i="88" a="1"/>
  <c r="S11" i="88" s="1"/>
  <c r="S12" i="88" a="1"/>
  <c r="S12" i="88" s="1"/>
  <c r="T14" i="88" a="1"/>
  <c r="T14" i="88" s="1"/>
  <c r="T12" i="88" a="1"/>
  <c r="T12" i="88" s="1"/>
  <c r="T15" i="88" a="1"/>
  <c r="T15" i="88" s="1"/>
  <c r="S16" i="88" a="1"/>
  <c r="S16" i="88" s="1"/>
  <c r="S14" i="88" a="1"/>
  <c r="S14" i="88" s="1"/>
  <c r="T11" i="88" a="1"/>
  <c r="T11" i="88" s="1"/>
  <c r="K7" i="77"/>
  <c r="E6" i="41" s="1"/>
  <c r="D8" i="80" s="1"/>
  <c r="I31" i="88"/>
  <c r="V13" i="88" a="1"/>
  <c r="V13" i="88" s="1"/>
  <c r="V16" i="88" a="1"/>
  <c r="V16" i="88" s="1"/>
  <c r="V8" i="88" a="1"/>
  <c r="V8" i="88" s="1"/>
  <c r="V15" i="88" a="1"/>
  <c r="V15" i="88" s="1"/>
  <c r="V10" i="88" a="1"/>
  <c r="V10" i="88" s="1"/>
  <c r="V14" i="88" a="1"/>
  <c r="V14" i="88" s="1"/>
  <c r="V12" i="88" a="1"/>
  <c r="V12" i="88" s="1"/>
  <c r="V17" i="88" a="1"/>
  <c r="V17" i="88" s="1"/>
  <c r="V9" i="88" a="1"/>
  <c r="V9" i="88" s="1"/>
  <c r="V11" i="88" a="1"/>
  <c r="V11" i="88" s="1"/>
  <c r="D31" i="88"/>
  <c r="G32" i="88"/>
  <c r="W9" i="88" a="1"/>
  <c r="W9" i="88" s="1"/>
  <c r="K16" i="77"/>
  <c r="E15" i="41" s="1"/>
  <c r="E32" i="88"/>
  <c r="U14" i="88" a="1"/>
  <c r="U14" i="88" s="1"/>
  <c r="T8" i="88" a="1"/>
  <c r="T8" i="88" s="1"/>
  <c r="L14" i="88"/>
  <c r="C31" i="88"/>
  <c r="G29" i="88"/>
  <c r="S17" i="88" a="1"/>
  <c r="S17" i="88" s="1"/>
  <c r="C25" i="88"/>
  <c r="D26" i="88"/>
  <c r="X16" i="88" a="1"/>
  <c r="X16" i="88" s="1"/>
  <c r="X8" i="88" a="1"/>
  <c r="X8" i="88" s="1"/>
  <c r="X13" i="88" a="1"/>
  <c r="X13" i="88" s="1"/>
  <c r="X17" i="88" a="1"/>
  <c r="X17" i="88" s="1"/>
  <c r="X15" i="88" a="1"/>
  <c r="X15" i="88" s="1"/>
  <c r="X10" i="88" a="1"/>
  <c r="X10" i="88" s="1"/>
  <c r="X11" i="88" a="1"/>
  <c r="X11" i="88" s="1"/>
  <c r="X9" i="88" a="1"/>
  <c r="X9" i="88" s="1"/>
  <c r="X14" i="88" a="1"/>
  <c r="X14" i="88" s="1"/>
  <c r="X12" i="88" a="1"/>
  <c r="X12" i="88" s="1"/>
  <c r="G18" i="88"/>
  <c r="E31" i="88"/>
  <c r="I25" i="88"/>
  <c r="F31" i="88"/>
  <c r="V8" i="40"/>
  <c r="P8" i="40"/>
  <c r="K11" i="77"/>
  <c r="E10" i="41" s="1"/>
  <c r="I29" i="88"/>
  <c r="K25" i="88"/>
  <c r="Y13" i="88" a="1"/>
  <c r="Y13" i="88" s="1"/>
  <c r="D25" i="88"/>
  <c r="J29" i="88"/>
  <c r="K8" i="77"/>
  <c r="E7" i="41" s="1"/>
  <c r="D6" i="40"/>
  <c r="W11" i="88" a="1"/>
  <c r="W11" i="88" s="1"/>
  <c r="W16" i="88" a="1"/>
  <c r="W16" i="88" s="1"/>
  <c r="W13" i="88" a="1"/>
  <c r="W13" i="88" s="1"/>
  <c r="W15" i="88" a="1"/>
  <c r="W15" i="88" s="1"/>
  <c r="W8" i="88" a="1"/>
  <c r="W8" i="88" s="1"/>
  <c r="J25" i="88"/>
  <c r="R11" i="88" a="1"/>
  <c r="R11" i="88" s="1"/>
  <c r="R9" i="88" a="1"/>
  <c r="R9" i="88" s="1"/>
  <c r="R16" i="88" a="1"/>
  <c r="R16" i="88" s="1"/>
  <c r="R15" i="88" a="1"/>
  <c r="R15" i="88" s="1"/>
  <c r="R14" i="88" a="1"/>
  <c r="R14" i="88" s="1"/>
  <c r="Q15" i="88" a="1"/>
  <c r="Q15" i="88" s="1"/>
  <c r="Q10" i="88" a="1"/>
  <c r="Q10" i="88" s="1"/>
  <c r="R12" i="88" a="1"/>
  <c r="R12" i="88" s="1"/>
  <c r="Q11" i="88" a="1"/>
  <c r="Q11" i="88" s="1"/>
  <c r="Q9" i="88" a="1"/>
  <c r="Q9" i="88" s="1"/>
  <c r="Q16" i="88" a="1"/>
  <c r="Q16" i="88" s="1"/>
  <c r="Q17" i="88" a="1"/>
  <c r="Q17" i="88" s="1"/>
  <c r="Q12" i="88" a="1"/>
  <c r="Q12" i="88" s="1"/>
  <c r="V14" i="40"/>
  <c r="P14" i="40"/>
  <c r="H25" i="88"/>
  <c r="H18" i="88"/>
  <c r="R10" i="88" a="1"/>
  <c r="R10" i="88" s="1"/>
  <c r="W12" i="88" a="1"/>
  <c r="W12" i="88" s="1"/>
  <c r="F29" i="88"/>
  <c r="D32" i="88"/>
  <c r="I32" i="88"/>
  <c r="K14" i="77"/>
  <c r="E13" i="41" s="1"/>
  <c r="E30" i="88"/>
  <c r="R8" i="88" a="1"/>
  <c r="R8" i="88" s="1"/>
  <c r="J31" i="88"/>
  <c r="L15" i="88"/>
  <c r="K31" i="88"/>
  <c r="S9" i="88" a="1"/>
  <c r="S9" i="88" s="1"/>
  <c r="H31" i="88"/>
  <c r="V9" i="40"/>
  <c r="P9" i="40"/>
  <c r="K26" i="88" l="1"/>
  <c r="D24" i="88"/>
  <c r="G26" i="88"/>
  <c r="H26" i="88"/>
  <c r="L9" i="88"/>
  <c r="F26" i="88"/>
  <c r="C26" i="88"/>
  <c r="I24" i="88"/>
  <c r="L7" i="88"/>
  <c r="I26" i="88"/>
  <c r="E24" i="88"/>
  <c r="G24" i="88"/>
  <c r="H24" i="88"/>
  <c r="F24" i="88"/>
  <c r="D11" i="40"/>
  <c r="F34" i="88"/>
  <c r="K17" i="77"/>
  <c r="E16" i="41" s="1"/>
  <c r="F16" i="41" s="1"/>
  <c r="C6" i="40"/>
  <c r="E29" i="88"/>
  <c r="G28" i="88"/>
  <c r="D18" i="88"/>
  <c r="C29" i="88"/>
  <c r="L12" i="88"/>
  <c r="Z7" i="88"/>
  <c r="C14" i="40"/>
  <c r="C33" i="88"/>
  <c r="K10" i="77"/>
  <c r="E9" i="41" s="1"/>
  <c r="I9" i="41" s="1"/>
  <c r="G33" i="88"/>
  <c r="L16" i="88"/>
  <c r="G30" i="88"/>
  <c r="D30" i="88"/>
  <c r="E34" i="88"/>
  <c r="G34" i="88"/>
  <c r="K33" i="88"/>
  <c r="H32" i="88"/>
  <c r="K34" i="88"/>
  <c r="J32" i="88"/>
  <c r="E25" i="88"/>
  <c r="J33" i="88"/>
  <c r="I34" i="88"/>
  <c r="I30" i="88"/>
  <c r="H29" i="88"/>
  <c r="C18" i="88"/>
  <c r="G35" i="88" s="1"/>
  <c r="F30" i="88"/>
  <c r="D34" i="88"/>
  <c r="K29" i="88"/>
  <c r="H30" i="88"/>
  <c r="H33" i="88"/>
  <c r="C34" i="88"/>
  <c r="C32" i="88"/>
  <c r="F33" i="88"/>
  <c r="J34" i="88"/>
  <c r="I33" i="88"/>
  <c r="L17" i="88"/>
  <c r="D33" i="88"/>
  <c r="J30" i="88"/>
  <c r="L13" i="88"/>
  <c r="G27" i="88"/>
  <c r="L8" i="88"/>
  <c r="D27" i="88"/>
  <c r="S5" i="40"/>
  <c r="L11" i="88"/>
  <c r="F27" i="88"/>
  <c r="C27" i="88"/>
  <c r="H34" i="88"/>
  <c r="D9" i="41"/>
  <c r="C19" i="38" s="1"/>
  <c r="C8" i="40"/>
  <c r="L10" i="88"/>
  <c r="D10" i="41"/>
  <c r="C9" i="40"/>
  <c r="D14" i="41"/>
  <c r="C24" i="38" s="1"/>
  <c r="C13" i="40"/>
  <c r="K27" i="88"/>
  <c r="D12" i="41"/>
  <c r="C11" i="40"/>
  <c r="K28" i="88"/>
  <c r="H28" i="88"/>
  <c r="F28" i="88"/>
  <c r="E27" i="88"/>
  <c r="H27" i="88"/>
  <c r="D13" i="41"/>
  <c r="C23" i="38" s="1"/>
  <c r="C12" i="40"/>
  <c r="D11" i="41"/>
  <c r="C21" i="38" s="1"/>
  <c r="C10" i="40"/>
  <c r="D28" i="88"/>
  <c r="J27" i="88"/>
  <c r="E28" i="88"/>
  <c r="C28" i="88"/>
  <c r="I28" i="88"/>
  <c r="J28" i="88"/>
  <c r="I27" i="88"/>
  <c r="W10" i="40"/>
  <c r="M13" i="40"/>
  <c r="Z5" i="40"/>
  <c r="E14" i="41"/>
  <c r="I14" i="41" s="1"/>
  <c r="K11" i="40"/>
  <c r="S11" i="40" s="1"/>
  <c r="M5" i="40"/>
  <c r="W13" i="40"/>
  <c r="L24" i="88"/>
  <c r="F13" i="41"/>
  <c r="F12" i="41"/>
  <c r="I15" i="41"/>
  <c r="F10" i="41"/>
  <c r="F8" i="41"/>
  <c r="I7" i="41"/>
  <c r="H17" i="38" s="1"/>
  <c r="K17" i="38" s="1"/>
  <c r="M10" i="40"/>
  <c r="O10" i="40" s="1"/>
  <c r="M8" i="40"/>
  <c r="O8" i="40" s="1"/>
  <c r="V16" i="40"/>
  <c r="W8" i="40"/>
  <c r="Z14" i="88"/>
  <c r="I16" i="40"/>
  <c r="T18" i="88"/>
  <c r="D35" i="88"/>
  <c r="S18" i="88"/>
  <c r="Z16" i="88"/>
  <c r="I35" i="88"/>
  <c r="H35" i="88"/>
  <c r="M9" i="40"/>
  <c r="W9" i="40"/>
  <c r="R18" i="88"/>
  <c r="P9" i="88"/>
  <c r="F19" i="94"/>
  <c r="W14" i="40"/>
  <c r="M14" i="40"/>
  <c r="L31" i="88"/>
  <c r="V18" i="88"/>
  <c r="U18" i="88"/>
  <c r="Z15" i="88"/>
  <c r="C26" i="38"/>
  <c r="E35" i="88"/>
  <c r="K6" i="40"/>
  <c r="S6" i="40" s="1"/>
  <c r="D16" i="40"/>
  <c r="Y18" i="88"/>
  <c r="L25" i="88"/>
  <c r="W12" i="40"/>
  <c r="M12" i="40"/>
  <c r="Z13" i="88"/>
  <c r="Z17" i="88"/>
  <c r="C16" i="38"/>
  <c r="C22" i="38"/>
  <c r="J35" i="88"/>
  <c r="W18" i="88"/>
  <c r="C25" i="38"/>
  <c r="Q18" i="88"/>
  <c r="Z9" i="88"/>
  <c r="Z11" i="88"/>
  <c r="L29" i="88"/>
  <c r="C18" i="38"/>
  <c r="P26" i="88" s="1"/>
  <c r="V26" i="88" s="1"/>
  <c r="J12" i="94" s="1"/>
  <c r="F35" i="88"/>
  <c r="Z10" i="88"/>
  <c r="W15" i="40"/>
  <c r="M15" i="40"/>
  <c r="L26" i="88"/>
  <c r="L18" i="88"/>
  <c r="C35" i="88"/>
  <c r="X18" i="88"/>
  <c r="Z8" i="88"/>
  <c r="K35" i="88"/>
  <c r="Z12" i="88"/>
  <c r="C20" i="38"/>
  <c r="L33" i="88" l="1"/>
  <c r="L30" i="88"/>
  <c r="L32" i="88"/>
  <c r="K18" i="77"/>
  <c r="L34" i="88"/>
  <c r="D17" i="41"/>
  <c r="L28" i="88"/>
  <c r="L27" i="88"/>
  <c r="N13" i="40"/>
  <c r="C16" i="40"/>
  <c r="O13" i="40"/>
  <c r="N15" i="40"/>
  <c r="O15" i="40"/>
  <c r="N14" i="40"/>
  <c r="O14" i="40"/>
  <c r="N9" i="40"/>
  <c r="O9" i="40"/>
  <c r="N12" i="40"/>
  <c r="O12" i="40"/>
  <c r="N8" i="40"/>
  <c r="N10" i="40"/>
  <c r="AA5" i="40"/>
  <c r="N5" i="40"/>
  <c r="H25" i="38"/>
  <c r="K25" i="38" s="1"/>
  <c r="P33" i="88" s="1"/>
  <c r="Y33" i="88" s="1"/>
  <c r="M76" i="94" s="1"/>
  <c r="H19" i="38"/>
  <c r="K19" i="38" s="1"/>
  <c r="P27" i="88" s="1"/>
  <c r="P42" i="88" s="1"/>
  <c r="Y42" i="88" s="1"/>
  <c r="H24" i="38"/>
  <c r="G24" i="38"/>
  <c r="P15" i="88" s="1"/>
  <c r="AA15" i="88" s="1"/>
  <c r="F14" i="41"/>
  <c r="W11" i="40"/>
  <c r="M11" i="40"/>
  <c r="O11" i="40" s="1"/>
  <c r="G21" i="38"/>
  <c r="F43" i="94" s="1"/>
  <c r="I11" i="41"/>
  <c r="H21" i="38" s="1"/>
  <c r="K21" i="38" s="1"/>
  <c r="Q26" i="88"/>
  <c r="G14" i="94" s="1"/>
  <c r="T26" i="88"/>
  <c r="H13" i="94" s="1"/>
  <c r="Y26" i="88"/>
  <c r="M12" i="94" s="1"/>
  <c r="S26" i="88"/>
  <c r="H14" i="94" s="1"/>
  <c r="X26" i="88"/>
  <c r="L12" i="94" s="1"/>
  <c r="U26" i="88"/>
  <c r="I12" i="94" s="1"/>
  <c r="W26" i="88"/>
  <c r="K12" i="94" s="1"/>
  <c r="R26" i="88"/>
  <c r="G13" i="94" s="1"/>
  <c r="G25" i="38"/>
  <c r="F83" i="94" s="1"/>
  <c r="G26" i="38"/>
  <c r="P17" i="88" s="1"/>
  <c r="AA17" i="88" s="1"/>
  <c r="F15" i="41"/>
  <c r="G17" i="38"/>
  <c r="P8" i="88" s="1"/>
  <c r="AA8" i="88" s="1"/>
  <c r="I16" i="41"/>
  <c r="F7" i="41"/>
  <c r="G20" i="38"/>
  <c r="P11" i="88" s="1"/>
  <c r="AA11" i="88" s="1"/>
  <c r="G23" i="38"/>
  <c r="F59" i="94" s="1"/>
  <c r="I13" i="41"/>
  <c r="G22" i="38"/>
  <c r="P13" i="88" s="1"/>
  <c r="AA13" i="88" s="1"/>
  <c r="I10" i="41"/>
  <c r="F11" i="41"/>
  <c r="I12" i="41"/>
  <c r="F9" i="41"/>
  <c r="G19" i="38"/>
  <c r="C18" i="77"/>
  <c r="C27" i="38"/>
  <c r="L35" i="88"/>
  <c r="Z18" i="88"/>
  <c r="M6" i="40"/>
  <c r="O6" i="40" s="1"/>
  <c r="W6" i="40"/>
  <c r="S16" i="40"/>
  <c r="K16" i="40"/>
  <c r="L24" i="40" a="1"/>
  <c r="L24" i="40" s="1"/>
  <c r="Q5" i="40" s="1"/>
  <c r="R5" i="40" s="1"/>
  <c r="K24" i="38" l="1"/>
  <c r="P32" i="88" s="1"/>
  <c r="P29" i="88"/>
  <c r="T5" i="40"/>
  <c r="T7" i="40"/>
  <c r="T15" i="40"/>
  <c r="U15" i="40" s="1"/>
  <c r="T12" i="40"/>
  <c r="U12" i="40" s="1"/>
  <c r="T6" i="40"/>
  <c r="U6" i="40" s="1"/>
  <c r="T13" i="40"/>
  <c r="U13" i="40" s="1"/>
  <c r="T10" i="40"/>
  <c r="U10" i="40" s="1"/>
  <c r="T9" i="40"/>
  <c r="U9" i="40" s="1"/>
  <c r="T8" i="40"/>
  <c r="U8" i="40" s="1"/>
  <c r="T14" i="40"/>
  <c r="U14" i="40" s="1"/>
  <c r="T11" i="40"/>
  <c r="U11" i="40" s="1"/>
  <c r="Q6" i="40"/>
  <c r="R6" i="40" s="1"/>
  <c r="Q7" i="40"/>
  <c r="Q11" i="40"/>
  <c r="R11" i="40" s="1"/>
  <c r="Q12" i="40"/>
  <c r="R12" i="40" s="1"/>
  <c r="Q13" i="40"/>
  <c r="R13" i="40" s="1"/>
  <c r="Q14" i="40"/>
  <c r="R14" i="40" s="1"/>
  <c r="Q15" i="40"/>
  <c r="R15" i="40" s="1"/>
  <c r="Q8" i="40"/>
  <c r="R8" i="40" s="1"/>
  <c r="Q9" i="40"/>
  <c r="R9" i="40" s="1"/>
  <c r="Q10" i="40"/>
  <c r="R10" i="40" s="1"/>
  <c r="N6" i="40"/>
  <c r="N11" i="40"/>
  <c r="H20" i="38"/>
  <c r="K20" i="38" s="1"/>
  <c r="H23" i="38"/>
  <c r="K23" i="38" s="1"/>
  <c r="H26" i="38"/>
  <c r="K26" i="38" s="1"/>
  <c r="H22" i="38"/>
  <c r="K22" i="38" s="1"/>
  <c r="F67" i="94"/>
  <c r="T33" i="88"/>
  <c r="H77" i="94" s="1"/>
  <c r="U33" i="88"/>
  <c r="I76" i="94" s="1"/>
  <c r="T42" i="88"/>
  <c r="Q42" i="88"/>
  <c r="V27" i="88"/>
  <c r="J20" i="94" s="1"/>
  <c r="X27" i="88"/>
  <c r="L20" i="94" s="1"/>
  <c r="S42" i="88"/>
  <c r="X33" i="88"/>
  <c r="L76" i="94" s="1"/>
  <c r="V33" i="88"/>
  <c r="J76" i="94" s="1"/>
  <c r="S27" i="88"/>
  <c r="H22" i="94" s="1"/>
  <c r="W42" i="88"/>
  <c r="Q33" i="88"/>
  <c r="G78" i="94" s="1"/>
  <c r="S33" i="88"/>
  <c r="H78" i="94" s="1"/>
  <c r="V42" i="88"/>
  <c r="U27" i="88"/>
  <c r="I20" i="94" s="1"/>
  <c r="Q27" i="88"/>
  <c r="G22" i="94" s="1"/>
  <c r="R42" i="88"/>
  <c r="W33" i="88"/>
  <c r="K76" i="94" s="1"/>
  <c r="R33" i="88"/>
  <c r="G77" i="94" s="1"/>
  <c r="P48" i="88"/>
  <c r="U48" i="88" s="1"/>
  <c r="Y27" i="88"/>
  <c r="M20" i="94" s="1"/>
  <c r="U42" i="88"/>
  <c r="T27" i="88"/>
  <c r="H21" i="94" s="1"/>
  <c r="R27" i="88"/>
  <c r="G21" i="94" s="1"/>
  <c r="X42" i="88"/>
  <c r="W27" i="88"/>
  <c r="K20" i="94" s="1"/>
  <c r="P12" i="88"/>
  <c r="AA12" i="88" s="1"/>
  <c r="F35" i="94"/>
  <c r="P16" i="88"/>
  <c r="AA16" i="88" s="1"/>
  <c r="F91" i="94"/>
  <c r="F75" i="94"/>
  <c r="P14" i="88"/>
  <c r="AA14" i="88" s="1"/>
  <c r="F51" i="94"/>
  <c r="I17" i="41"/>
  <c r="P10" i="88"/>
  <c r="AA10" i="88" s="1"/>
  <c r="F27" i="94"/>
  <c r="Q16" i="40"/>
  <c r="R24" i="40" a="1"/>
  <c r="R24" i="40" s="1"/>
  <c r="W16" i="40"/>
  <c r="M16" i="40"/>
  <c r="P25" i="88"/>
  <c r="P47" i="88" l="1"/>
  <c r="T32" i="88"/>
  <c r="H61" i="94" s="1"/>
  <c r="U32" i="88"/>
  <c r="I60" i="94" s="1"/>
  <c r="Y32" i="88"/>
  <c r="M60" i="94" s="1"/>
  <c r="R32" i="88"/>
  <c r="G61" i="94" s="1"/>
  <c r="X32" i="88"/>
  <c r="L60" i="94" s="1"/>
  <c r="S32" i="88"/>
  <c r="H62" i="94" s="1"/>
  <c r="Q32" i="88"/>
  <c r="G62" i="94" s="1"/>
  <c r="V32" i="88"/>
  <c r="J60" i="94" s="1"/>
  <c r="W32" i="88"/>
  <c r="K60" i="94" s="1"/>
  <c r="Q29" i="88"/>
  <c r="G38" i="94" s="1"/>
  <c r="V29" i="88"/>
  <c r="J36" i="94" s="1"/>
  <c r="P44" i="88"/>
  <c r="S44" i="88" s="1"/>
  <c r="X29" i="88"/>
  <c r="L36" i="94" s="1"/>
  <c r="R29" i="88"/>
  <c r="G37" i="94" s="1"/>
  <c r="S29" i="88"/>
  <c r="H38" i="94" s="1"/>
  <c r="T29" i="88"/>
  <c r="H37" i="94" s="1"/>
  <c r="W29" i="88"/>
  <c r="K36" i="94" s="1"/>
  <c r="Y29" i="88"/>
  <c r="M36" i="94" s="1"/>
  <c r="U29" i="88"/>
  <c r="I36" i="94" s="1"/>
  <c r="P30" i="88"/>
  <c r="P31" i="88"/>
  <c r="P34" i="88"/>
  <c r="P28" i="88"/>
  <c r="N16" i="40"/>
  <c r="O16" i="40"/>
  <c r="H27" i="38"/>
  <c r="T48" i="88"/>
  <c r="S48" i="88"/>
  <c r="R48" i="88"/>
  <c r="Y48" i="88"/>
  <c r="V48" i="88"/>
  <c r="Q48" i="88"/>
  <c r="X48" i="88"/>
  <c r="W48" i="88"/>
  <c r="Z42" i="88"/>
  <c r="G16" i="38"/>
  <c r="E17" i="41"/>
  <c r="F6" i="41"/>
  <c r="X10" i="40"/>
  <c r="Y10" i="40" s="1"/>
  <c r="X7" i="40"/>
  <c r="X13" i="40"/>
  <c r="Y13" i="40" s="1"/>
  <c r="X14" i="40"/>
  <c r="Y14" i="40" s="1"/>
  <c r="X15" i="40"/>
  <c r="Y15" i="40" s="1"/>
  <c r="X11" i="40"/>
  <c r="Y11" i="40" s="1"/>
  <c r="X12" i="40"/>
  <c r="Y12" i="40" s="1"/>
  <c r="X8" i="40"/>
  <c r="Y8" i="40" s="1"/>
  <c r="X6" i="40"/>
  <c r="X9" i="40"/>
  <c r="Y9" i="40" s="1"/>
  <c r="R16" i="40"/>
  <c r="P41" i="88"/>
  <c r="U25" i="88"/>
  <c r="I68" i="94" s="1"/>
  <c r="W25" i="88"/>
  <c r="K68" i="94" s="1"/>
  <c r="T25" i="88"/>
  <c r="H69" i="94" s="1"/>
  <c r="Q25" i="88"/>
  <c r="G70" i="94" s="1"/>
  <c r="X25" i="88"/>
  <c r="L68" i="94" s="1"/>
  <c r="V25" i="88"/>
  <c r="J68" i="94" s="1"/>
  <c r="Y25" i="88"/>
  <c r="M68" i="94" s="1"/>
  <c r="R25" i="88"/>
  <c r="G69" i="94" s="1"/>
  <c r="S25" i="88"/>
  <c r="H70" i="94" s="1"/>
  <c r="T16" i="40"/>
  <c r="U5" i="40"/>
  <c r="U16" i="40" s="1"/>
  <c r="V44" i="88" l="1"/>
  <c r="W44" i="88"/>
  <c r="T44" i="88"/>
  <c r="Y44" i="88"/>
  <c r="X44" i="88"/>
  <c r="R44" i="88"/>
  <c r="Q44" i="88"/>
  <c r="W47" i="88"/>
  <c r="X47" i="88"/>
  <c r="Q47" i="88"/>
  <c r="R47" i="88"/>
  <c r="Y47" i="88"/>
  <c r="V47" i="88"/>
  <c r="T47" i="88"/>
  <c r="S47" i="88"/>
  <c r="U47" i="88"/>
  <c r="X31" i="88"/>
  <c r="L52" i="94" s="1"/>
  <c r="S31" i="88"/>
  <c r="H54" i="94" s="1"/>
  <c r="Y31" i="88"/>
  <c r="M52" i="94" s="1"/>
  <c r="R31" i="88"/>
  <c r="G53" i="94" s="1"/>
  <c r="V31" i="88"/>
  <c r="J52" i="94" s="1"/>
  <c r="Q31" i="88"/>
  <c r="G54" i="94" s="1"/>
  <c r="T31" i="88"/>
  <c r="H53" i="94" s="1"/>
  <c r="W31" i="88"/>
  <c r="K52" i="94" s="1"/>
  <c r="U31" i="88"/>
  <c r="I52" i="94" s="1"/>
  <c r="P46" i="88"/>
  <c r="P45" i="88"/>
  <c r="T30" i="88"/>
  <c r="H45" i="94" s="1"/>
  <c r="U30" i="88"/>
  <c r="I44" i="94" s="1"/>
  <c r="Q30" i="88"/>
  <c r="G46" i="94" s="1"/>
  <c r="R30" i="88"/>
  <c r="G45" i="94" s="1"/>
  <c r="S30" i="88"/>
  <c r="H46" i="94" s="1"/>
  <c r="W30" i="88"/>
  <c r="K44" i="94" s="1"/>
  <c r="V30" i="88"/>
  <c r="J44" i="94" s="1"/>
  <c r="Y30" i="88"/>
  <c r="M44" i="94" s="1"/>
  <c r="X30" i="88"/>
  <c r="L44" i="94" s="1"/>
  <c r="V28" i="88"/>
  <c r="J28" i="94" s="1"/>
  <c r="Q28" i="88"/>
  <c r="G30" i="94" s="1"/>
  <c r="W28" i="88"/>
  <c r="K28" i="94" s="1"/>
  <c r="U28" i="88"/>
  <c r="I28" i="94" s="1"/>
  <c r="S28" i="88"/>
  <c r="H30" i="94" s="1"/>
  <c r="X28" i="88"/>
  <c r="L28" i="94" s="1"/>
  <c r="P43" i="88"/>
  <c r="R28" i="88"/>
  <c r="G29" i="94" s="1"/>
  <c r="T28" i="88"/>
  <c r="H29" i="94" s="1"/>
  <c r="Y28" i="88"/>
  <c r="M28" i="94" s="1"/>
  <c r="X34" i="88"/>
  <c r="L84" i="94" s="1"/>
  <c r="W34" i="88"/>
  <c r="K84" i="94" s="1"/>
  <c r="T34" i="88"/>
  <c r="H85" i="94" s="1"/>
  <c r="V34" i="88"/>
  <c r="J84" i="94" s="1"/>
  <c r="U34" i="88"/>
  <c r="I84" i="94" s="1"/>
  <c r="S34" i="88"/>
  <c r="H86" i="94" s="1"/>
  <c r="R34" i="88"/>
  <c r="G85" i="94" s="1"/>
  <c r="Q34" i="88"/>
  <c r="G86" i="94" s="1"/>
  <c r="P49" i="88"/>
  <c r="Y34" i="88"/>
  <c r="M84" i="94" s="1"/>
  <c r="U44" i="88"/>
  <c r="Z48" i="88"/>
  <c r="D10" i="80"/>
  <c r="J16" i="38" s="1"/>
  <c r="K16" i="38" s="1"/>
  <c r="Z8" i="40"/>
  <c r="AA8" i="40"/>
  <c r="Z12" i="40"/>
  <c r="AA12" i="40"/>
  <c r="Z11" i="40"/>
  <c r="AA11" i="40"/>
  <c r="Z15" i="40"/>
  <c r="AA15" i="40"/>
  <c r="Z14" i="40"/>
  <c r="AA14" i="40"/>
  <c r="Z13" i="40"/>
  <c r="AA13" i="40"/>
  <c r="Z10" i="40"/>
  <c r="AA10" i="40"/>
  <c r="Q41" i="88"/>
  <c r="S41" i="88"/>
  <c r="U41" i="88"/>
  <c r="X41" i="88"/>
  <c r="Y41" i="88"/>
  <c r="R41" i="88"/>
  <c r="W41" i="88"/>
  <c r="V41" i="88"/>
  <c r="T41" i="88"/>
  <c r="Z9" i="40"/>
  <c r="AA9" i="40"/>
  <c r="X16" i="40"/>
  <c r="Y6" i="40"/>
  <c r="P7" i="88"/>
  <c r="AA7" i="88" s="1"/>
  <c r="F11" i="94"/>
  <c r="G27" i="38"/>
  <c r="P18" i="88" s="1"/>
  <c r="Z47" i="88" l="1"/>
  <c r="Z44" i="88"/>
  <c r="S45" i="88"/>
  <c r="R45" i="88"/>
  <c r="X45" i="88"/>
  <c r="Y45" i="88"/>
  <c r="W45" i="88"/>
  <c r="Q45" i="88"/>
  <c r="V45" i="88"/>
  <c r="T45" i="88"/>
  <c r="U45" i="88"/>
  <c r="T46" i="88"/>
  <c r="U46" i="88"/>
  <c r="W46" i="88"/>
  <c r="Y46" i="88"/>
  <c r="X46" i="88"/>
  <c r="S46" i="88"/>
  <c r="Q46" i="88"/>
  <c r="R46" i="88"/>
  <c r="V46" i="88"/>
  <c r="S43" i="88"/>
  <c r="W43" i="88"/>
  <c r="Y43" i="88"/>
  <c r="U43" i="88"/>
  <c r="Q43" i="88"/>
  <c r="R43" i="88"/>
  <c r="T43" i="88"/>
  <c r="V43" i="88"/>
  <c r="X43" i="88"/>
  <c r="Y49" i="88"/>
  <c r="X49" i="88"/>
  <c r="U49" i="88"/>
  <c r="T49" i="88"/>
  <c r="S49" i="88"/>
  <c r="V49" i="88"/>
  <c r="R49" i="88"/>
  <c r="W49" i="88"/>
  <c r="Q49" i="88"/>
  <c r="Z41" i="88"/>
  <c r="Z6" i="40"/>
  <c r="Z16" i="40" s="1"/>
  <c r="Y16" i="40"/>
  <c r="AA6" i="40"/>
  <c r="AA16" i="40" s="1"/>
  <c r="Z49" i="88" l="1"/>
  <c r="Z45" i="88"/>
  <c r="Z43" i="88"/>
  <c r="Z46" i="88"/>
  <c r="K27" i="38"/>
  <c r="P35" i="88" s="1"/>
  <c r="S35" i="88" s="1"/>
  <c r="P24" i="88"/>
  <c r="S24" i="88" s="1"/>
  <c r="H6" i="94" s="1"/>
  <c r="V24" i="88" l="1"/>
  <c r="J4" i="94" s="1"/>
  <c r="V35" i="88"/>
  <c r="X35" i="88"/>
  <c r="Q35" i="88"/>
  <c r="U35" i="88"/>
  <c r="T35" i="88"/>
  <c r="Y35" i="88"/>
  <c r="W35" i="88"/>
  <c r="P50" i="88"/>
  <c r="S50" i="88" s="1"/>
  <c r="R35" i="88"/>
  <c r="T24" i="88"/>
  <c r="H5" i="94" s="1"/>
  <c r="R24" i="88"/>
  <c r="G5" i="94" s="1"/>
  <c r="P40" i="88"/>
  <c r="U40" i="88" s="1"/>
  <c r="W24" i="88"/>
  <c r="K4" i="94" s="1"/>
  <c r="Y24" i="88"/>
  <c r="M4" i="94" s="1"/>
  <c r="X24" i="88"/>
  <c r="L4" i="94" s="1"/>
  <c r="U24" i="88"/>
  <c r="I4" i="94" s="1"/>
  <c r="Q24" i="88"/>
  <c r="G6" i="94" s="1"/>
  <c r="X40" i="88" l="1"/>
  <c r="U50" i="88"/>
  <c r="X50" i="88"/>
  <c r="V40" i="88"/>
  <c r="T50" i="88"/>
  <c r="R50" i="88"/>
  <c r="W50" i="88"/>
  <c r="Y40" i="88"/>
  <c r="T40" i="88"/>
  <c r="Q40" i="88"/>
  <c r="Q50" i="88"/>
  <c r="Y50" i="88"/>
  <c r="W40" i="88"/>
  <c r="R40" i="88"/>
  <c r="S40" i="88"/>
  <c r="V50" i="88"/>
  <c r="Z40" i="88" l="1"/>
  <c r="Z50" i="8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<sst xmlns="http://schemas.openxmlformats.org/spreadsheetml/2006/main" count="7344" uniqueCount="342">
  <si>
    <t>Chemical Investigations</t>
  </si>
  <si>
    <t>Model code:</t>
  </si>
  <si>
    <t>PR24CA57</t>
  </si>
  <si>
    <t>Version number:</t>
  </si>
  <si>
    <t>File name:</t>
  </si>
  <si>
    <t>Date:</t>
  </si>
  <si>
    <t>For enquiries please contact:</t>
  </si>
  <si>
    <t>PR24@ofwat.gov.uk</t>
  </si>
  <si>
    <t>Contents:</t>
  </si>
  <si>
    <t>Tab name</t>
  </si>
  <si>
    <t>Description</t>
  </si>
  <si>
    <t>Cover</t>
  </si>
  <si>
    <t>Details of the file and the enhancement assessment approach</t>
  </si>
  <si>
    <t xml:space="preserve"> Conceptual model </t>
  </si>
  <si>
    <t xml:space="preserve"> Flow diagram of the high-level enhancement assessment process within models. </t>
  </si>
  <si>
    <t xml:space="preserve"> Inputs &gt; &gt; </t>
  </si>
  <si>
    <t xml:space="preserve"> Blank - section header </t>
  </si>
  <si>
    <t xml:space="preserve"> F_Inputs </t>
  </si>
  <si>
    <t xml:space="preserve"> Submitted business plan data import from central database </t>
  </si>
  <si>
    <t xml:space="preserve"> F_Inputs adjusted </t>
  </si>
  <si>
    <t xml:space="preserve"> Re-organising of input data to take account of transitional / accelerated process expenditure and drivers, and including any reallocations between enhancement lines.  </t>
  </si>
  <si>
    <t xml:space="preserve"> Consolidated Input </t>
  </si>
  <si>
    <t xml:space="preserve"> Combined input data taking account of any other contributing data, where applicable (e.g. historical APR data) </t>
  </si>
  <si>
    <t xml:space="preserve"> Input Override </t>
  </si>
  <si>
    <t xml:space="preserve"> Manual adjustments to requested data where not corrected in business plan data table resubmissions </t>
  </si>
  <si>
    <t xml:space="preserve"> Final Input </t>
  </si>
  <si>
    <t xml:space="preserve"> Final data used for the enhancement assessment </t>
  </si>
  <si>
    <t xml:space="preserve"> Company level efficiencies </t>
  </si>
  <si>
    <t xml:space="preserve"> Wastewater price control company-level efficiency challenges  </t>
  </si>
  <si>
    <t xml:space="preserve"> Analysis &gt; &gt; </t>
  </si>
  <si>
    <t xml:space="preserve"> Data_Final_Model_Format </t>
  </si>
  <si>
    <t xml:space="preserve"> Summary of the expenditure and associated drivers used during the assessment </t>
  </si>
  <si>
    <t>SPF Validation</t>
  </si>
  <si>
    <t>Comparison of outputs against validated number of outputs</t>
  </si>
  <si>
    <t xml:space="preserve"> Materiality and shallow dive </t>
  </si>
  <si>
    <t xml:space="preserve"> Initial assessment of the materiality of requested expenditure to inform the decision on the assessment approach </t>
  </si>
  <si>
    <t xml:space="preserve"> Modelled costs </t>
  </si>
  <si>
    <t xml:space="preserve"> Analysis undertaken to support a modelled assessment approach </t>
  </si>
  <si>
    <t xml:space="preserve"> Deep dive_ANH</t>
  </si>
  <si>
    <t xml:space="preserve"> Detailed assessment per company of the requested expenditure where costs are material and / or a modelled approach is not appropriate. </t>
  </si>
  <si>
    <t xml:space="preserve"> Outputs &gt; &gt; </t>
  </si>
  <si>
    <t xml:space="preserve"> Allowance </t>
  </si>
  <si>
    <t xml:space="preserve"> Summary of our assessed allowances per company before other adjustments (e.g. frontier shift) </t>
  </si>
  <si>
    <t>Outputs to aggregator</t>
  </si>
  <si>
    <t>Summary of submitted and assessed costs profiled over the 2023-30 period (including transitional and accelerated process expenditure)</t>
  </si>
  <si>
    <t xml:space="preserve"> F-Outputs </t>
  </si>
  <si>
    <t xml:space="preserve"> Allowance data export to central database </t>
  </si>
  <si>
    <t xml:space="preserve"> Post Adj &amp; FS Allowances </t>
  </si>
  <si>
    <t xml:space="preserve"> Summary of imported, post-adjusted allowances per company per enhancement line per year. </t>
  </si>
  <si>
    <t>DROPDOWN LISTS</t>
  </si>
  <si>
    <t>Data validation lists used throughout the file</t>
  </si>
  <si>
    <t>Change log - Subsequent to this model being developed, we identified the following corrections that we will make for final determinations:</t>
  </si>
  <si>
    <t>Company</t>
  </si>
  <si>
    <t>Description of change to be made</t>
  </si>
  <si>
    <t>Sheet(s) in current model</t>
  </si>
  <si>
    <t xml:space="preserve">Conceptual model </t>
  </si>
  <si>
    <t>End of sheet</t>
  </si>
  <si>
    <t>PR24_WWE_Chemical Investigations</t>
  </si>
  <si>
    <t>Run on 05 Sep 2024 9:38</t>
  </si>
  <si>
    <t>Acronym</t>
  </si>
  <si>
    <t>Reference</t>
  </si>
  <si>
    <t>Item description</t>
  </si>
  <si>
    <t>Unit</t>
  </si>
  <si>
    <t>Model</t>
  </si>
  <si>
    <t>2023-24</t>
  </si>
  <si>
    <t>2024-25</t>
  </si>
  <si>
    <t>2025-26</t>
  </si>
  <si>
    <t>2026-27</t>
  </si>
  <si>
    <t>2027-28</t>
  </si>
  <si>
    <t>2028-29</t>
  </si>
  <si>
    <t>2029-30</t>
  </si>
  <si>
    <t>Constant</t>
  </si>
  <si>
    <t>Price Review 2024</t>
  </si>
  <si>
    <t>Run 11 - PR24 FD Data</t>
  </si>
  <si>
    <t>Latest</t>
  </si>
  <si>
    <t>ANH</t>
  </si>
  <si>
    <t>CWW3_052TOT_PR24</t>
  </si>
  <si>
    <t>EA/NRW environmental programme wastewater (WINEP/NEP) - Chemicals and emerging contaminants monitoring, investigations, options appraisals; (WINEP/NEP) wastewater capex - Total</t>
  </si>
  <si>
    <t>£m</t>
  </si>
  <si>
    <t/>
  </si>
  <si>
    <t>CWW3_053TOT_PR24</t>
  </si>
  <si>
    <t>EA/NRW environmental programme wastewater (WINEP/NEP) - Chemicals and emerging contaminants monitoring, investigations, options appraisals; (WINEP/NEP) wastewater opex - Total</t>
  </si>
  <si>
    <t>CWW3_054TOT_PR24</t>
  </si>
  <si>
    <t>EA/NRW environmental programme wastewater (WINEP/NEP) - Chemicals and emerging contaminants monitoring, investigations, options appraisals; (WINEP/NEP) wastewater totex - Total</t>
  </si>
  <si>
    <t>BN1603_PR24</t>
  </si>
  <si>
    <t>Sewage treatment data - Current population equivalent served by STWs</t>
  </si>
  <si>
    <t>000s</t>
  </si>
  <si>
    <t>CWW12_052TOT_PR24</t>
  </si>
  <si>
    <t>CWW17_052TOT_PR24</t>
  </si>
  <si>
    <t>CWW12_053TOT_PR24</t>
  </si>
  <si>
    <t>CWW17_053TOT_PR24</t>
  </si>
  <si>
    <t>CWW12_054TOT_PR24</t>
  </si>
  <si>
    <t>CWW17_054TOT_PR24</t>
  </si>
  <si>
    <t>PR24_NETTOTEX_WASTE</t>
  </si>
  <si>
    <t>PR24 BP Net totex - Total inc. accelerated &amp; transition costs</t>
  </si>
  <si>
    <t>WSH</t>
  </si>
  <si>
    <t>HDD</t>
  </si>
  <si>
    <t>NES</t>
  </si>
  <si>
    <t>SVE</t>
  </si>
  <si>
    <t>SWB</t>
  </si>
  <si>
    <t>SRN</t>
  </si>
  <si>
    <t>TMS</t>
  </si>
  <si>
    <t>NWT</t>
  </si>
  <si>
    <t>WSX</t>
  </si>
  <si>
    <t>YKY</t>
  </si>
  <si>
    <t>Total</t>
  </si>
  <si>
    <t>BON code</t>
  </si>
  <si>
    <t>Item Description</t>
  </si>
  <si>
    <t>Comments</t>
  </si>
  <si>
    <t>WSH are no longer taking part of the groundwater investigations element of the CIP programme - costs amended as per query response OFW-REP-WSH-093 recieved 28.10.24</t>
  </si>
  <si>
    <t xml:space="preserve">Total Totex for Price control (£m) - wholesale wastewater </t>
  </si>
  <si>
    <t>Totex requested in business plan as received (£m)</t>
  </si>
  <si>
    <t>Totex requested in business plan after reallocations and adjustments (£m)</t>
  </si>
  <si>
    <t>Driver data - Current population served by STWs (000s) 2023 base</t>
  </si>
  <si>
    <t>Shallow Dive Output</t>
  </si>
  <si>
    <t>Run on 13 Nov 2024 14:29</t>
  </si>
  <si>
    <t>Company Acronym</t>
  </si>
  <si>
    <t>Item Code</t>
  </si>
  <si>
    <t>Item Unit</t>
  </si>
  <si>
    <t>Item Table Suite</t>
  </si>
  <si>
    <t>Price Review</t>
  </si>
  <si>
    <t>C_PR24ENHWW_SHALLOW_EFF</t>
  </si>
  <si>
    <t>Shallow dive company efficiency factor - enhancement - wastewater</t>
  </si>
  <si>
    <t>%</t>
  </si>
  <si>
    <t>PR24CA14 WW Post FS incl. DM and excl. Cont</t>
  </si>
  <si>
    <t>Run on 21 Nov 2024 13:37</t>
  </si>
  <si>
    <t>PR24CA14_WW_TOTAL_ENHANCEMENT_ALLOW_TOT</t>
  </si>
  <si>
    <t>PR24 final wastewater enhancement totex allowance- total enhancement expenditure</t>
  </si>
  <si>
    <t>PR24CA14_WW_EDM_ALLOW_TOT</t>
  </si>
  <si>
    <t>PR24 final wastewater enhancement totex allowances - WINEP/NEP - Event duration monitoring at intermittent discharges expenditure</t>
  </si>
  <si>
    <t>PR24CA14_WW_FLOW_MONITORING_ALLOW_TOT</t>
  </si>
  <si>
    <t>PR24 final wastewater enhancement totex allowances - WINEP/NEP - Flow monitoring at sewage treatment works expenditure</t>
  </si>
  <si>
    <t>PR24CA14_WW_CWQM_ALLOW_TOT</t>
  </si>
  <si>
    <t>PR24 final wastewater enhancement totex allowances - WINEP/NEP - Continuous river water quality monitoring expenditure</t>
  </si>
  <si>
    <t>PR24CA14_WW_MCERTS_ALLOW_TOT</t>
  </si>
  <si>
    <t>PR24 final wastewater enhancement totex allowances - WINEP/NEP - MCERTs monitoring at emergency sewage pumping station overflows expenditure</t>
  </si>
  <si>
    <t>PR24CA14_WW_FFT_ALLOW_TOT</t>
  </si>
  <si>
    <t>PR24 final wastewater enhancement totex allowances - WINEP/NEP - Increase flow to full treatment expenditure</t>
  </si>
  <si>
    <t>PR24CA14_WW_CSO_ALLOW_TOT</t>
  </si>
  <si>
    <t>PR24 final wastewater enhancement totex allowances - WINEP/NEP - combined storm overflow expenditure</t>
  </si>
  <si>
    <t>PR24CA14_WW_CHEMICAL_REMOVAL_ALLOW_TOT</t>
  </si>
  <si>
    <t>PR24 final wastewater enhancement totex allowances - WINEP/NEP - Treatment for chemical removal expenditure</t>
  </si>
  <si>
    <t>PR24CA14_WW_CHEMICAL_INV_ALLOW_TOT</t>
  </si>
  <si>
    <t>PR24 final wastewater enhancement totex allowances - WINEP/NEP - Chemicals and emerging contaminants monitoring, investigations, options appraisals expenditure</t>
  </si>
  <si>
    <t>PR24CA14_WW_N_REMOVAL_ALLOW_TOT</t>
  </si>
  <si>
    <t>PR24 final wastewater enhancement totex allowances - WINEP/NEP - Treatment for total nitrogen removal expenditure</t>
  </si>
  <si>
    <t>PR24CA14_WW_NTAL_ALLOW_TOT</t>
  </si>
  <si>
    <t>PR24 final wastewater enhancement totex allowances - WINEP/NEP - Nitrogen technically achievable limit monitoring, investigation or options appraisal expenditure</t>
  </si>
  <si>
    <t>PR24CA14_WW_P_REMOVAL_ALLOW_TOT</t>
  </si>
  <si>
    <t>PR24 final wastewater enhancement totex allowances - WINEP/NEP - Treatment for phosphorus removal expenditure</t>
  </si>
  <si>
    <t>PR24CA14_WW_NUT_SAN_DETS_ALLOW_TOT</t>
  </si>
  <si>
    <t>PR24 final wastewater enhancement totex allowances - WINEP/NEP - Treatment for nutrients (N or P) and / or sanitary determinands, nature based solution expenditure</t>
  </si>
  <si>
    <t>PR24CA14_WW_SANITARY_PARAM_ALLOW_TOT</t>
  </si>
  <si>
    <t>PR24 final wastewater enhancement totex allowances - WINEP/NEP - Treatment for tightening of sanitary parameters expenditure</t>
  </si>
  <si>
    <t>PR24CA14_WW_CHEM_SOURCE_CON_ALLOW_TOT</t>
  </si>
  <si>
    <t>PR24 final wastewater enhancement totex allowances - WINEP/NEP - Catchment management - chemicals source control expenditure</t>
  </si>
  <si>
    <t>PR24CA14_WW_NUT_BALANCING_ALLOW_TOT</t>
  </si>
  <si>
    <t>PR24 final wastewater enhancement totex allowances - WINEP/NEP - Catchment management - nutrient balancing expenditure</t>
  </si>
  <si>
    <t>PR24CA14_WW_CATCHMENT_PERMIT_ALLOW_TOT</t>
  </si>
  <si>
    <t>PR24 final wastewater enhancement totex allowances - WINEP/NEP - Catchment management - catchment permitting expenditure</t>
  </si>
  <si>
    <t>PR24CA14_WW_HABITAT_REST_ALLOW_TOT</t>
  </si>
  <si>
    <t>PR24 final wastewater enhancement totex allowances - WINEP/NEP - Catchment management - habitat restoration expenditure</t>
  </si>
  <si>
    <t>PR24CA14_WW_MICRO_TREATMENT_ALLOW_TOT</t>
  </si>
  <si>
    <t>PR24 final wastewater enhancement totex allowances - WINEP/NEP - Microbiological treatment - bathing waters, coastal and inland expenditure</t>
  </si>
  <si>
    <t>PR24CA14_WW_SEPTIC_TANK_ALLOW_TOT</t>
  </si>
  <si>
    <t>PR24 final wastewater enhancement totex allowances - WINEP/NEP - Septic tank expenditure</t>
  </si>
  <si>
    <t>PR24CA14_WW_FISH_SCREENS_ALLOW_TOT</t>
  </si>
  <si>
    <t>PR24 final wastewater enhancement totex allowances - WINEP/NEP - Fish outfall screens expenditure</t>
  </si>
  <si>
    <t>PR24CA14_WW_25YR_EP_ALLOW_TOT</t>
  </si>
  <si>
    <t>PR24 final wastewater enhancement totex allowances - WINEP/NEP - 25 year environment plan expenditure</t>
  </si>
  <si>
    <t>PR24CA14_WW_INVESTIGATIONS_ALLOW_TOT</t>
  </si>
  <si>
    <t>PR24 final wastewater enhancement totex allowances - WINEP/NEP - Investigations expenditure</t>
  </si>
  <si>
    <t>PR24CA14_WW_THIRD_PARTY_ALLOW_TOT</t>
  </si>
  <si>
    <t>PR24 final wastewater enhancement totex allowances - WINEP/NEP - Contribution to third party schemes under WINEP/NEP only (not covered elsewhere) expenditure</t>
  </si>
  <si>
    <t>PR24CA14_WW_RIVER_CONNECT_ALLOW_TOT</t>
  </si>
  <si>
    <t>PR24 final wastewater enhancement totex allowances - WINEP/NEP - River connectivity (e.g. for fish passage) expenditure</t>
  </si>
  <si>
    <t>PR24CA14_WW_REST_MANAGEMENT_ALLOW_TOT</t>
  </si>
  <si>
    <t>PR24 final wastewater enhancement totex allowances - WINEP/NEP - Restoration management (marine conservation zones etc) expenditure</t>
  </si>
  <si>
    <t>PR24CA14_WW_ACCESS_AMENITY_ALLOW_TOT</t>
  </si>
  <si>
    <t>PR24 final wastewater enhancement totex allowances - WINEP/NEP - Access and amenity for WINEP/NEP only (not covered elsewhere) expenditure</t>
  </si>
  <si>
    <t>PR24CA14_WW_ADVANCED_WINEP_ALLOW_TOT</t>
  </si>
  <si>
    <t>PR24 final wastewater enhancement totex allowances - WINEP/NEP - Advanced WINEP (not covered elsewhere) expenditure</t>
  </si>
  <si>
    <t>PR24CA14_WW_SLUDGE_TANK_ALLOW_TOT</t>
  </si>
  <si>
    <t>PR24 final wastewater enhancement totex allowances - WINEP/NEP - Sludge storage -Tanks expenditure</t>
  </si>
  <si>
    <t>PR24CA14_WW_SLUDGE_CAKE_ALLOW_TOT</t>
  </si>
  <si>
    <t>PR24 final wastewater enhancement totex allowances - WINEP/NEP - Sludge storage - Cake expenditure</t>
  </si>
  <si>
    <t>PR24CA14_WW_SLUDGE_ANAEROBIC_ALLOW_TOT</t>
  </si>
  <si>
    <t>PR24 final wastewater enhancement totex allowances - WINEP/NEP - Sludge treatment - Anaerobic digestion and/or advanced anaerobic digestion expenditure</t>
  </si>
  <si>
    <t>PR24CA14_WW_SLUDGE_THICKENING_ALLOW_TOT</t>
  </si>
  <si>
    <t>PR24 final wastewater enhancement totex allowances - WINEP/NEP - Sludge treatment - Thickening and/or dewatering expenditure</t>
  </si>
  <si>
    <t>PR24CA14_WW_SLUDGE_OTHER_ALLOW_TOT</t>
  </si>
  <si>
    <t>PR24 final wastewater enhancement totex allowances - WINEP/NEP - Sludge treatment -Other expenditure</t>
  </si>
  <si>
    <t>PR24CA14_WW_SLUDGE_INV_ALLOW_TOT</t>
  </si>
  <si>
    <t>PR24 final wastewater enhancement totex allowances - WINEP/NEP - Sludge investigations and monitoring (NEP only) expenditure</t>
  </si>
  <si>
    <t>PR24CA14_WW_GROWTH_STW_ALLOW_TOT</t>
  </si>
  <si>
    <t>PR24 final wastewater enhancement totex allowances - Growth at sewage treatment works (excluding sludge treatment) expenditure</t>
  </si>
  <si>
    <t>PR24CA14_WW_FIRSTTIME_SEWERAGE_ALLOW_TOT</t>
  </si>
  <si>
    <t>PR24 final wastewater enhancement totex allowances - First time sewerage expenditure</t>
  </si>
  <si>
    <t>PR24CA14_WW_ODOUR_NUISANCE_ALLOW_TOT</t>
  </si>
  <si>
    <t>PR24 final wastewater enhancement totex allowances - Odour and other nuisance expenditure</t>
  </si>
  <si>
    <t>PR24CA14_WW_RESILIENCE_ALLOW_TOT</t>
  </si>
  <si>
    <t>PR24 final wastewater enhancement totex allowances - Resilience expenditure</t>
  </si>
  <si>
    <t>PR24CA14_WW_SEMD_ALLOW_TOT</t>
  </si>
  <si>
    <t>PR24 final wastewater enhancement totex allowances - Security - SEMD expenditure</t>
  </si>
  <si>
    <t>PR24CA14_WW_CYBER_ALLOW_TOT</t>
  </si>
  <si>
    <t>PR24 final wastewater enhancement totex allowances - Security - cyber expenditure</t>
  </si>
  <si>
    <t>PR24CA14_WW_NET_ZERO_ALLOW_TOT</t>
  </si>
  <si>
    <t>PR24 final wastewater enhancement totex allowances - Greenhouse gas reduction (net zero) expenditure</t>
  </si>
  <si>
    <t>PR24CA14_WW_FREEFORM_ALLOW_TOT</t>
  </si>
  <si>
    <t>PR24 final wastewater enhancement totex allowances - Freeform lines expenditure</t>
  </si>
  <si>
    <t>PR24CA14_WW_IED_ALLOW_TOT</t>
  </si>
  <si>
    <t>PR24 final wastewater enhancement totex allowances - Industrial Emissions Directive (IED) expenditure</t>
  </si>
  <si>
    <t>AFW</t>
  </si>
  <si>
    <t>BRL</t>
  </si>
  <si>
    <t>PRT</t>
  </si>
  <si>
    <t>SEW</t>
  </si>
  <si>
    <t>SSC</t>
  </si>
  <si>
    <t>SES</t>
  </si>
  <si>
    <t>Totex requested in price control (£m)</t>
  </si>
  <si>
    <t>Totex requested in business plan - as submitted (£m)</t>
  </si>
  <si>
    <t>Materiality (%)</t>
  </si>
  <si>
    <t>Type of assessment</t>
  </si>
  <si>
    <t xml:space="preserve">Efficiency factor  </t>
  </si>
  <si>
    <t>Shallow dive output</t>
  </si>
  <si>
    <t xml:space="preserve">Justification </t>
  </si>
  <si>
    <t>Deep dive</t>
  </si>
  <si>
    <t>Shallow dive</t>
  </si>
  <si>
    <t>Efficiency challenge overriden to 0% due to contribution to UKWIR</t>
  </si>
  <si>
    <t>CWW3_54TOT_PR24</t>
  </si>
  <si>
    <t xml:space="preserve">Cost Data </t>
  </si>
  <si>
    <t>Linear Regression</t>
  </si>
  <si>
    <t>Unit Cost</t>
  </si>
  <si>
    <t>Log Regression</t>
  </si>
  <si>
    <t>Total Totex for Price control (£m) - wholesale wastewater</t>
  </si>
  <si>
    <t>Driver 1 data - Population served by STWs (000s)</t>
  </si>
  <si>
    <t>Reallocations</t>
  </si>
  <si>
    <t>Totex to be modelled £m (excl. ANH)</t>
  </si>
  <si>
    <t>Driver 1 to be modelled (excl. ANH)</t>
  </si>
  <si>
    <t>Allowance (based on linear regression analysis)</t>
  </si>
  <si>
    <t>Difference between totex requested in business plan and allowance (based on linear regression analysis)</t>
  </si>
  <si>
    <t>Unit cost [£m/000s pop]</t>
  </si>
  <si>
    <t>Allowance (based on median unit cost) [£m]</t>
  </si>
  <si>
    <t>Difference between totex requested in business plan and allowance (based on median unit cost analysis)</t>
  </si>
  <si>
    <t>Ln Pop served  000s</t>
  </si>
  <si>
    <t>Ln Totex</t>
  </si>
  <si>
    <t>Ln Allowance (based on log linear regression analysis)</t>
  </si>
  <si>
    <t>Allowance (based on log linear regression analysis)</t>
  </si>
  <si>
    <t>Difference between totex requested in business plan log regression analysis)</t>
  </si>
  <si>
    <t>Efficiency score</t>
  </si>
  <si>
    <t>TOTAL</t>
  </si>
  <si>
    <t>Commentary: A modelled approach was considered for this cost line, however a poor correlation was observed using both linear and log regression models. Utilising median unit cost also showed no consistent result. All modelled approaches were discounted. Due to one company requesting significantly more than others, this company was assessed through deep dive approach, with the other companies assessed through shallow dive approach.</t>
  </si>
  <si>
    <t>Model 1: TOTEX = B + x*PE served (000s)</t>
  </si>
  <si>
    <t>Model 2: ln(Totex) = B + x*ln(PE served)</t>
  </si>
  <si>
    <t>Coefficient</t>
  </si>
  <si>
    <t>Linest</t>
  </si>
  <si>
    <t>Deep dive_ANH</t>
  </si>
  <si>
    <t>DD- Deep dive_ANH</t>
  </si>
  <si>
    <t>Published summary version</t>
  </si>
  <si>
    <t>Scheme/Programme name</t>
  </si>
  <si>
    <t>PR24CA57 - WW - Chemical Investigations.xlsx</t>
  </si>
  <si>
    <t>Scheme/Programme overview</t>
  </si>
  <si>
    <t>To assess enhancement total expenditure (totex) included by companies in their PR24 business plan submissions in Table CWW3 for line 'Chemical Investigations'.</t>
  </si>
  <si>
    <t>PR24 table line allocation</t>
  </si>
  <si>
    <t>CWW3.52-54</t>
  </si>
  <si>
    <t>Total requested in business plan (totex, £m)</t>
  </si>
  <si>
    <t>Scheme/Programme value assessed in deep dive (totex, £m)</t>
  </si>
  <si>
    <t>Overall adjustment</t>
  </si>
  <si>
    <t>Totex allowance from deep dive</t>
  </si>
  <si>
    <t>Enhancement assessment criteria grouping</t>
  </si>
  <si>
    <t>Assessment comments</t>
  </si>
  <si>
    <t>Criteria decision</t>
  </si>
  <si>
    <t>% adjustment</t>
  </si>
  <si>
    <t>Reference (e.g. document and page number)</t>
  </si>
  <si>
    <t>Need for enhancement investment</t>
  </si>
  <si>
    <t>In the draft determination the proposed investment met the criteria for enhancement investment and additional customer funding. The company in its representation includes its proposed investment submitted in its October 2023 business plan, but it provides no comments. Therefore, we retain our draft determination approach for the final determination</t>
  </si>
  <si>
    <t>Pass</t>
  </si>
  <si>
    <t>ANH27
p.52s
OFW-OBQ-ANH-183</t>
  </si>
  <si>
    <t xml:space="preserve">Pass: The investment meets the criteria for enhancement investment and additional customer funding. The proposed investment is consistent with the company's water industry national environment programme (WINEP) schemes. 
The company has shown clear alignment to the agreed WINEP actions in relation to the WFD_INV_CHEM and WFD_INV_MP drivers. The company has demonstrated the need for enhanced investment with sufficient and convincing evidence, and it demonstrated a clear separation from base expenditure and previous enhancement funding.
A list of WINEP actions detailing outline scope and cost has been provided against the Chemical Investigations Programme CIP4 investigation areas. The company provides evidence to show that these investigations are distinct from monitoring carried out as part of current operations and compliance. The company also provides evidence that they do not overlap with previous CIP programmes but represent an extension. The company states that these investigations are required to inform subsequent interventions to protect the environment.
</t>
  </si>
  <si>
    <t>Best option for customers</t>
  </si>
  <si>
    <t>In the draft determination we did not apply an adjustment because the company provided sufficient and convincing evidence to demonstrate that the proposed investment was the best option for customers, as the scope of the investigations is not open to optioneering, due to it being a WINEP action within the CIP4 programme. The company in its representation includes its proposed investment submitted in its October 2023 business plan, but it provides no additional supporting evidence. Therefore, we retain our draft determination approach for the final determination.</t>
  </si>
  <si>
    <t>Pass: The investment proposed has been supported with sufficient and convincing evidence that it is the best option for customers. 
The scope of these investigations is not open to optioneering, as they are prescribed under the WINEP action and the CIP4 national programme.</t>
  </si>
  <si>
    <t xml:space="preserve">Cost efficiency </t>
  </si>
  <si>
    <t xml:space="preserve">In the draft determination we had significant concerns that the investment was efficient and applied an adjustment. The company in its representation provides additional evidence, however we still have minor concerns that the investment is efficient. Therefore, we reduce the draft determination adjustment for the final determination.
In the draft determination, we had significant concerns that the proposed cost of £23.92m was not efficient. £20.31m of the £23.92m was made up of Transitional and Coastal Water (TRaC) models, at an average cost of approximately £6.77m per model. We considered this to be inefficient compared to our estimated benchmarking, which indicated an average cost of £1.67m. 
The company has provided additional evidence of the cost uncertainty, the cost ranges and how the company has arrived at the final investigation cost. The company also notes that their nutrient TraC investigations have been included within this cost line, whereas other companies have included them in other investigation-focussed cost lines. Given the higher cost of these investigation types, this results in the company costs as higher when compared with other companies for this cost line.
Overall, the company has provided a description of their cost estimation approach and activity cost breakdown, as well as external assurance of cost estimation, which has explained why the costs are not in line with our benchmark, due to a difference in scope. However, no benchmarking has been provided that would show that the cost is efficient, despite the difference in scope and the cost not being close to the benchmark. 
Therefore, for our final determination we reduce our adjustment of 30% from draft determination and apply a 10% adjustment.
</t>
  </si>
  <si>
    <t>Minor concerns</t>
  </si>
  <si>
    <t>Significant Concerns: We have significant concerns whether the investment is efficient. The company does not provide sufficient and convincing evidence that the proposed costs are efficient. While the company provides limited evidence of its cost estimation approach and activity cost breakdown, it provides no evidence that the cost estimates are efficient. 
The company provides evidence that external assurance of cost estimation and efficiency has been undertaken. The company provides limited description of cost estimation approach and activity cost breakdown. It has not provided benchmarking against similar outturn costs. An activity cost breakdown has been provided by the company in response to a query. The company has described their cost estimation approach referencing their internal cost estimation tools. It states that it has obtained external assurance of cost estimation although no evidence has been provided.
The company has not broken down the costs in sufficient detail to justify in particular the large cost of their Transitional and Coastal Water (TRaC) models which make up £20.31m of the £23.92 request. It has not provided any cost benchmarking for these models. The company states that 3 TRaC models will be delivered at an average cost of around £6.77m each; our benchmarking shows that TRaC models have an average cost of £1.67m each. Our assessment is that a 30% cost challenge should be applied on the full investment amount.</t>
  </si>
  <si>
    <t>Significant concerns</t>
  </si>
  <si>
    <t>Customer Protection</t>
  </si>
  <si>
    <t>For the final determination, the company's proposed investment does not meet the materiality threshold for a price control deliverable (PCD). The company does not propose a PCD. Having considered the size of the proposed investment and our guidance on when there should be a PCD, our decision is that a PCD is not required for this investment. Therefore, for the final determination we do not apply a PCD.</t>
  </si>
  <si>
    <t>-</t>
  </si>
  <si>
    <t>Some concerns: We have some concerns whether the company’s proposal fully protects customers from non- or under-delivery. 
The company proposes a price control deliverable (PCD) for their water industry national environment programme (WINEP) which covers all of the company’s WINEP investment. This PCD would be linked directly to the delivery of the number of obligations by the statutory delivery date signed off by the Environment Agency (EA).
We do not consider that this proposal would provide sufficient customer protection. The use of a programme-level PCD would leave room for a lot of uncertainty in using this to track delivery of the investment that customers have funded.
The expenditure in this area is material and so we consider a PCD is required. For more information on PCD decisions see PR24 draft determinations: Expenditure allowances – Price control deliverable appendix.</t>
  </si>
  <si>
    <t>Some concerns</t>
  </si>
  <si>
    <t xml:space="preserve">Summary of allowed costs </t>
  </si>
  <si>
    <t>BoN code(s)</t>
  </si>
  <si>
    <t>Enhancement line</t>
  </si>
  <si>
    <t>Cost allowance for 2025-2030 (£m in 2023-24 prices)</t>
  </si>
  <si>
    <t>Totex requested in business plan (£m) - as submitted</t>
  </si>
  <si>
    <t>Net totex reallocated in/out</t>
  </si>
  <si>
    <t xml:space="preserve">SPF validation adjustment </t>
  </si>
  <si>
    <t xml:space="preserve">Base adjustment </t>
  </si>
  <si>
    <t xml:space="preserve">Shallow dive allowance </t>
  </si>
  <si>
    <t>Modelled allowance</t>
  </si>
  <si>
    <t xml:space="preserve">Deep dive allowance </t>
  </si>
  <si>
    <t>Totex allowed - wholesale wastewater</t>
  </si>
  <si>
    <t xml:space="preserve">Totex allowed - bioresources </t>
  </si>
  <si>
    <t>Totex allowed - network plus</t>
  </si>
  <si>
    <t>Summary of submitted and assessed costs</t>
  </si>
  <si>
    <t>As submitted</t>
  </si>
  <si>
    <t>As assessed</t>
  </si>
  <si>
    <t>2023/2024 - transition exp</t>
  </si>
  <si>
    <t>2023/2024 - accelerated prog</t>
  </si>
  <si>
    <t>2024/2025 - transition exp</t>
  </si>
  <si>
    <t>2024/2025 - accelerated prog</t>
  </si>
  <si>
    <t>2025/2026</t>
  </si>
  <si>
    <t>2026/2027</t>
  </si>
  <si>
    <t>2027/2028</t>
  </si>
  <si>
    <t>2028/2029</t>
  </si>
  <si>
    <t>2029/2030</t>
  </si>
  <si>
    <t>Totex in business plan - wholesale water</t>
  </si>
  <si>
    <t>Summary of allowances based on temporal profiling of submitted costs - for company level allowances</t>
  </si>
  <si>
    <t>Temporal profiling</t>
  </si>
  <si>
    <t>Allowances</t>
  </si>
  <si>
    <t>Check</t>
  </si>
  <si>
    <t>Total allowances</t>
  </si>
  <si>
    <t>Summary of allowances based on ad-hoc profiling - for scheme based allowances</t>
  </si>
  <si>
    <t>Input costs (in £m per year) for scheme(s) that are to be excluded from allowances</t>
  </si>
  <si>
    <t>Allowances based on ad-hoc profiling</t>
  </si>
  <si>
    <t>Comment</t>
  </si>
  <si>
    <t>Checks</t>
  </si>
  <si>
    <t>Total enhancement allowance - Wastewater - Chemical investigations - Totex</t>
  </si>
  <si>
    <t>Total enhancement allowance - Wastewater - Chemical investigations - Accelerated programme</t>
  </si>
  <si>
    <t>Total enhancement allowance - Wastewater - Chemical investigations - Transition allowance</t>
  </si>
  <si>
    <t>Text</t>
  </si>
  <si>
    <t>nr</t>
  </si>
  <si>
    <t>Companies</t>
  </si>
  <si>
    <t>Assessment type</t>
  </si>
  <si>
    <t>WASC</t>
  </si>
  <si>
    <t>Modelled benchmarking</t>
  </si>
  <si>
    <t>Mixed</t>
  </si>
  <si>
    <t>WOC</t>
  </si>
  <si>
    <t>Analysis decisions</t>
  </si>
  <si>
    <t>Partial pass</t>
  </si>
  <si>
    <t>Fail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</si>
</sst>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quot;£&quot;* #,##0.00_-;_-&quot;£&quot;* &quot;-&quot;??_-;_-@_-"/>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0.000"/>
    <numFmt numFmtId="171" formatCode="#,##0.000"/>
    <numFmt numFmtId="172" formatCode="&quot;£&quot;#,##0.0"/>
    <numFmt numFmtId="173" formatCode="_-* #,##0.000_-;\-* #,##0.000_-;_-* &quot;-&quot;??_-;_-@_-"/>
    <numFmt numFmtId="174" formatCode="0.0"/>
    <numFmt numFmtId="175" formatCode="0.0%"/>
    <numFmt numFmtId="176" formatCode="#,##0.0_);\(#,##0.0\);&quot;-  &quot;;&quot; &quot;@&quot; &quot;"/>
    <numFmt numFmtId="177" formatCode="###0_);\(###0\);&quot;-  &quot;;&quot; &quot;@&quot; &quot;"/>
    <numFmt numFmtId="178" formatCode="mmmm\ yyyy;@"/>
    <numFmt numFmtId="179" formatCode="_-[$£-809]* #,##0.00_-;\-[$£-809]* #,##0.00_-;_-[$£-809]* &quot;-&quot;??_-;_-@_-"/>
  </numFmts>
  <fonts count="78">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0"/>
      <name val="Calibri"/>
      <family val="2"/>
    </font>
    <font>
      <sz val="10"/>
      <color theme="0"/>
      <name val="Calibri"/>
      <family val="2"/>
    </font>
    <font>
      <sz val="10"/>
      <color rgb="FFFF0000"/>
      <name val="Arial"/>
      <family val="2"/>
    </font>
    <font>
      <b/>
      <sz val="10"/>
      <color rgb="FF000000"/>
      <name val="Calibri"/>
      <family val="2"/>
    </font>
    <font>
      <sz val="10"/>
      <color rgb="FF000000"/>
      <name val="Calibri"/>
      <family val="2"/>
    </font>
    <font>
      <sz val="11"/>
      <color rgb="FF000000"/>
      <name val="Calibri"/>
      <family val="2"/>
    </font>
    <font>
      <i/>
      <sz val="10"/>
      <color rgb="FF7F7F7F"/>
      <name val="Calibri"/>
      <family val="2"/>
    </font>
    <font>
      <b/>
      <sz val="10"/>
      <name val="Calibri"/>
      <family val="2"/>
    </font>
    <font>
      <b/>
      <sz val="14"/>
      <color theme="0"/>
      <name val="Calibri"/>
      <family val="2"/>
    </font>
    <font>
      <b/>
      <i/>
      <sz val="10"/>
      <color rgb="FF000000"/>
      <name val="Calibri"/>
      <family val="2"/>
    </font>
    <font>
      <sz val="10"/>
      <color rgb="FFFF0000"/>
      <name val="Calibri"/>
      <family val="2"/>
    </font>
    <font>
      <sz val="10"/>
      <color theme="1"/>
      <name val="Krub"/>
      <family val="2"/>
      <scheme val="minor"/>
    </font>
    <font>
      <sz val="8"/>
      <name val="Arial"/>
      <family val="2"/>
    </font>
    <font>
      <u/>
      <sz val="11"/>
      <color theme="10"/>
      <name val="Arial"/>
      <family val="2"/>
    </font>
    <font>
      <sz val="11"/>
      <color indexed="8"/>
      <name val="Krub"/>
      <family val="2"/>
      <scheme val="minor"/>
    </font>
    <font>
      <sz val="10"/>
      <color theme="1"/>
      <name val="Calibri"/>
      <family val="2"/>
    </font>
    <font>
      <b/>
      <u/>
      <sz val="10"/>
      <color theme="1"/>
      <name val="Arial"/>
      <family val="2"/>
    </font>
    <font>
      <b/>
      <u/>
      <sz val="10"/>
      <color rgb="FFFF0000"/>
      <name val="Arial"/>
      <family val="2"/>
    </font>
    <font>
      <b/>
      <sz val="10"/>
      <color theme="1"/>
      <name val="Calibri"/>
      <family val="2"/>
    </font>
    <font>
      <sz val="10"/>
      <color rgb="FFFFFFFF"/>
      <name val="Calibri"/>
      <family val="2"/>
    </font>
    <font>
      <sz val="8"/>
      <color theme="1"/>
      <name val="Tahoma"/>
      <family val="2"/>
    </font>
    <font>
      <sz val="24"/>
      <color theme="0"/>
      <name val="Krub"/>
      <family val="2"/>
      <scheme val="minor"/>
    </font>
    <font>
      <sz val="10"/>
      <name val="Krub"/>
      <family val="2"/>
      <scheme val="minor"/>
    </font>
    <font>
      <sz val="18"/>
      <name val="Krub"/>
      <family val="2"/>
      <scheme val="minor"/>
    </font>
    <font>
      <b/>
      <sz val="18"/>
      <name val="Krub SemiBold"/>
    </font>
    <font>
      <u/>
      <sz val="8"/>
      <color theme="10"/>
      <name val="Tahoma"/>
      <family val="2"/>
    </font>
    <font>
      <sz val="11"/>
      <name val="Krub SemiBold"/>
    </font>
    <font>
      <sz val="10"/>
      <color theme="0"/>
      <name val="Krub"/>
      <family val="2"/>
      <scheme val="minor"/>
    </font>
    <font>
      <b/>
      <sz val="10"/>
      <name val="Krub"/>
      <family val="2"/>
      <scheme val="minor"/>
    </font>
    <font>
      <b/>
      <sz val="10"/>
      <color rgb="FF0071CE"/>
      <name val="Calibri"/>
      <family val="2"/>
    </font>
    <font>
      <b/>
      <sz val="10"/>
      <color indexed="8"/>
      <name val="Krub"/>
      <family val="2"/>
      <scheme val="minor"/>
    </font>
    <font>
      <sz val="10"/>
      <color indexed="8"/>
      <name val="Krub"/>
      <family val="2"/>
      <scheme val="minor"/>
    </font>
    <font>
      <sz val="10"/>
      <color indexed="9"/>
      <name val="Krub"/>
      <family val="2"/>
      <scheme val="minor"/>
    </font>
    <font>
      <b/>
      <sz val="10"/>
      <color theme="1"/>
      <name val="Krub"/>
      <family val="2"/>
      <scheme val="minor"/>
    </font>
    <font>
      <sz val="10"/>
      <name val="Krub"/>
    </font>
    <font>
      <sz val="10"/>
      <name val="Krub"/>
      <scheme val="minor"/>
    </font>
    <font>
      <sz val="11"/>
      <color rgb="FF000000"/>
      <name val="Krub SemiBold"/>
      <scheme val="major"/>
    </font>
    <font>
      <b/>
      <sz val="10"/>
      <name val="Krub SemiBold"/>
      <scheme val="major"/>
    </font>
    <font>
      <sz val="10"/>
      <color indexed="8"/>
      <name val="Calibri"/>
      <family val="2"/>
    </font>
    <font>
      <b/>
      <u/>
      <sz val="10"/>
      <name val="Calibri"/>
      <family val="2"/>
    </font>
    <font>
      <b/>
      <sz val="10"/>
      <color theme="0"/>
      <name val="Calibri"/>
      <family val="2"/>
    </font>
    <font>
      <b/>
      <sz val="11"/>
      <name val="Calibri"/>
      <family val="2"/>
    </font>
    <font>
      <b/>
      <u/>
      <sz val="11"/>
      <name val="Calibri"/>
      <family val="2"/>
    </font>
  </fonts>
  <fills count="6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theme="5"/>
        <bgColor indexed="64"/>
      </patternFill>
    </fill>
    <fill>
      <patternFill patternType="solid">
        <fgColor rgb="FFFFFFFF"/>
        <bgColor rgb="FF000000"/>
      </patternFill>
    </fill>
    <fill>
      <patternFill patternType="solid">
        <fgColor rgb="FFE7E6E6"/>
        <bgColor rgb="FF000000"/>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003595"/>
        <bgColor rgb="FF000000"/>
      </patternFill>
    </fill>
    <fill>
      <patternFill patternType="solid">
        <fgColor theme="0"/>
        <bgColor rgb="FF000000"/>
      </patternFill>
    </fill>
    <fill>
      <patternFill patternType="solid">
        <fgColor rgb="FF003595"/>
        <bgColor indexed="64"/>
      </patternFill>
    </fill>
    <fill>
      <patternFill patternType="solid">
        <fgColor rgb="FFD9D9D9"/>
        <bgColor indexed="64"/>
      </patternFill>
    </fill>
    <fill>
      <patternFill patternType="solid">
        <fgColor rgb="FFC1E3FF"/>
        <bgColor rgb="FFC1E3FF"/>
      </patternFill>
    </fill>
    <fill>
      <patternFill patternType="solid">
        <fgColor rgb="FF84C8FF"/>
        <bgColor rgb="FF84C8FF"/>
      </patternFill>
    </fill>
    <fill>
      <patternFill patternType="solid">
        <fgColor rgb="FFCCCCCE"/>
        <bgColor indexed="64"/>
      </patternFill>
    </fill>
    <fill>
      <patternFill patternType="solid">
        <fgColor rgb="FFCCCCCE"/>
        <bgColor rgb="FF000000"/>
      </patternFill>
    </fill>
    <fill>
      <patternFill patternType="solid">
        <fgColor rgb="FFFFFF00"/>
      </patternFill>
    </fill>
    <fill>
      <patternFill patternType="solid">
        <fgColor rgb="FFFFFFE0"/>
      </patternFill>
    </fill>
    <fill>
      <patternFill patternType="solid">
        <fgColor theme="0" tint="-0.14999847407452621"/>
        <bgColor rgb="FF000000"/>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style="thin">
        <color indexed="64"/>
      </top>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style="thin">
        <color indexed="64"/>
      </bottom>
      <diagonal/>
    </border>
    <border>
      <left style="thin">
        <color rgb="FF000000"/>
      </left>
      <right/>
      <top/>
      <bottom style="thin">
        <color rgb="FF000000"/>
      </bottom>
      <diagonal/>
    </border>
  </borders>
  <cellStyleXfs count="85">
    <xf numFmtId="0" fontId="0" fillId="0" borderId="0"/>
    <xf numFmtId="43" fontId="7" fillId="0" borderId="0" applyFont="0" applyFill="0" applyBorder="0" applyAlignment="0" applyProtection="0"/>
    <xf numFmtId="10"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19" fillId="45" borderId="0" applyNumberFormat="0" applyBorder="0" applyAlignment="0" applyProtection="0"/>
    <xf numFmtId="0" fontId="7"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165" fontId="7" fillId="42" borderId="0" applyNumberFormat="0" applyFont="0" applyBorder="0" applyAlignment="0" applyProtection="0"/>
    <xf numFmtId="0" fontId="7" fillId="43" borderId="0" applyNumberFormat="0" applyFont="0" applyBorder="0" applyAlignment="0" applyProtection="0"/>
    <xf numFmtId="166" fontId="29" fillId="0" borderId="0" applyNumberFormat="0" applyProtection="0">
      <alignment vertical="top"/>
    </xf>
    <xf numFmtId="166" fontId="30" fillId="0" borderId="0" applyNumberFormat="0" applyProtection="0">
      <alignment vertical="top"/>
    </xf>
    <xf numFmtId="166" fontId="23" fillId="44" borderId="0" applyNumberFormat="0" applyProtection="0">
      <alignment vertical="top"/>
    </xf>
    <xf numFmtId="9" fontId="7" fillId="0" borderId="0" applyFont="0" applyFill="0" applyBorder="0" applyAlignment="0" applyProtection="0"/>
    <xf numFmtId="0" fontId="31" fillId="0" borderId="0" applyNumberFormat="0" applyFill="0" applyBorder="0" applyProtection="0">
      <alignment vertical="top"/>
    </xf>
    <xf numFmtId="167" fontId="23" fillId="0" borderId="0" applyFont="0" applyFill="0" applyBorder="0" applyProtection="0">
      <alignment vertical="top"/>
    </xf>
    <xf numFmtId="168" fontId="23" fillId="0" borderId="0" applyFont="0" applyFill="0" applyBorder="0" applyProtection="0">
      <alignment vertical="top"/>
    </xf>
    <xf numFmtId="169" fontId="23" fillId="0" borderId="0" applyFont="0" applyFill="0" applyBorder="0" applyProtection="0">
      <alignment vertical="top"/>
    </xf>
    <xf numFmtId="0" fontId="24" fillId="0" borderId="0"/>
    <xf numFmtId="0" fontId="25" fillId="0" borderId="0"/>
    <xf numFmtId="0" fontId="26" fillId="0" borderId="0"/>
    <xf numFmtId="168" fontId="27" fillId="0" borderId="0" applyNumberFormat="0" applyFill="0" applyBorder="0" applyProtection="0">
      <alignment vertical="top"/>
    </xf>
    <xf numFmtId="0" fontId="28" fillId="0" borderId="0" applyNumberFormat="0" applyFill="0" applyBorder="0" applyProtection="0">
      <alignment vertical="top"/>
    </xf>
    <xf numFmtId="0" fontId="23" fillId="0" borderId="0" applyNumberFormat="0" applyFill="0" applyBorder="0" applyProtection="0">
      <alignment horizontal="right" vertical="top"/>
    </xf>
    <xf numFmtId="0" fontId="23" fillId="0" borderId="0"/>
    <xf numFmtId="0" fontId="32" fillId="0" borderId="0"/>
    <xf numFmtId="0" fontId="6" fillId="0" borderId="0"/>
    <xf numFmtId="0" fontId="48" fillId="0" borderId="0" applyNumberFormat="0" applyFill="0" applyBorder="0" applyAlignment="0" applyProtection="0"/>
    <xf numFmtId="0" fontId="49" fillId="0" borderId="0"/>
    <xf numFmtId="43" fontId="5" fillId="0" borderId="0"/>
    <xf numFmtId="43" fontId="4" fillId="0" borderId="0"/>
    <xf numFmtId="43" fontId="3" fillId="0" borderId="0" applyFont="0" applyFill="0" applyBorder="0" applyAlignment="0" applyProtection="0"/>
    <xf numFmtId="44" fontId="7" fillId="0" borderId="0" applyFont="0" applyFill="0" applyBorder="0" applyAlignment="0" applyProtection="0"/>
    <xf numFmtId="0" fontId="2" fillId="0" borderId="0"/>
    <xf numFmtId="164" fontId="55" fillId="0" borderId="0" applyFont="0" applyFill="0" applyBorder="0" applyProtection="0">
      <alignment vertical="top"/>
    </xf>
    <xf numFmtId="164" fontId="35" fillId="0" borderId="0" applyFill="0" applyBorder="0" applyProtection="0">
      <alignment vertical="top"/>
    </xf>
    <xf numFmtId="177" fontId="35" fillId="0" borderId="0" applyFont="0" applyFill="0" applyBorder="0" applyProtection="0">
      <alignment vertical="top"/>
    </xf>
    <xf numFmtId="0" fontId="60" fillId="0" borderId="0" applyNumberFormat="0" applyFill="0" applyBorder="0" applyAlignment="0" applyProtection="0"/>
    <xf numFmtId="0" fontId="1" fillId="0" borderId="0"/>
    <xf numFmtId="0" fontId="34" fillId="0" borderId="0"/>
  </cellStyleXfs>
  <cellXfs count="252">
    <xf numFmtId="0" fontId="0" fillId="0" borderId="0" xfId="0"/>
    <xf numFmtId="164" fontId="33" fillId="46" borderId="0" xfId="0" applyNumberFormat="1" applyFont="1" applyFill="1" applyAlignment="1">
      <alignment vertical="top"/>
    </xf>
    <xf numFmtId="0" fontId="34" fillId="0" borderId="0" xfId="0" applyFont="1"/>
    <xf numFmtId="0" fontId="39" fillId="0" borderId="0" xfId="0" applyFont="1"/>
    <xf numFmtId="0" fontId="40" fillId="0" borderId="0" xfId="0" applyFont="1"/>
    <xf numFmtId="0" fontId="39" fillId="49" borderId="13" xfId="0" applyFont="1" applyFill="1" applyBorder="1"/>
    <xf numFmtId="0" fontId="39" fillId="0" borderId="14" xfId="0" applyFont="1" applyBorder="1" applyAlignment="1">
      <alignment wrapText="1"/>
    </xf>
    <xf numFmtId="0" fontId="41" fillId="0" borderId="0" xfId="0" applyFont="1"/>
    <xf numFmtId="0" fontId="38" fillId="0" borderId="0" xfId="0" applyFont="1"/>
    <xf numFmtId="0" fontId="39" fillId="0" borderId="10" xfId="0" applyFont="1" applyBorder="1"/>
    <xf numFmtId="0" fontId="39" fillId="0" borderId="14" xfId="0" applyFont="1" applyBorder="1"/>
    <xf numFmtId="0" fontId="39" fillId="0" borderId="13" xfId="0" applyFont="1" applyBorder="1"/>
    <xf numFmtId="0" fontId="38" fillId="0" borderId="13" xfId="0" applyFont="1" applyBorder="1"/>
    <xf numFmtId="0" fontId="38" fillId="50" borderId="10" xfId="0" applyFont="1" applyFill="1" applyBorder="1" applyAlignment="1">
      <alignment wrapText="1"/>
    </xf>
    <xf numFmtId="0" fontId="39" fillId="0" borderId="11" xfId="0" applyFont="1" applyBorder="1"/>
    <xf numFmtId="0" fontId="42" fillId="0" borderId="11" xfId="0" applyFont="1" applyBorder="1"/>
    <xf numFmtId="0" fontId="38" fillId="0" borderId="11" xfId="0" applyFont="1" applyBorder="1"/>
    <xf numFmtId="0" fontId="0" fillId="0" borderId="10" xfId="0" applyBorder="1"/>
    <xf numFmtId="0" fontId="39" fillId="0" borderId="21" xfId="0" applyFont="1" applyBorder="1"/>
    <xf numFmtId="0" fontId="39" fillId="0" borderId="17" xfId="0" applyFont="1" applyBorder="1"/>
    <xf numFmtId="0" fontId="38" fillId="50" borderId="16" xfId="0" applyFont="1" applyFill="1" applyBorder="1" applyAlignment="1">
      <alignment wrapText="1"/>
    </xf>
    <xf numFmtId="0" fontId="0" fillId="0" borderId="0" xfId="0" applyAlignment="1">
      <alignment horizontal="center"/>
    </xf>
    <xf numFmtId="0" fontId="39" fillId="0" borderId="22" xfId="0" applyFont="1" applyBorder="1"/>
    <xf numFmtId="0" fontId="45" fillId="0" borderId="0" xfId="0" applyFont="1"/>
    <xf numFmtId="170" fontId="0" fillId="0" borderId="0" xfId="0" applyNumberFormat="1"/>
    <xf numFmtId="0" fontId="37" fillId="0" borderId="0" xfId="0" applyFont="1"/>
    <xf numFmtId="0" fontId="38" fillId="50" borderId="24" xfId="0" applyFont="1" applyFill="1" applyBorder="1" applyAlignment="1">
      <alignment wrapText="1"/>
    </xf>
    <xf numFmtId="0" fontId="0" fillId="54" borderId="0" xfId="0" applyFill="1"/>
    <xf numFmtId="0" fontId="39" fillId="54" borderId="0" xfId="0" applyFont="1" applyFill="1"/>
    <xf numFmtId="0" fontId="39" fillId="0" borderId="10" xfId="0" applyFont="1" applyBorder="1" applyAlignment="1">
      <alignment horizontal="center"/>
    </xf>
    <xf numFmtId="2" fontId="39" fillId="0" borderId="14" xfId="0" applyNumberFormat="1" applyFont="1" applyBorder="1"/>
    <xf numFmtId="2" fontId="39" fillId="0" borderId="11" xfId="0" applyNumberFormat="1" applyFont="1" applyBorder="1"/>
    <xf numFmtId="2" fontId="39" fillId="0" borderId="15" xfId="0" applyNumberFormat="1" applyFont="1" applyBorder="1"/>
    <xf numFmtId="2" fontId="39" fillId="0" borderId="12" xfId="0" applyNumberFormat="1" applyFont="1" applyBorder="1"/>
    <xf numFmtId="2" fontId="42" fillId="0" borderId="14" xfId="0" applyNumberFormat="1" applyFont="1" applyBorder="1"/>
    <xf numFmtId="0" fontId="0" fillId="55" borderId="0" xfId="0" applyFill="1"/>
    <xf numFmtId="0" fontId="0" fillId="52" borderId="0" xfId="0" applyFill="1"/>
    <xf numFmtId="0" fontId="50" fillId="0" borderId="0" xfId="0" applyFont="1"/>
    <xf numFmtId="0" fontId="51" fillId="0" borderId="0" xfId="0" applyFont="1"/>
    <xf numFmtId="0" fontId="0" fillId="0" borderId="31" xfId="0" applyBorder="1"/>
    <xf numFmtId="0" fontId="0" fillId="0" borderId="23" xfId="0" applyBorder="1"/>
    <xf numFmtId="10" fontId="0" fillId="0" borderId="23" xfId="0" applyNumberFormat="1" applyBorder="1"/>
    <xf numFmtId="0" fontId="52" fillId="0" borderId="0" xfId="0" applyFont="1"/>
    <xf numFmtId="0" fontId="0" fillId="52" borderId="26" xfId="0" applyFill="1" applyBorder="1"/>
    <xf numFmtId="0" fontId="0" fillId="52" borderId="30" xfId="0" applyFill="1" applyBorder="1"/>
    <xf numFmtId="0" fontId="0" fillId="0" borderId="30" xfId="0" applyBorder="1"/>
    <xf numFmtId="0" fontId="0" fillId="55" borderId="26" xfId="0" applyFill="1" applyBorder="1"/>
    <xf numFmtId="0" fontId="0" fillId="51" borderId="0" xfId="0" applyFill="1"/>
    <xf numFmtId="2" fontId="36" fillId="0" borderId="11" xfId="0" applyNumberFormat="1" applyFont="1" applyBorder="1"/>
    <xf numFmtId="2" fontId="39" fillId="0" borderId="10" xfId="0" applyNumberFormat="1" applyFont="1" applyBorder="1"/>
    <xf numFmtId="0" fontId="38" fillId="50" borderId="21" xfId="0" applyFont="1" applyFill="1" applyBorder="1" applyAlignment="1">
      <alignment wrapText="1"/>
    </xf>
    <xf numFmtId="2" fontId="0" fillId="0" borderId="10" xfId="77" applyNumberFormat="1" applyFont="1" applyBorder="1"/>
    <xf numFmtId="175" fontId="39" fillId="0" borderId="19" xfId="2" applyNumberFormat="1" applyFont="1" applyBorder="1"/>
    <xf numFmtId="164" fontId="36" fillId="46" borderId="0" xfId="0" applyNumberFormat="1" applyFont="1" applyFill="1" applyAlignment="1">
      <alignment vertical="top"/>
    </xf>
    <xf numFmtId="44" fontId="34" fillId="54" borderId="0" xfId="77" applyFont="1" applyFill="1" applyAlignment="1">
      <alignment horizontal="right" vertical="center" wrapText="1"/>
    </xf>
    <xf numFmtId="0" fontId="44" fillId="57" borderId="0" xfId="0" applyFont="1" applyFill="1" applyAlignment="1">
      <alignment wrapText="1"/>
    </xf>
    <xf numFmtId="0" fontId="43" fillId="46" borderId="0" xfId="0" applyFont="1" applyFill="1" applyAlignment="1">
      <alignment horizontal="left"/>
    </xf>
    <xf numFmtId="170" fontId="42" fillId="0" borderId="14" xfId="0" applyNumberFormat="1" applyFont="1" applyBorder="1"/>
    <xf numFmtId="164" fontId="56" fillId="58" borderId="0" xfId="79" applyFont="1" applyFill="1">
      <alignment vertical="top"/>
    </xf>
    <xf numFmtId="164" fontId="57" fillId="58" borderId="0" xfId="80" applyFont="1" applyFill="1">
      <alignment vertical="top"/>
    </xf>
    <xf numFmtId="164" fontId="57" fillId="0" borderId="0" xfId="80" applyFont="1" applyFill="1">
      <alignment vertical="top"/>
    </xf>
    <xf numFmtId="164" fontId="58" fillId="0" borderId="0" xfId="80" applyFont="1" applyFill="1">
      <alignment vertical="top"/>
    </xf>
    <xf numFmtId="164" fontId="59" fillId="0" borderId="0" xfId="80" applyFont="1" applyFill="1">
      <alignment vertical="top"/>
    </xf>
    <xf numFmtId="176" fontId="57" fillId="0" borderId="0" xfId="80" applyNumberFormat="1" applyFont="1" applyFill="1" applyAlignment="1">
      <alignment horizontal="left" vertical="top"/>
    </xf>
    <xf numFmtId="164" fontId="57" fillId="0" borderId="0" xfId="80" applyFont="1" applyFill="1" applyAlignment="1">
      <alignment horizontal="left" vertical="center"/>
    </xf>
    <xf numFmtId="178" fontId="57" fillId="0" borderId="0" xfId="81" applyNumberFormat="1" applyFont="1" applyFill="1" applyAlignment="1">
      <alignment horizontal="left" vertical="top"/>
    </xf>
    <xf numFmtId="164" fontId="60" fillId="0" borderId="0" xfId="82" applyNumberFormat="1" applyFill="1" applyAlignment="1">
      <alignment vertical="top"/>
    </xf>
    <xf numFmtId="164" fontId="46" fillId="0" borderId="0" xfId="79" applyFont="1" applyAlignment="1"/>
    <xf numFmtId="164" fontId="61" fillId="0" borderId="0" xfId="80" applyFont="1" applyFill="1">
      <alignment vertical="top"/>
    </xf>
    <xf numFmtId="164" fontId="62" fillId="0" borderId="0" xfId="80" applyFont="1" applyFill="1">
      <alignment vertical="top"/>
    </xf>
    <xf numFmtId="0" fontId="46" fillId="0" borderId="0" xfId="83" applyFont="1"/>
    <xf numFmtId="0" fontId="63" fillId="0" borderId="0" xfId="83" applyFont="1" applyAlignment="1">
      <alignment vertical="top"/>
    </xf>
    <xf numFmtId="0" fontId="57" fillId="0" borderId="0" xfId="83" applyFont="1" applyAlignment="1">
      <alignment vertical="top"/>
    </xf>
    <xf numFmtId="0" fontId="57" fillId="0" borderId="0" xfId="83" applyFont="1" applyAlignment="1">
      <alignment horizontal="center" vertical="top"/>
    </xf>
    <xf numFmtId="0" fontId="64" fillId="47" borderId="0" xfId="84" applyFont="1" applyFill="1" applyAlignment="1">
      <alignment vertical="center"/>
    </xf>
    <xf numFmtId="0" fontId="65" fillId="0" borderId="0" xfId="83" applyFont="1" applyAlignment="1">
      <alignment vertical="top"/>
    </xf>
    <xf numFmtId="0" fontId="66" fillId="0" borderId="0" xfId="83" applyFont="1" applyAlignment="1">
      <alignment vertical="top"/>
    </xf>
    <xf numFmtId="0" fontId="63" fillId="0" borderId="0" xfId="83" applyFont="1" applyAlignment="1">
      <alignment horizontal="centerContinuous" vertical="top"/>
    </xf>
    <xf numFmtId="0" fontId="67" fillId="0" borderId="0" xfId="83" applyFont="1" applyAlignment="1">
      <alignment horizontal="centerContinuous" vertical="top"/>
    </xf>
    <xf numFmtId="0" fontId="57" fillId="0" borderId="0" xfId="83" applyFont="1" applyAlignment="1">
      <alignment horizontal="centerContinuous" vertical="top"/>
    </xf>
    <xf numFmtId="0" fontId="63" fillId="0" borderId="0" xfId="83" applyFont="1" applyAlignment="1">
      <alignment horizontal="center" vertical="top"/>
    </xf>
    <xf numFmtId="0" fontId="46" fillId="0" borderId="0" xfId="83" applyFont="1" applyAlignment="1">
      <alignment vertical="top"/>
    </xf>
    <xf numFmtId="0" fontId="65" fillId="0" borderId="0" xfId="83" applyFont="1" applyAlignment="1">
      <alignment horizontal="centerContinuous" vertical="top"/>
    </xf>
    <xf numFmtId="0" fontId="66" fillId="0" borderId="0" xfId="83" applyFont="1" applyAlignment="1">
      <alignment horizontal="centerContinuous" vertical="top"/>
    </xf>
    <xf numFmtId="0" fontId="68" fillId="59" borderId="0" xfId="83" applyFont="1" applyFill="1" applyAlignment="1">
      <alignment vertical="top"/>
    </xf>
    <xf numFmtId="0" fontId="68" fillId="59" borderId="0" xfId="83" applyFont="1" applyFill="1" applyAlignment="1">
      <alignment wrapText="1"/>
    </xf>
    <xf numFmtId="0" fontId="68" fillId="59" borderId="0" xfId="83" applyFont="1" applyFill="1" applyAlignment="1">
      <alignment horizontal="left" vertical="center" wrapText="1"/>
    </xf>
    <xf numFmtId="0" fontId="68" fillId="59" borderId="0" xfId="83" applyFont="1" applyFill="1" applyAlignment="1">
      <alignment vertical="top" wrapText="1"/>
    </xf>
    <xf numFmtId="2" fontId="39" fillId="0" borderId="10" xfId="0" applyNumberFormat="1" applyFont="1" applyBorder="1" applyAlignment="1">
      <alignment horizontal="center"/>
    </xf>
    <xf numFmtId="2" fontId="34" fillId="0" borderId="25" xfId="0" applyNumberFormat="1" applyFont="1" applyBorder="1" applyAlignment="1">
      <alignment horizontal="center"/>
    </xf>
    <xf numFmtId="0" fontId="34" fillId="0" borderId="26" xfId="78" applyFont="1" applyBorder="1" applyAlignment="1">
      <alignment vertical="center" wrapText="1"/>
    </xf>
    <xf numFmtId="170" fontId="34" fillId="0" borderId="0" xfId="78" applyNumberFormat="1" applyFont="1" applyAlignment="1">
      <alignment horizontal="left" vertical="center" wrapText="1"/>
    </xf>
    <xf numFmtId="170" fontId="34" fillId="0" borderId="0" xfId="78" applyNumberFormat="1" applyFont="1" applyAlignment="1">
      <alignment horizontal="left" vertical="center"/>
    </xf>
    <xf numFmtId="170" fontId="34" fillId="0" borderId="26" xfId="78" applyNumberFormat="1" applyFont="1" applyBorder="1" applyAlignment="1">
      <alignment vertical="center" wrapText="1"/>
    </xf>
    <xf numFmtId="0" fontId="69" fillId="60" borderId="32" xfId="0" applyFont="1" applyFill="1" applyBorder="1"/>
    <xf numFmtId="0" fontId="69" fillId="61" borderId="32" xfId="0" applyFont="1" applyFill="1" applyBorder="1"/>
    <xf numFmtId="0" fontId="69" fillId="60" borderId="33" xfId="0" applyFont="1" applyFill="1" applyBorder="1" applyAlignment="1">
      <alignment wrapText="1"/>
    </xf>
    <xf numFmtId="0" fontId="70" fillId="61" borderId="32" xfId="0" applyFont="1" applyFill="1" applyBorder="1"/>
    <xf numFmtId="0" fontId="53" fillId="54" borderId="21" xfId="0" applyFont="1" applyFill="1" applyBorder="1" applyAlignment="1">
      <alignment horizontal="left"/>
    </xf>
    <xf numFmtId="0" fontId="34" fillId="54" borderId="21" xfId="78" applyFont="1" applyFill="1" applyBorder="1" applyAlignment="1">
      <alignment horizontal="left" vertical="center"/>
    </xf>
    <xf numFmtId="0" fontId="38" fillId="57" borderId="0" xfId="0" applyFont="1" applyFill="1" applyAlignment="1">
      <alignment vertical="center" wrapText="1"/>
    </xf>
    <xf numFmtId="0" fontId="39" fillId="49" borderId="11" xfId="0" applyFont="1" applyFill="1" applyBorder="1"/>
    <xf numFmtId="0" fontId="39" fillId="0" borderId="11" xfId="0" applyFont="1" applyBorder="1" applyAlignment="1">
      <alignment wrapText="1"/>
    </xf>
    <xf numFmtId="2" fontId="0" fillId="55" borderId="10" xfId="77" applyNumberFormat="1" applyFont="1" applyFill="1" applyBorder="1"/>
    <xf numFmtId="2" fontId="0" fillId="51" borderId="10" xfId="77" applyNumberFormat="1" applyFont="1" applyFill="1" applyBorder="1"/>
    <xf numFmtId="2" fontId="23" fillId="0" borderId="10" xfId="77" applyNumberFormat="1" applyFont="1" applyBorder="1"/>
    <xf numFmtId="2" fontId="0" fillId="55" borderId="10" xfId="0" applyNumberFormat="1" applyFill="1" applyBorder="1"/>
    <xf numFmtId="2" fontId="0" fillId="51" borderId="10" xfId="0" applyNumberFormat="1" applyFill="1" applyBorder="1"/>
    <xf numFmtId="2" fontId="0" fillId="0" borderId="10" xfId="0" applyNumberFormat="1" applyBorder="1"/>
    <xf numFmtId="2" fontId="0" fillId="55" borderId="10" xfId="77" quotePrefix="1" applyNumberFormat="1" applyFont="1" applyFill="1" applyBorder="1"/>
    <xf numFmtId="175" fontId="0" fillId="55" borderId="10" xfId="2" applyNumberFormat="1" applyFont="1" applyFill="1" applyBorder="1"/>
    <xf numFmtId="175" fontId="0" fillId="51" borderId="10" xfId="2" applyNumberFormat="1" applyFont="1" applyFill="1" applyBorder="1"/>
    <xf numFmtId="10" fontId="0" fillId="0" borderId="10" xfId="0" applyNumberFormat="1" applyBorder="1"/>
    <xf numFmtId="164" fontId="71" fillId="0" borderId="0" xfId="80" applyFont="1">
      <alignment vertical="top"/>
    </xf>
    <xf numFmtId="164" fontId="70" fillId="0" borderId="0" xfId="80" applyFont="1">
      <alignment vertical="top"/>
    </xf>
    <xf numFmtId="164" fontId="72" fillId="53" borderId="11" xfId="80" applyFont="1" applyFill="1" applyBorder="1" applyAlignment="1">
      <alignment vertical="top" wrapText="1"/>
    </xf>
    <xf numFmtId="164" fontId="70" fillId="0" borderId="11" xfId="80" applyFont="1" applyBorder="1">
      <alignment vertical="top"/>
    </xf>
    <xf numFmtId="171" fontId="34" fillId="0" borderId="0" xfId="0" applyNumberFormat="1" applyFont="1"/>
    <xf numFmtId="0" fontId="73" fillId="0" borderId="0" xfId="73" applyFont="1"/>
    <xf numFmtId="0" fontId="74" fillId="0" borderId="0" xfId="0" applyFont="1"/>
    <xf numFmtId="0" fontId="42" fillId="62" borderId="0" xfId="0" applyFont="1" applyFill="1"/>
    <xf numFmtId="0" fontId="35" fillId="53" borderId="14" xfId="0" applyFont="1" applyFill="1" applyBorder="1"/>
    <xf numFmtId="0" fontId="35" fillId="53" borderId="13" xfId="0" applyFont="1" applyFill="1" applyBorder="1"/>
    <xf numFmtId="170" fontId="34" fillId="0" borderId="0" xfId="0" applyNumberFormat="1" applyFont="1"/>
    <xf numFmtId="0" fontId="42" fillId="53" borderId="13" xfId="0" applyFont="1" applyFill="1" applyBorder="1"/>
    <xf numFmtId="0" fontId="35" fillId="53" borderId="15" xfId="0" applyFont="1" applyFill="1" applyBorder="1"/>
    <xf numFmtId="0" fontId="35" fillId="0" borderId="14" xfId="0" applyFont="1" applyBorder="1"/>
    <xf numFmtId="170" fontId="34" fillId="0" borderId="10" xfId="0" applyNumberFormat="1" applyFont="1" applyBorder="1"/>
    <xf numFmtId="170" fontId="34" fillId="0" borderId="21" xfId="0" applyNumberFormat="1" applyFont="1" applyBorder="1"/>
    <xf numFmtId="10" fontId="39" fillId="0" borderId="0" xfId="0" applyNumberFormat="1" applyFont="1"/>
    <xf numFmtId="0" fontId="38" fillId="62" borderId="0" xfId="0" applyFont="1" applyFill="1"/>
    <xf numFmtId="0" fontId="34" fillId="0" borderId="0" xfId="0" applyFont="1" applyAlignment="1">
      <alignment horizontal="center"/>
    </xf>
    <xf numFmtId="2" fontId="34" fillId="0" borderId="21" xfId="0" applyNumberFormat="1" applyFont="1" applyBorder="1" applyAlignment="1">
      <alignment horizontal="center"/>
    </xf>
    <xf numFmtId="2" fontId="34" fillId="0" borderId="11" xfId="0" applyNumberFormat="1" applyFont="1" applyBorder="1" applyAlignment="1">
      <alignment horizontal="center"/>
    </xf>
    <xf numFmtId="2" fontId="34" fillId="0" borderId="34" xfId="0" applyNumberFormat="1" applyFont="1" applyBorder="1" applyAlignment="1">
      <alignment horizontal="center"/>
    </xf>
    <xf numFmtId="170" fontId="34" fillId="0" borderId="10" xfId="0" applyNumberFormat="1" applyFont="1" applyBorder="1" applyAlignment="1">
      <alignment horizontal="center"/>
    </xf>
    <xf numFmtId="0" fontId="38" fillId="63" borderId="11" xfId="0" applyFont="1" applyFill="1" applyBorder="1" applyAlignment="1">
      <alignment horizontal="center" vertical="center" wrapText="1"/>
    </xf>
    <xf numFmtId="0" fontId="38" fillId="63" borderId="10" xfId="0" applyFont="1" applyFill="1" applyBorder="1" applyAlignment="1">
      <alignment horizontal="center" vertical="center" wrapText="1"/>
    </xf>
    <xf numFmtId="0" fontId="38" fillId="63" borderId="10" xfId="0" applyFont="1" applyFill="1" applyBorder="1" applyAlignment="1">
      <alignment vertical="center" wrapText="1"/>
    </xf>
    <xf numFmtId="2" fontId="34" fillId="0" borderId="17" xfId="0" applyNumberFormat="1" applyFont="1" applyBorder="1" applyAlignment="1">
      <alignment horizontal="center"/>
    </xf>
    <xf numFmtId="2" fontId="34" fillId="0" borderId="22" xfId="0" applyNumberFormat="1" applyFont="1" applyBorder="1" applyAlignment="1">
      <alignment horizontal="center"/>
    </xf>
    <xf numFmtId="2" fontId="34" fillId="0" borderId="30" xfId="0" applyNumberFormat="1" applyFont="1" applyBorder="1" applyAlignment="1">
      <alignment horizontal="center"/>
    </xf>
    <xf numFmtId="0" fontId="34" fillId="0" borderId="31" xfId="0" applyFont="1" applyBorder="1"/>
    <xf numFmtId="0" fontId="38" fillId="63" borderId="16" xfId="0" applyFont="1" applyFill="1" applyBorder="1" applyAlignment="1">
      <alignment wrapText="1"/>
    </xf>
    <xf numFmtId="174" fontId="39" fillId="0" borderId="10" xfId="0" applyNumberFormat="1" applyFont="1" applyBorder="1" applyAlignment="1">
      <alignment horizontal="center" vertical="center"/>
    </xf>
    <xf numFmtId="170" fontId="34" fillId="0" borderId="10" xfId="77" applyNumberFormat="1" applyFont="1" applyBorder="1" applyAlignment="1">
      <alignment horizontal="center"/>
    </xf>
    <xf numFmtId="170" fontId="34" fillId="0" borderId="18" xfId="0" applyNumberFormat="1" applyFont="1" applyBorder="1" applyAlignment="1">
      <alignment horizontal="center" vertical="center" wrapText="1"/>
    </xf>
    <xf numFmtId="10" fontId="34" fillId="0" borderId="19" xfId="0" applyNumberFormat="1" applyFont="1" applyBorder="1" applyAlignment="1">
      <alignment horizontal="center"/>
    </xf>
    <xf numFmtId="0" fontId="34" fillId="0" borderId="10" xfId="0" applyFont="1" applyBorder="1"/>
    <xf numFmtId="2" fontId="34" fillId="0" borderId="10" xfId="77" applyNumberFormat="1" applyFont="1" applyBorder="1" applyAlignment="1">
      <alignment horizontal="center"/>
    </xf>
    <xf numFmtId="174" fontId="34" fillId="0" borderId="11" xfId="0" applyNumberFormat="1" applyFont="1" applyBorder="1" applyAlignment="1">
      <alignment horizontal="center" vertical="center"/>
    </xf>
    <xf numFmtId="170" fontId="34" fillId="0" borderId="22" xfId="0" applyNumberFormat="1" applyFont="1" applyBorder="1" applyAlignment="1">
      <alignment horizontal="center" vertical="center"/>
    </xf>
    <xf numFmtId="170" fontId="34" fillId="0" borderId="11" xfId="0" applyNumberFormat="1" applyFont="1" applyBorder="1" applyAlignment="1">
      <alignment horizontal="center" vertical="center"/>
    </xf>
    <xf numFmtId="172" fontId="38" fillId="63" borderId="25" xfId="0" applyNumberFormat="1" applyFont="1" applyFill="1" applyBorder="1" applyAlignment="1">
      <alignment vertical="center" wrapText="1"/>
    </xf>
    <xf numFmtId="0" fontId="38" fillId="63" borderId="16" xfId="0" applyFont="1" applyFill="1" applyBorder="1" applyAlignment="1">
      <alignment vertical="center" wrapText="1"/>
    </xf>
    <xf numFmtId="0" fontId="38" fillId="63" borderId="24" xfId="0" applyFont="1" applyFill="1" applyBorder="1" applyAlignment="1">
      <alignment vertical="center" wrapText="1"/>
    </xf>
    <xf numFmtId="2" fontId="34" fillId="0" borderId="24" xfId="0" applyNumberFormat="1" applyFont="1" applyBorder="1" applyAlignment="1">
      <alignment horizontal="center"/>
    </xf>
    <xf numFmtId="2" fontId="34" fillId="0" borderId="19" xfId="0" applyNumberFormat="1" applyFont="1" applyBorder="1" applyAlignment="1">
      <alignment horizontal="center"/>
    </xf>
    <xf numFmtId="2" fontId="34" fillId="0" borderId="10" xfId="0" applyNumberFormat="1" applyFont="1" applyBorder="1" applyAlignment="1">
      <alignment horizontal="center"/>
    </xf>
    <xf numFmtId="2" fontId="34" fillId="0" borderId="16" xfId="0" applyNumberFormat="1" applyFont="1" applyBorder="1" applyAlignment="1">
      <alignment horizontal="center"/>
    </xf>
    <xf numFmtId="2" fontId="34" fillId="0" borderId="0" xfId="0" applyNumberFormat="1" applyFont="1"/>
    <xf numFmtId="0" fontId="34" fillId="54" borderId="0" xfId="0" applyFont="1" applyFill="1"/>
    <xf numFmtId="0" fontId="34" fillId="0" borderId="24" xfId="0" applyFont="1" applyBorder="1"/>
    <xf numFmtId="0" fontId="34" fillId="0" borderId="25" xfId="0" applyFont="1" applyBorder="1"/>
    <xf numFmtId="0" fontId="34" fillId="0" borderId="26" xfId="0" applyFont="1" applyBorder="1"/>
    <xf numFmtId="0" fontId="34" fillId="0" borderId="30" xfId="0" applyFont="1" applyBorder="1"/>
    <xf numFmtId="0" fontId="34" fillId="0" borderId="17" xfId="0" applyFont="1" applyBorder="1"/>
    <xf numFmtId="0" fontId="34" fillId="0" borderId="15" xfId="0" applyFont="1" applyBorder="1"/>
    <xf numFmtId="0" fontId="34" fillId="0" borderId="14" xfId="0" applyFont="1" applyBorder="1"/>
    <xf numFmtId="170" fontId="34" fillId="54" borderId="0" xfId="0" applyNumberFormat="1" applyFont="1" applyFill="1"/>
    <xf numFmtId="0" fontId="38" fillId="54" borderId="0" xfId="0" applyFont="1" applyFill="1"/>
    <xf numFmtId="170" fontId="34" fillId="62" borderId="10" xfId="0" applyNumberFormat="1" applyFont="1" applyFill="1" applyBorder="1" applyAlignment="1">
      <alignment horizontal="center"/>
    </xf>
    <xf numFmtId="0" fontId="39" fillId="62" borderId="10" xfId="0" applyFont="1" applyFill="1" applyBorder="1" applyAlignment="1">
      <alignment horizontal="center"/>
    </xf>
    <xf numFmtId="2" fontId="39" fillId="62" borderId="10" xfId="0" applyNumberFormat="1" applyFont="1" applyFill="1" applyBorder="1" applyAlignment="1">
      <alignment horizontal="center"/>
    </xf>
    <xf numFmtId="2" fontId="34" fillId="62" borderId="10" xfId="0" applyNumberFormat="1" applyFont="1" applyFill="1" applyBorder="1" applyAlignment="1">
      <alignment horizontal="center"/>
    </xf>
    <xf numFmtId="1" fontId="34" fillId="62" borderId="10" xfId="0" applyNumberFormat="1" applyFont="1" applyFill="1" applyBorder="1" applyAlignment="1">
      <alignment horizontal="center"/>
    </xf>
    <xf numFmtId="0" fontId="75" fillId="48" borderId="0" xfId="0" applyFont="1" applyFill="1"/>
    <xf numFmtId="0" fontId="44" fillId="63" borderId="10" xfId="0" applyFont="1" applyFill="1" applyBorder="1" applyAlignment="1">
      <alignment vertical="center" wrapText="1"/>
    </xf>
    <xf numFmtId="44" fontId="38" fillId="63" borderId="10" xfId="77" applyFont="1" applyFill="1" applyBorder="1" applyAlignment="1">
      <alignment vertical="center" wrapText="1"/>
    </xf>
    <xf numFmtId="44" fontId="38" fillId="63" borderId="12" xfId="77" applyFont="1" applyFill="1" applyBorder="1" applyAlignment="1">
      <alignment vertical="center" wrapText="1"/>
    </xf>
    <xf numFmtId="4" fontId="39" fillId="0" borderId="0" xfId="0" applyNumberFormat="1" applyFont="1"/>
    <xf numFmtId="0" fontId="42" fillId="63" borderId="0" xfId="0" applyFont="1" applyFill="1"/>
    <xf numFmtId="0" fontId="53" fillId="0" borderId="0" xfId="0" applyFont="1"/>
    <xf numFmtId="0" fontId="34" fillId="0" borderId="10" xfId="0" applyFont="1" applyBorder="1" applyAlignment="1">
      <alignment horizontal="left"/>
    </xf>
    <xf numFmtId="0" fontId="34" fillId="0" borderId="10" xfId="0" applyFont="1" applyBorder="1" applyAlignment="1">
      <alignment horizontal="left" vertical="center"/>
    </xf>
    <xf numFmtId="0" fontId="34" fillId="0" borderId="10" xfId="0" applyFont="1" applyBorder="1" applyAlignment="1">
      <alignment vertical="center"/>
    </xf>
    <xf numFmtId="0" fontId="34" fillId="0" borderId="0" xfId="0" applyFont="1" applyAlignment="1">
      <alignment vertical="center"/>
    </xf>
    <xf numFmtId="0" fontId="38" fillId="63" borderId="20" xfId="0" applyFont="1" applyFill="1" applyBorder="1" applyAlignment="1">
      <alignment horizontal="center" vertical="center" wrapText="1"/>
    </xf>
    <xf numFmtId="0" fontId="42" fillId="62" borderId="23" xfId="0" applyFont="1" applyFill="1" applyBorder="1" applyAlignment="1">
      <alignment horizontal="center" vertical="center"/>
    </xf>
    <xf numFmtId="0" fontId="42" fillId="62" borderId="13" xfId="0" applyFont="1" applyFill="1" applyBorder="1" applyAlignment="1">
      <alignment horizontal="center" vertical="center"/>
    </xf>
    <xf numFmtId="0" fontId="38" fillId="63" borderId="13" xfId="0" applyFont="1" applyFill="1" applyBorder="1" applyAlignment="1">
      <alignment horizontal="center" vertical="center" wrapText="1"/>
    </xf>
    <xf numFmtId="0" fontId="38" fillId="63" borderId="26" xfId="0" applyFont="1" applyFill="1" applyBorder="1" applyAlignment="1">
      <alignment horizontal="center" vertical="center" wrapText="1"/>
    </xf>
    <xf numFmtId="10" fontId="34" fillId="54" borderId="21" xfId="2" applyFont="1" applyFill="1" applyBorder="1" applyAlignment="1">
      <alignment horizontal="right" vertical="justify" wrapText="1"/>
    </xf>
    <xf numFmtId="0" fontId="69" fillId="61" borderId="33" xfId="0" applyFont="1" applyFill="1" applyBorder="1" applyAlignment="1">
      <alignment wrapText="1"/>
    </xf>
    <xf numFmtId="0" fontId="70" fillId="61" borderId="32" xfId="0" applyFont="1" applyFill="1" applyBorder="1" applyAlignment="1">
      <alignment wrapText="1"/>
    </xf>
    <xf numFmtId="0" fontId="34" fillId="54" borderId="21" xfId="78" applyFont="1" applyFill="1" applyBorder="1" applyAlignment="1">
      <alignment horizontal="right" vertical="center"/>
    </xf>
    <xf numFmtId="179" fontId="39" fillId="57" borderId="21" xfId="77" applyNumberFormat="1" applyFont="1" applyFill="1" applyBorder="1" applyAlignment="1">
      <alignment horizontal="right" vertical="justify"/>
    </xf>
    <xf numFmtId="179" fontId="34" fillId="54" borderId="21" xfId="77" applyNumberFormat="1" applyFont="1" applyFill="1" applyBorder="1" applyAlignment="1">
      <alignment horizontal="right" vertical="justify"/>
    </xf>
    <xf numFmtId="179" fontId="34" fillId="54" borderId="10" xfId="77" applyNumberFormat="1" applyFont="1" applyFill="1" applyBorder="1" applyAlignment="1">
      <alignment horizontal="right" vertical="justify" wrapText="1"/>
    </xf>
    <xf numFmtId="0" fontId="76" fillId="64" borderId="0" xfId="0" applyFont="1" applyFill="1"/>
    <xf numFmtId="0" fontId="0" fillId="65" borderId="0" xfId="0" applyFill="1"/>
    <xf numFmtId="0" fontId="77" fillId="0" borderId="0" xfId="0" applyFont="1"/>
    <xf numFmtId="171" fontId="0" fillId="65" borderId="0" xfId="0" applyNumberFormat="1" applyFill="1"/>
    <xf numFmtId="173" fontId="34" fillId="0" borderId="36" xfId="1" applyNumberFormat="1" applyFont="1" applyBorder="1" applyAlignment="1">
      <alignment horizontal="center"/>
    </xf>
    <xf numFmtId="173" fontId="34" fillId="0" borderId="21" xfId="0" applyNumberFormat="1" applyFont="1" applyBorder="1"/>
    <xf numFmtId="0" fontId="34" fillId="54" borderId="21" xfId="78" applyFont="1" applyFill="1" applyBorder="1" applyAlignment="1">
      <alignment horizontal="left" vertical="center" wrapText="1"/>
    </xf>
    <xf numFmtId="10" fontId="34" fillId="0" borderId="0" xfId="2" applyFont="1"/>
    <xf numFmtId="171" fontId="73" fillId="0" borderId="0" xfId="73" applyNumberFormat="1" applyFont="1"/>
    <xf numFmtId="175" fontId="45" fillId="0" borderId="19" xfId="2" applyNumberFormat="1" applyFont="1" applyBorder="1"/>
    <xf numFmtId="2" fontId="35" fillId="0" borderId="11" xfId="0" applyNumberFormat="1" applyFont="1" applyBorder="1"/>
    <xf numFmtId="9" fontId="39" fillId="0" borderId="0" xfId="0" applyNumberFormat="1" applyFont="1"/>
    <xf numFmtId="170" fontId="0" fillId="55" borderId="10" xfId="77" applyNumberFormat="1" applyFont="1" applyFill="1" applyBorder="1"/>
    <xf numFmtId="171" fontId="34" fillId="65" borderId="0" xfId="0" applyNumberFormat="1" applyFont="1" applyFill="1"/>
    <xf numFmtId="0" fontId="34" fillId="65" borderId="0" xfId="0" applyFont="1" applyFill="1"/>
    <xf numFmtId="22" fontId="74" fillId="0" borderId="0" xfId="0" applyNumberFormat="1" applyFont="1"/>
    <xf numFmtId="0" fontId="34" fillId="53" borderId="10" xfId="0" applyFont="1" applyFill="1" applyBorder="1" applyAlignment="1">
      <alignment horizontal="center" vertical="top" wrapText="1"/>
    </xf>
    <xf numFmtId="0" fontId="35" fillId="53" borderId="12" xfId="0" applyFont="1" applyFill="1" applyBorder="1"/>
    <xf numFmtId="0" fontId="38" fillId="66" borderId="20" xfId="0" applyFont="1" applyFill="1" applyBorder="1" applyAlignment="1">
      <alignment wrapText="1"/>
    </xf>
    <xf numFmtId="0" fontId="38" fillId="66" borderId="35" xfId="0" applyFont="1" applyFill="1" applyBorder="1" applyAlignment="1">
      <alignment horizontal="center" vertical="center" wrapText="1"/>
    </xf>
    <xf numFmtId="0" fontId="53" fillId="53" borderId="10" xfId="0" applyFont="1" applyFill="1" applyBorder="1" applyAlignment="1">
      <alignment horizontal="center" vertical="center" wrapText="1"/>
    </xf>
    <xf numFmtId="0" fontId="38" fillId="66" borderId="10" xfId="0" applyFont="1" applyFill="1" applyBorder="1" applyAlignment="1">
      <alignment vertical="center" wrapText="1"/>
    </xf>
    <xf numFmtId="0" fontId="42" fillId="53" borderId="10" xfId="0" applyFont="1" applyFill="1" applyBorder="1" applyAlignment="1">
      <alignment horizontal="center" vertical="center"/>
    </xf>
    <xf numFmtId="0" fontId="38" fillId="66" borderId="10" xfId="0" applyFont="1" applyFill="1" applyBorder="1" applyAlignment="1">
      <alignment horizontal="center" vertical="center" wrapText="1"/>
    </xf>
    <xf numFmtId="164" fontId="33" fillId="46" borderId="0" xfId="0" applyNumberFormat="1" applyFont="1" applyFill="1" applyAlignment="1">
      <alignment horizontal="left" vertical="top"/>
    </xf>
    <xf numFmtId="0" fontId="53" fillId="62" borderId="27" xfId="0" applyFont="1" applyFill="1" applyBorder="1" applyAlignment="1">
      <alignment horizontal="center"/>
    </xf>
    <xf numFmtId="0" fontId="53" fillId="62" borderId="28" xfId="0" applyFont="1" applyFill="1" applyBorder="1" applyAlignment="1">
      <alignment horizontal="center"/>
    </xf>
    <xf numFmtId="0" fontId="53" fillId="62" borderId="29" xfId="0" applyFont="1" applyFill="1" applyBorder="1" applyAlignment="1">
      <alignment horizontal="center"/>
    </xf>
    <xf numFmtId="0" fontId="39" fillId="0" borderId="24" xfId="0" applyFont="1" applyBorder="1" applyAlignment="1">
      <alignment horizontal="center" vertical="center" wrapText="1"/>
    </xf>
    <xf numFmtId="0" fontId="39" fillId="0" borderId="31"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6" xfId="0" applyFont="1" applyBorder="1" applyAlignment="1">
      <alignment horizontal="center" vertical="center" wrapText="1"/>
    </xf>
    <xf numFmtId="0" fontId="39" fillId="0" borderId="0" xfId="0" applyFont="1" applyAlignment="1">
      <alignment horizontal="center" vertical="center" wrapText="1"/>
    </xf>
    <xf numFmtId="0" fontId="39" fillId="0" borderId="30"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4" xfId="0" applyFont="1" applyBorder="1" applyAlignment="1">
      <alignment horizontal="center" vertical="center" wrapText="1"/>
    </xf>
    <xf numFmtId="0" fontId="39" fillId="63" borderId="10" xfId="0" applyFont="1" applyFill="1" applyBorder="1" applyAlignment="1">
      <alignment horizontal="left" vertical="center" wrapText="1"/>
    </xf>
    <xf numFmtId="0" fontId="34" fillId="54" borderId="10" xfId="78" applyFont="1" applyFill="1" applyBorder="1" applyAlignment="1">
      <alignment horizontal="left" vertical="center" wrapText="1"/>
    </xf>
    <xf numFmtId="0" fontId="39" fillId="57" borderId="10" xfId="0" applyFont="1" applyFill="1" applyBorder="1" applyAlignment="1">
      <alignment horizontal="center" vertical="center" wrapText="1"/>
    </xf>
    <xf numFmtId="9" fontId="34" fillId="54" borderId="10" xfId="58" applyFont="1" applyFill="1" applyBorder="1" applyAlignment="1">
      <alignment horizontal="center" vertical="center" wrapText="1"/>
    </xf>
    <xf numFmtId="0" fontId="34" fillId="54" borderId="21" xfId="78" applyFont="1" applyFill="1" applyBorder="1" applyAlignment="1">
      <alignment horizontal="left" vertical="center" wrapText="1"/>
    </xf>
    <xf numFmtId="0" fontId="39" fillId="57" borderId="16" xfId="0" applyFont="1" applyFill="1" applyBorder="1" applyAlignment="1">
      <alignment horizontal="center" vertical="center" wrapText="1"/>
    </xf>
    <xf numFmtId="0" fontId="39" fillId="57" borderId="23" xfId="0" applyFont="1" applyFill="1" applyBorder="1" applyAlignment="1">
      <alignment horizontal="center" vertical="center" wrapText="1"/>
    </xf>
    <xf numFmtId="0" fontId="39" fillId="57" borderId="13" xfId="0" applyFont="1" applyFill="1" applyBorder="1" applyAlignment="1">
      <alignment horizontal="center" vertical="center" wrapText="1"/>
    </xf>
    <xf numFmtId="9" fontId="34" fillId="54" borderId="16" xfId="58" applyFont="1" applyFill="1" applyBorder="1" applyAlignment="1">
      <alignment horizontal="center" vertical="center" wrapText="1"/>
    </xf>
    <xf numFmtId="9" fontId="34" fillId="54" borderId="23" xfId="58" applyFont="1" applyFill="1" applyBorder="1" applyAlignment="1">
      <alignment horizontal="center" vertical="center" wrapText="1"/>
    </xf>
    <xf numFmtId="9" fontId="34" fillId="54" borderId="13" xfId="58" applyFont="1" applyFill="1" applyBorder="1" applyAlignment="1">
      <alignment horizontal="center" vertical="center" wrapText="1"/>
    </xf>
    <xf numFmtId="0" fontId="54" fillId="56" borderId="0" xfId="0" applyFont="1" applyFill="1" applyAlignment="1">
      <alignment vertical="top"/>
    </xf>
    <xf numFmtId="0" fontId="39" fillId="57" borderId="11" xfId="0" applyFont="1" applyFill="1" applyBorder="1" applyAlignment="1">
      <alignment horizontal="center" vertical="center" wrapText="1"/>
    </xf>
    <xf numFmtId="9" fontId="34" fillId="54" borderId="11" xfId="58" applyFont="1" applyFill="1" applyBorder="1" applyAlignment="1">
      <alignment horizontal="center" vertical="center" wrapText="1"/>
    </xf>
    <xf numFmtId="0" fontId="34" fillId="54" borderId="20" xfId="78" applyFont="1" applyFill="1" applyBorder="1" applyAlignment="1">
      <alignment horizontal="left" vertical="center" wrapText="1"/>
    </xf>
    <xf numFmtId="0" fontId="43" fillId="46" borderId="0" xfId="0" applyFont="1" applyFill="1" applyAlignment="1">
      <alignment horizontal="left"/>
    </xf>
  </cellXfs>
  <cellStyles count="85">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mma 14 2" xfId="76" xr:uid="{35D331E5-412B-4F2F-A09D-0925054C96DB}"/>
    <cellStyle name="Comma 3" xfId="74" xr:uid="{3F207B9E-135B-40D9-8D9C-201D9900266B}"/>
    <cellStyle name="Comma 4 14 2" xfId="75" xr:uid="{AE8B98AC-F18B-4DFC-9383-ED91619DA954}"/>
    <cellStyle name="Counterflow" xfId="54" xr:uid="{00000000-0005-0000-0000-00001F000000}"/>
    <cellStyle name="Currency" xfId="77" builtinId="4"/>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2" xfId="72" xr:uid="{C52EDF34-5AE6-4A66-962D-33EABA86FD44}"/>
    <cellStyle name="Hyperlink 2 2" xfId="82" xr:uid="{AAD14792-AEB0-48ED-8457-84EFB6BECFE0}"/>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80" xr:uid="{CDC20119-F58F-40E0-9EE1-FD65F8A61962}"/>
    <cellStyle name="Normal 3" xfId="70" xr:uid="{00000000-0005-0000-0000-000035000000}"/>
    <cellStyle name="Normal 3 2" xfId="78" xr:uid="{285FF176-22C4-43D9-A0A7-C10CA2737306}"/>
    <cellStyle name="Normal 4" xfId="71" xr:uid="{165B61C7-AB00-4489-8D32-0A985A212656}"/>
    <cellStyle name="Normal 5" xfId="73" xr:uid="{6E76781F-B7A6-45B4-AD32-04E7F64C6EF0}"/>
    <cellStyle name="Normal 7 2" xfId="79" xr:uid="{25EB9870-8ECA-446E-BF75-25D2002E6096}"/>
    <cellStyle name="Normal 7 2 2" xfId="84" xr:uid="{7256E348-783B-45DC-9B25-77C6C419F63E}"/>
    <cellStyle name="Normal 8 2" xfId="83" xr:uid="{562A380C-66E3-44D5-BF8E-0C2F16CF1F55}"/>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cent" xfId="2" builtinId="5" customBuiltin="1"/>
    <cellStyle name="Percent [0]" xfId="58" xr:uid="{00000000-0005-0000-0000-000042000000}"/>
    <cellStyle name="Title" xfId="3" builtinId="15" hidden="1"/>
    <cellStyle name="Total" xfId="19" builtinId="25" hidden="1"/>
    <cellStyle name="Warning Text" xfId="16" builtinId="11" customBuiltin="1"/>
    <cellStyle name="WIP" xfId="53" xr:uid="{00000000-0005-0000-0000-000046000000}"/>
    <cellStyle name="Year" xfId="81" xr:uid="{5DCDB1EE-DA51-4B79-BA4E-D2E2670A1E6C}"/>
  </cellStyles>
  <dxfs count="39">
    <dxf>
      <fill>
        <patternFill>
          <bgColor theme="7" tint="0.79998168889431442"/>
        </patternFill>
      </fill>
    </dxf>
    <dxf>
      <fill>
        <patternFill>
          <bgColor theme="8" tint="0.79998168889431442"/>
        </patternFill>
      </fill>
    </dxf>
    <dxf>
      <font>
        <strike val="0"/>
        <outline val="0"/>
        <shadow val="0"/>
        <u val="none"/>
        <vertAlign val="baseline"/>
        <sz val="10"/>
        <name val="Calibri"/>
        <family val="2"/>
        <scheme val="none"/>
      </font>
      <numFmt numFmtId="170" formatCode="0.000"/>
      <border diagonalUp="0" diagonalDown="0" outline="0">
        <left style="thin">
          <color indexed="64"/>
        </left>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family val="2"/>
        <scheme val="none"/>
      </font>
      <numFmt numFmtId="170" formatCode="0.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Calibri"/>
        <family val="2"/>
        <scheme val="none"/>
      </font>
      <fill>
        <patternFill patternType="none">
          <fgColor indexed="64"/>
          <bgColor auto="1"/>
        </patternFill>
      </fill>
      <border diagonalUp="0" diagonalDown="0" outline="0">
        <left/>
        <right/>
        <top/>
        <bottom style="thin">
          <color indexed="64"/>
        </bottom>
      </border>
    </dxf>
    <dxf>
      <border outline="0">
        <bottom style="thin">
          <color indexed="64"/>
        </bottom>
      </border>
    </dxf>
    <dxf>
      <border outline="0">
        <right style="thin">
          <color indexed="64"/>
        </right>
        <bottom style="thin">
          <color indexed="64"/>
        </bottom>
      </border>
    </dxf>
    <dxf>
      <font>
        <strike val="0"/>
        <outline val="0"/>
        <shadow val="0"/>
        <u val="none"/>
        <vertAlign val="baseline"/>
        <sz val="10"/>
        <name val="Calibri"/>
        <family val="2"/>
        <scheme val="none"/>
      </font>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numFmt numFmtId="0" formatCode="General"/>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border outline="0">
        <bottom style="thin">
          <color indexed="64"/>
        </bottom>
      </border>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0"/>
        <color auto="1"/>
        <name val="Calibri"/>
        <family val="2"/>
        <scheme val="none"/>
      </font>
      <fill>
        <patternFill patternType="solid">
          <fgColor indexed="64"/>
          <bgColor theme="0" tint="-0.14999847407452621"/>
        </patternFill>
      </fill>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Krub"/>
        <family val="2"/>
        <scheme val="minor"/>
      </font>
      <fill>
        <patternFill patternType="none">
          <fgColor indexed="64"/>
          <bgColor indexed="65"/>
        </patternFill>
      </fill>
      <alignment wrapText="1"/>
    </dxf>
    <dxf>
      <font>
        <b val="0"/>
        <i val="0"/>
        <strike val="0"/>
        <condense val="0"/>
        <extend val="0"/>
        <outline val="0"/>
        <shadow val="0"/>
        <u val="none"/>
        <vertAlign val="baseline"/>
        <sz val="10"/>
        <color auto="1"/>
        <name val="Krub"/>
        <scheme val="minor"/>
      </font>
      <fill>
        <patternFill patternType="solid">
          <fgColor rgb="FF84C8FF"/>
          <bgColor rgb="FF84C8FF"/>
        </patternFill>
      </fill>
      <border diagonalUp="0" diagonalDown="0">
        <left/>
        <right style="thin">
          <color rgb="FFFFFFFF"/>
        </right>
        <top style="thin">
          <color rgb="FFFFFFFF"/>
        </top>
        <bottom style="thin">
          <color rgb="FFFFFFFF"/>
        </bottom>
        <vertical/>
        <horizontal/>
      </border>
    </dxf>
    <dxf>
      <font>
        <b val="0"/>
        <i val="0"/>
        <strike val="0"/>
        <condense val="0"/>
        <extend val="0"/>
        <outline val="0"/>
        <shadow val="0"/>
        <u val="none"/>
        <vertAlign val="baseline"/>
        <sz val="10"/>
        <color theme="0"/>
        <name val="Krub"/>
        <family val="2"/>
        <scheme val="minor"/>
      </font>
      <fill>
        <patternFill patternType="none">
          <fgColor indexed="64"/>
          <bgColor indexed="65"/>
        </patternFill>
      </fill>
    </dxf>
  </dxfs>
  <tableStyles count="0" defaultTableStyle="TableStyleMedium2" defaultPivotStyle="PivotStyleLight16"/>
  <colors>
    <mruColors>
      <color rgb="FFFFDB8E"/>
      <color rgb="FFCCCCCE"/>
      <color rgb="FFD9D9D9"/>
      <color rgb="FF98C561"/>
      <color rgb="FF84CEFD"/>
      <color rgb="FFCCCCFF"/>
      <color rgb="FF84CEFF"/>
      <color rgb="FFB97BB4"/>
      <color rgb="FF57A1DF"/>
      <color rgb="FFF0F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Chemical Investigations TOTEX</a:t>
            </a:r>
            <a:r>
              <a:rPr lang="en-GB" baseline="0"/>
              <a:t>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stacked"/>
        <c:varyColors val="0"/>
        <c:ser>
          <c:idx val="0"/>
          <c:order val="0"/>
          <c:spPr>
            <a:solidFill>
              <a:schemeClr val="accent1"/>
            </a:solidFill>
            <a:ln>
              <a:noFill/>
            </a:ln>
            <a:effectLst/>
          </c:spPr>
          <c:invertIfNegative val="0"/>
          <c:cat>
            <c:strRef>
              <c:f>'Materiality &amp; shallow dive'!$B$6:$B$16</c:f>
              <c:strCache>
                <c:ptCount val="11"/>
                <c:pt idx="0">
                  <c:v>ANH</c:v>
                </c:pt>
                <c:pt idx="1">
                  <c:v>WSH</c:v>
                </c:pt>
                <c:pt idx="2">
                  <c:v>HDD</c:v>
                </c:pt>
                <c:pt idx="3">
                  <c:v>NES</c:v>
                </c:pt>
                <c:pt idx="4">
                  <c:v>NWT</c:v>
                </c:pt>
                <c:pt idx="5">
                  <c:v>SRN</c:v>
                </c:pt>
                <c:pt idx="6">
                  <c:v>SVE</c:v>
                </c:pt>
                <c:pt idx="7">
                  <c:v>SWB</c:v>
                </c:pt>
                <c:pt idx="8">
                  <c:v>TMS</c:v>
                </c:pt>
                <c:pt idx="9">
                  <c:v>WSX</c:v>
                </c:pt>
                <c:pt idx="10">
                  <c:v>YKY</c:v>
                </c:pt>
              </c:strCache>
            </c:strRef>
          </c:cat>
          <c:val>
            <c:numRef>
              <c:f>'Materiality &amp; shallow dive'!$E$6:$E$16</c:f>
              <c:numCache>
                <c:formatCode>0.000</c:formatCode>
                <c:ptCount val="11"/>
                <c:pt idx="0">
                  <c:v>25.616999999999997</c:v>
                </c:pt>
                <c:pt idx="1">
                  <c:v>2.7519999999999998</c:v>
                </c:pt>
                <c:pt idx="2">
                  <c:v>0</c:v>
                </c:pt>
                <c:pt idx="3">
                  <c:v>5.2639999999999993</c:v>
                </c:pt>
                <c:pt idx="4">
                  <c:v>8.3795515389849449</c:v>
                </c:pt>
                <c:pt idx="5">
                  <c:v>2.2390000000000003</c:v>
                </c:pt>
                <c:pt idx="6">
                  <c:v>5.7906882190384223</c:v>
                </c:pt>
                <c:pt idx="7">
                  <c:v>2.1859999999999999</c:v>
                </c:pt>
                <c:pt idx="8">
                  <c:v>7.3220000000000001</c:v>
                </c:pt>
                <c:pt idx="9">
                  <c:v>9.9811540000000001</c:v>
                </c:pt>
                <c:pt idx="10">
                  <c:v>5.5708608000000011</c:v>
                </c:pt>
              </c:numCache>
            </c:numRef>
          </c:val>
          <c:extLst>
            <c:ext xmlns:c16="http://schemas.microsoft.com/office/drawing/2014/chart" uri="{C3380CC4-5D6E-409C-BE32-E72D297353CC}">
              <c16:uniqueId val="{00000000-C708-4789-A64D-765F37752B31}"/>
            </c:ext>
          </c:extLst>
        </c:ser>
        <c:dLbls>
          <c:showLegendKey val="0"/>
          <c:showVal val="0"/>
          <c:showCatName val="0"/>
          <c:showSerName val="0"/>
          <c:showPercent val="0"/>
          <c:showBubbleSize val="0"/>
        </c:dLbls>
        <c:gapWidth val="219"/>
        <c:overlap val="100"/>
        <c:axId val="1543510095"/>
        <c:axId val="1253277231"/>
      </c:barChart>
      <c:catAx>
        <c:axId val="1543510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3277231"/>
        <c:crosses val="autoZero"/>
        <c:auto val="1"/>
        <c:lblAlgn val="ctr"/>
        <c:lblOffset val="100"/>
        <c:noMultiLvlLbl val="0"/>
      </c:catAx>
      <c:valAx>
        <c:axId val="1253277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3510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Materiality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spPr>
            <a:solidFill>
              <a:schemeClr val="accent3">
                <a:shade val="76000"/>
              </a:schemeClr>
            </a:solidFill>
            <a:ln>
              <a:noFill/>
            </a:ln>
            <a:effectLst/>
          </c:spPr>
          <c:invertIfNegative val="0"/>
          <c:cat>
            <c:strRef>
              <c:f>'Materiality &amp; shallow dive'!$B$6:$B$16</c:f>
              <c:strCache>
                <c:ptCount val="11"/>
                <c:pt idx="0">
                  <c:v>ANH</c:v>
                </c:pt>
                <c:pt idx="1">
                  <c:v>WSH</c:v>
                </c:pt>
                <c:pt idx="2">
                  <c:v>HDD</c:v>
                </c:pt>
                <c:pt idx="3">
                  <c:v>NES</c:v>
                </c:pt>
                <c:pt idx="4">
                  <c:v>NWT</c:v>
                </c:pt>
                <c:pt idx="5">
                  <c:v>SRN</c:v>
                </c:pt>
                <c:pt idx="6">
                  <c:v>SVE</c:v>
                </c:pt>
                <c:pt idx="7">
                  <c:v>SWB</c:v>
                </c:pt>
                <c:pt idx="8">
                  <c:v>TMS</c:v>
                </c:pt>
                <c:pt idx="9">
                  <c:v>WSX</c:v>
                </c:pt>
                <c:pt idx="10">
                  <c:v>YKY</c:v>
                </c:pt>
              </c:strCache>
            </c:strRef>
          </c:cat>
          <c:val>
            <c:numRef>
              <c:f>'Materiality &amp; shallow dive'!$E$6:$E$16</c:f>
              <c:numCache>
                <c:formatCode>0.000</c:formatCode>
                <c:ptCount val="11"/>
                <c:pt idx="0">
                  <c:v>25.616999999999997</c:v>
                </c:pt>
                <c:pt idx="1">
                  <c:v>2.7519999999999998</c:v>
                </c:pt>
                <c:pt idx="2">
                  <c:v>0</c:v>
                </c:pt>
                <c:pt idx="3">
                  <c:v>5.2639999999999993</c:v>
                </c:pt>
                <c:pt idx="4">
                  <c:v>8.3795515389849449</c:v>
                </c:pt>
                <c:pt idx="5">
                  <c:v>2.2390000000000003</c:v>
                </c:pt>
                <c:pt idx="6">
                  <c:v>5.7906882190384223</c:v>
                </c:pt>
                <c:pt idx="7">
                  <c:v>2.1859999999999999</c:v>
                </c:pt>
                <c:pt idx="8">
                  <c:v>7.3220000000000001</c:v>
                </c:pt>
                <c:pt idx="9">
                  <c:v>9.9811540000000001</c:v>
                </c:pt>
                <c:pt idx="10">
                  <c:v>5.5708608000000011</c:v>
                </c:pt>
              </c:numCache>
            </c:numRef>
          </c:val>
          <c:extLst>
            <c:ext xmlns:c16="http://schemas.microsoft.com/office/drawing/2014/chart" uri="{C3380CC4-5D6E-409C-BE32-E72D297353CC}">
              <c16:uniqueId val="{00000000-B1B3-493F-8B16-6F46AC4752D9}"/>
            </c:ext>
          </c:extLst>
        </c:ser>
        <c:ser>
          <c:idx val="1"/>
          <c:order val="1"/>
          <c:spPr>
            <a:solidFill>
              <a:schemeClr val="accent3">
                <a:tint val="77000"/>
              </a:schemeClr>
            </a:solidFill>
            <a:ln>
              <a:noFill/>
            </a:ln>
            <a:effectLst/>
          </c:spPr>
          <c:invertIfNegative val="0"/>
          <c:cat>
            <c:strRef>
              <c:f>'Materiality &amp; shallow dive'!$B$6:$B$16</c:f>
              <c:strCache>
                <c:ptCount val="11"/>
                <c:pt idx="0">
                  <c:v>ANH</c:v>
                </c:pt>
                <c:pt idx="1">
                  <c:v>WSH</c:v>
                </c:pt>
                <c:pt idx="2">
                  <c:v>HDD</c:v>
                </c:pt>
                <c:pt idx="3">
                  <c:v>NES</c:v>
                </c:pt>
                <c:pt idx="4">
                  <c:v>NWT</c:v>
                </c:pt>
                <c:pt idx="5">
                  <c:v>SRN</c:v>
                </c:pt>
                <c:pt idx="6">
                  <c:v>SVE</c:v>
                </c:pt>
                <c:pt idx="7">
                  <c:v>SWB</c:v>
                </c:pt>
                <c:pt idx="8">
                  <c:v>TMS</c:v>
                </c:pt>
                <c:pt idx="9">
                  <c:v>WSX</c:v>
                </c:pt>
                <c:pt idx="10">
                  <c:v>YKY</c:v>
                </c:pt>
              </c:strCache>
            </c:strRef>
          </c:cat>
          <c:val>
            <c:numRef>
              <c:f>'Materiality &amp; shallow dive'!$C$6:$C$16</c:f>
              <c:numCache>
                <c:formatCode>0.0</c:formatCode>
                <c:ptCount val="11"/>
                <c:pt idx="0">
                  <c:v>6050.1791019508782</c:v>
                </c:pt>
                <c:pt idx="1">
                  <c:v>3318.1690000000003</c:v>
                </c:pt>
                <c:pt idx="2">
                  <c:v>61.302812018456414</c:v>
                </c:pt>
                <c:pt idx="3">
                  <c:v>3207.9274023759344</c:v>
                </c:pt>
                <c:pt idx="4">
                  <c:v>8993.1795747355063</c:v>
                </c:pt>
                <c:pt idx="5">
                  <c:v>5114.195692241</c:v>
                </c:pt>
                <c:pt idx="6">
                  <c:v>8618.71199666149</c:v>
                </c:pt>
                <c:pt idx="7">
                  <c:v>2220.3792602351086</c:v>
                </c:pt>
                <c:pt idx="8">
                  <c:v>12775.473797822482</c:v>
                </c:pt>
                <c:pt idx="9">
                  <c:v>3717.8809591462623</c:v>
                </c:pt>
                <c:pt idx="10">
                  <c:v>4605.5684455095561</c:v>
                </c:pt>
              </c:numCache>
            </c:numRef>
          </c:val>
          <c:extLst>
            <c:ext xmlns:c16="http://schemas.microsoft.com/office/drawing/2014/chart" uri="{C3380CC4-5D6E-409C-BE32-E72D297353CC}">
              <c16:uniqueId val="{00000001-B1B3-493F-8B16-6F46AC4752D9}"/>
            </c:ext>
          </c:extLst>
        </c:ser>
        <c:dLbls>
          <c:showLegendKey val="0"/>
          <c:showVal val="0"/>
          <c:showCatName val="0"/>
          <c:showSerName val="0"/>
          <c:showPercent val="0"/>
          <c:showBubbleSize val="0"/>
        </c:dLbls>
        <c:gapWidth val="150"/>
        <c:overlap val="100"/>
        <c:axId val="1728837055"/>
        <c:axId val="1728841855"/>
      </c:barChart>
      <c:catAx>
        <c:axId val="1728837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8841855"/>
        <c:crosses val="autoZero"/>
        <c:auto val="1"/>
        <c:lblAlgn val="ctr"/>
        <c:lblOffset val="100"/>
        <c:noMultiLvlLbl val="0"/>
      </c:catAx>
      <c:valAx>
        <c:axId val="1728841855"/>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8837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Linear regression - Outliers</a:t>
            </a:r>
            <a:r>
              <a:rPr lang="en-US" baseline="0"/>
              <a:t> removed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'Modelled costs'!$M$4</c:f>
              <c:strCache>
                <c:ptCount val="1"/>
                <c:pt idx="0">
                  <c:v>Totex requested in business plan after reallocations and adjustments (£m)</c:v>
                </c:pt>
              </c:strCache>
            </c:strRef>
          </c:tx>
          <c:spPr>
            <a:ln w="25400" cap="rnd">
              <a:noFill/>
              <a:round/>
            </a:ln>
            <a:effectLst/>
          </c:spPr>
          <c:marker>
            <c:symbol val="circle"/>
            <c:size val="5"/>
            <c:spPr>
              <a:solidFill>
                <a:schemeClr val="accent1"/>
              </a:solidFill>
              <a:ln w="9525">
                <a:solidFill>
                  <a:schemeClr val="accent1"/>
                </a:solidFill>
              </a:ln>
              <a:effectLst/>
            </c:spPr>
          </c:marker>
          <c:dLbls>
            <c:delete val="1"/>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433300512700538"/>
                  <c:y val="0.3253949288056181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costs'!$L$6,'Modelled costs'!$L$8:$L$15)</c:f>
              <c:numCache>
                <c:formatCode>0.00</c:formatCode>
                <c:ptCount val="9"/>
                <c:pt idx="0">
                  <c:v>3946.3209999999999</c:v>
                </c:pt>
                <c:pt idx="1">
                  <c:v>2832.5329999999999</c:v>
                </c:pt>
                <c:pt idx="2">
                  <c:v>8857.8136265519515</c:v>
                </c:pt>
                <c:pt idx="3">
                  <c:v>4975.1540000000005</c:v>
                </c:pt>
                <c:pt idx="4">
                  <c:v>10610.32</c:v>
                </c:pt>
                <c:pt idx="5">
                  <c:v>1743.2239999999999</c:v>
                </c:pt>
                <c:pt idx="6">
                  <c:v>15428.745999999999</c:v>
                </c:pt>
                <c:pt idx="7">
                  <c:v>3587.0859999999998</c:v>
                </c:pt>
                <c:pt idx="8">
                  <c:v>5966.8530000000001</c:v>
                </c:pt>
              </c:numCache>
            </c:numRef>
          </c:xVal>
          <c:yVal>
            <c:numRef>
              <c:f>('Modelled costs'!$M$6,'Modelled costs'!$M$8:$M$15)</c:f>
              <c:numCache>
                <c:formatCode>0.00</c:formatCode>
                <c:ptCount val="9"/>
                <c:pt idx="0">
                  <c:v>2.7519999999999998</c:v>
                </c:pt>
                <c:pt idx="1">
                  <c:v>5.2639999999999993</c:v>
                </c:pt>
                <c:pt idx="2">
                  <c:v>8.3795515389849449</c:v>
                </c:pt>
                <c:pt idx="3">
                  <c:v>2.2390000000000003</c:v>
                </c:pt>
                <c:pt idx="4">
                  <c:v>5.7906882190384223</c:v>
                </c:pt>
                <c:pt idx="5">
                  <c:v>2.1859999999999999</c:v>
                </c:pt>
                <c:pt idx="6">
                  <c:v>7.3220000000000001</c:v>
                </c:pt>
                <c:pt idx="7">
                  <c:v>9.9811540000000001</c:v>
                </c:pt>
                <c:pt idx="8">
                  <c:v>5.5708608000000011</c:v>
                </c:pt>
              </c:numCache>
            </c:numRef>
          </c:yVal>
          <c:smooth val="0"/>
          <c:extLst>
            <c:ext xmlns:c16="http://schemas.microsoft.com/office/drawing/2014/chart" uri="{C3380CC4-5D6E-409C-BE32-E72D297353CC}">
              <c16:uniqueId val="{00000001-A0B9-4BD2-BA74-FD391AE24EE0}"/>
            </c:ext>
          </c:extLst>
        </c:ser>
        <c:dLbls>
          <c:dLblPos val="t"/>
          <c:showLegendKey val="0"/>
          <c:showVal val="1"/>
          <c:showCatName val="0"/>
          <c:showSerName val="0"/>
          <c:showPercent val="0"/>
          <c:showBubbleSize val="0"/>
        </c:dLbls>
        <c:axId val="309035223"/>
        <c:axId val="309034231"/>
      </c:scatterChart>
      <c:valAx>
        <c:axId val="30903522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034231"/>
        <c:crosses val="autoZero"/>
        <c:crossBetween val="midCat"/>
      </c:valAx>
      <c:valAx>
        <c:axId val="309034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035223"/>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Ln linear regression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'Modelled costs'!$W$4</c:f>
              <c:strCache>
                <c:ptCount val="1"/>
                <c:pt idx="0">
                  <c:v>Ln Totex</c:v>
                </c:pt>
              </c:strCache>
            </c:strRef>
          </c:tx>
          <c:spPr>
            <a:ln w="28575" cap="rnd">
              <a:no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1"/>
            <c:trendlineLbl>
              <c:layout>
                <c:manualLayout>
                  <c:x val="-0.45736627202791563"/>
                  <c:y val="-9.040084905798777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costs'!$V$5:$V$15</c:f>
              <c:numCache>
                <c:formatCode>0.00</c:formatCode>
                <c:ptCount val="11"/>
                <c:pt idx="1">
                  <c:v>8.2805390314746852</c:v>
                </c:pt>
                <c:pt idx="2">
                  <c:v>0</c:v>
                </c:pt>
                <c:pt idx="3">
                  <c:v>7.9489266433197319</c:v>
                </c:pt>
                <c:pt idx="4">
                  <c:v>9.0890552441344497</c:v>
                </c:pt>
                <c:pt idx="5">
                  <c:v>8.512211603887474</c:v>
                </c:pt>
                <c:pt idx="6">
                  <c:v>9.2695823913794193</c:v>
                </c:pt>
                <c:pt idx="7">
                  <c:v>7.4634915513190219</c:v>
                </c:pt>
                <c:pt idx="8">
                  <c:v>9.6439876718018454</c:v>
                </c:pt>
                <c:pt idx="9">
                  <c:v>8.18509545271184</c:v>
                </c:pt>
                <c:pt idx="10">
                  <c:v>8.6939749317233996</c:v>
                </c:pt>
              </c:numCache>
            </c:numRef>
          </c:xVal>
          <c:yVal>
            <c:numRef>
              <c:f>'Modelled costs'!$W$5:$W$15</c:f>
              <c:numCache>
                <c:formatCode>0.00</c:formatCode>
                <c:ptCount val="11"/>
                <c:pt idx="1">
                  <c:v>1.0123279200710971</c:v>
                </c:pt>
                <c:pt idx="3">
                  <c:v>1.660891194023016</c:v>
                </c:pt>
                <c:pt idx="4">
                  <c:v>2.125794397427724</c:v>
                </c:pt>
                <c:pt idx="5">
                  <c:v>0.80602933761661788</c:v>
                </c:pt>
                <c:pt idx="6">
                  <c:v>1.7562511479129934</c:v>
                </c:pt>
                <c:pt idx="7">
                  <c:v>0.78207338975434681</c:v>
                </c:pt>
                <c:pt idx="8">
                  <c:v>1.9908835146980444</c:v>
                </c:pt>
                <c:pt idx="9">
                  <c:v>2.3006987149011184</c:v>
                </c:pt>
                <c:pt idx="10">
                  <c:v>1.717549584189084</c:v>
                </c:pt>
              </c:numCache>
            </c:numRef>
          </c:yVal>
          <c:smooth val="0"/>
          <c:extLst>
            <c:ext xmlns:c16="http://schemas.microsoft.com/office/drawing/2014/chart" uri="{C3380CC4-5D6E-409C-BE32-E72D297353CC}">
              <c16:uniqueId val="{00000000-E30B-4A50-9620-FBBA0A10E21B}"/>
            </c:ext>
          </c:extLst>
        </c:ser>
        <c:dLbls>
          <c:dLblPos val="t"/>
          <c:showLegendKey val="0"/>
          <c:showVal val="1"/>
          <c:showCatName val="0"/>
          <c:showSerName val="0"/>
          <c:showPercent val="0"/>
          <c:showBubbleSize val="0"/>
        </c:dLbls>
        <c:axId val="945836560"/>
        <c:axId val="312388208"/>
      </c:scatterChart>
      <c:valAx>
        <c:axId val="94583656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2388208"/>
        <c:crosses val="autoZero"/>
        <c:crossBetween val="midCat"/>
      </c:valAx>
      <c:valAx>
        <c:axId val="3123882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83656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Linear regression - Outliers</a:t>
            </a:r>
            <a:r>
              <a:rPr lang="en-US" baseline="0"/>
              <a:t> included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'Modelled costs'!$M$4</c:f>
              <c:strCache>
                <c:ptCount val="1"/>
                <c:pt idx="0">
                  <c:v>Totex requested in business plan after reallocations and adjustments (£m)</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0EB7CA51-597E-414C-BC41-C0E43634E1DF}"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75A-40B6-8037-FDDED317ED3F}"/>
                </c:ext>
              </c:extLst>
            </c:dLbl>
            <c:dLbl>
              <c:idx val="1"/>
              <c:tx>
                <c:rich>
                  <a:bodyPr/>
                  <a:lstStyle/>
                  <a:p>
                    <a:fld id="{425E9CED-5403-4269-8204-5043F6EC38B8}"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75A-40B6-8037-FDDED317ED3F}"/>
                </c:ext>
              </c:extLst>
            </c:dLbl>
            <c:dLbl>
              <c:idx val="2"/>
              <c:tx>
                <c:rich>
                  <a:bodyPr/>
                  <a:lstStyle/>
                  <a:p>
                    <a:fld id="{673CD7F9-728A-4207-AF87-3E582E9F88DE}"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75A-40B6-8037-FDDED317ED3F}"/>
                </c:ext>
              </c:extLst>
            </c:dLbl>
            <c:dLbl>
              <c:idx val="3"/>
              <c:tx>
                <c:rich>
                  <a:bodyPr/>
                  <a:lstStyle/>
                  <a:p>
                    <a:fld id="{62B6CBDA-386B-47D2-BB2D-4B0BA20F2010}"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75A-40B6-8037-FDDED317ED3F}"/>
                </c:ext>
              </c:extLst>
            </c:dLbl>
            <c:dLbl>
              <c:idx val="4"/>
              <c:tx>
                <c:rich>
                  <a:bodyPr/>
                  <a:lstStyle/>
                  <a:p>
                    <a:fld id="{5C4A80F4-6025-4D26-975D-4125772480A2}"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75A-40B6-8037-FDDED317ED3F}"/>
                </c:ext>
              </c:extLst>
            </c:dLbl>
            <c:dLbl>
              <c:idx val="5"/>
              <c:tx>
                <c:rich>
                  <a:bodyPr/>
                  <a:lstStyle/>
                  <a:p>
                    <a:fld id="{B5CF2CAC-496C-454B-B025-AA2527F7FDE2}"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75A-40B6-8037-FDDED317ED3F}"/>
                </c:ext>
              </c:extLst>
            </c:dLbl>
            <c:dLbl>
              <c:idx val="6"/>
              <c:tx>
                <c:rich>
                  <a:bodyPr/>
                  <a:lstStyle/>
                  <a:p>
                    <a:fld id="{F3BD1D4A-9CAA-4E82-9705-3A54961B3DC1}"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75A-40B6-8037-FDDED317ED3F}"/>
                </c:ext>
              </c:extLst>
            </c:dLbl>
            <c:dLbl>
              <c:idx val="7"/>
              <c:tx>
                <c:rich>
                  <a:bodyPr/>
                  <a:lstStyle/>
                  <a:p>
                    <a:fld id="{DE88B518-54CD-4413-BFC3-D34706941338}"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375A-40B6-8037-FDDED317ED3F}"/>
                </c:ext>
              </c:extLst>
            </c:dLbl>
            <c:dLbl>
              <c:idx val="8"/>
              <c:tx>
                <c:rich>
                  <a:bodyPr/>
                  <a:lstStyle/>
                  <a:p>
                    <a:fld id="{A25A89F9-5F6E-4802-9470-D533C0C295C8}"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75A-40B6-8037-FDDED317ED3F}"/>
                </c:ext>
              </c:extLst>
            </c:dLbl>
            <c:dLbl>
              <c:idx val="9"/>
              <c:tx>
                <c:rich>
                  <a:bodyPr/>
                  <a:lstStyle/>
                  <a:p>
                    <a:fld id="{B5783B6B-45DC-4379-BF29-2F2F02906F06}" type="CELLRANGE">
                      <a:rPr lang="en-US"/>
                      <a:pPr/>
                      <a:t>[]</a:t>
                    </a:fld>
                    <a:endParaRPr/>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75A-40B6-8037-FDDED317ED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9.5294345091828547E-2"/>
                  <c:y val="-0.1322970979567395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costs'!$L$5:$L$6,'Modelled costs'!$L$8:$L$15)</c:f>
              <c:numCache>
                <c:formatCode>0.00</c:formatCode>
                <c:ptCount val="10"/>
                <c:pt idx="0">
                  <c:v>7392.8429999999998</c:v>
                </c:pt>
                <c:pt idx="1">
                  <c:v>3946.3209999999999</c:v>
                </c:pt>
                <c:pt idx="2">
                  <c:v>2832.5329999999999</c:v>
                </c:pt>
                <c:pt idx="3">
                  <c:v>8857.8136265519515</c:v>
                </c:pt>
                <c:pt idx="4">
                  <c:v>4975.1540000000005</c:v>
                </c:pt>
                <c:pt idx="5">
                  <c:v>10610.32</c:v>
                </c:pt>
                <c:pt idx="6">
                  <c:v>1743.2239999999999</c:v>
                </c:pt>
                <c:pt idx="7">
                  <c:v>15428.745999999999</c:v>
                </c:pt>
                <c:pt idx="8">
                  <c:v>3587.0859999999998</c:v>
                </c:pt>
                <c:pt idx="9">
                  <c:v>5966.8530000000001</c:v>
                </c:pt>
              </c:numCache>
            </c:numRef>
          </c:xVal>
          <c:yVal>
            <c:numRef>
              <c:f>('Modelled costs'!$M$5:$M$6,'Modelled costs'!$M$8:$M$15)</c:f>
              <c:numCache>
                <c:formatCode>0.00</c:formatCode>
                <c:ptCount val="10"/>
                <c:pt idx="0">
                  <c:v>25.616999999999997</c:v>
                </c:pt>
                <c:pt idx="1">
                  <c:v>2.7519999999999998</c:v>
                </c:pt>
                <c:pt idx="2">
                  <c:v>5.2639999999999993</c:v>
                </c:pt>
                <c:pt idx="3">
                  <c:v>8.3795515389849449</c:v>
                </c:pt>
                <c:pt idx="4">
                  <c:v>2.2390000000000003</c:v>
                </c:pt>
                <c:pt idx="5">
                  <c:v>5.7906882190384223</c:v>
                </c:pt>
                <c:pt idx="6">
                  <c:v>2.1859999999999999</c:v>
                </c:pt>
                <c:pt idx="7">
                  <c:v>7.3220000000000001</c:v>
                </c:pt>
                <c:pt idx="8">
                  <c:v>9.9811540000000001</c:v>
                </c:pt>
                <c:pt idx="9">
                  <c:v>5.5708608000000011</c:v>
                </c:pt>
              </c:numCache>
            </c:numRef>
          </c:yVal>
          <c:smooth val="0"/>
          <c:extLst>
            <c:ext xmlns:c15="http://schemas.microsoft.com/office/drawing/2012/chart" uri="{02D57815-91ED-43cb-92C2-25804820EDAC}">
              <c15:datalabelsRange>
                <c15:f>'Modelled costs'!$A$5:$A$15</c15:f>
                <c15:dlblRangeCache>
                  <c:ptCount val="11"/>
                  <c:pt idx="0">
                    <c:v>ANH</c:v>
                  </c:pt>
                  <c:pt idx="1">
                    <c:v>WSH</c:v>
                  </c:pt>
                  <c:pt idx="2">
                    <c:v>HDD</c:v>
                  </c:pt>
                  <c:pt idx="3">
                    <c:v>NES</c:v>
                  </c:pt>
                  <c:pt idx="4">
                    <c:v>NWT</c:v>
                  </c:pt>
                  <c:pt idx="5">
                    <c:v>SRN</c:v>
                  </c:pt>
                  <c:pt idx="6">
                    <c:v>SVE</c:v>
                  </c:pt>
                  <c:pt idx="7">
                    <c:v>SWB</c:v>
                  </c:pt>
                  <c:pt idx="8">
                    <c:v>TMS</c:v>
                  </c:pt>
                  <c:pt idx="9">
                    <c:v>WSX</c:v>
                  </c:pt>
                  <c:pt idx="10">
                    <c:v>YKY</c:v>
                  </c:pt>
                </c15:dlblRangeCache>
              </c15:datalabelsRange>
            </c:ext>
            <c:ext xmlns:c16="http://schemas.microsoft.com/office/drawing/2014/chart" uri="{C3380CC4-5D6E-409C-BE32-E72D297353CC}">
              <c16:uniqueId val="{00000004-2F3F-4DB4-89FB-991DEB8B6914}"/>
            </c:ext>
          </c:extLst>
        </c:ser>
        <c:dLbls>
          <c:dLblPos val="t"/>
          <c:showLegendKey val="0"/>
          <c:showVal val="1"/>
          <c:showCatName val="0"/>
          <c:showSerName val="0"/>
          <c:showPercent val="0"/>
          <c:showBubbleSize val="0"/>
        </c:dLbls>
        <c:axId val="309035223"/>
        <c:axId val="309034231"/>
      </c:scatterChart>
      <c:valAx>
        <c:axId val="30903522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034231"/>
        <c:crosses val="autoZero"/>
        <c:crossBetween val="midCat"/>
      </c:valAx>
      <c:valAx>
        <c:axId val="309034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9035223"/>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0</xdr:rowOff>
    </xdr:from>
    <xdr:to>
      <xdr:col>3</xdr:col>
      <xdr:colOff>380184</xdr:colOff>
      <xdr:row>28</xdr:row>
      <xdr:rowOff>0</xdr:rowOff>
    </xdr:to>
    <xdr:sp macro="" textlink="">
      <xdr:nvSpPr>
        <xdr:cNvPr id="2" name="TextBox 1">
          <a:extLst>
            <a:ext uri="{FF2B5EF4-FFF2-40B4-BE49-F238E27FC236}">
              <a16:creationId xmlns:a16="http://schemas.microsoft.com/office/drawing/2014/main" id="{560680E1-43D6-4295-8F32-D17052EB4681}"/>
            </a:ext>
          </a:extLst>
        </xdr:cNvPr>
        <xdr:cNvSpPr txBox="1"/>
      </xdr:nvSpPr>
      <xdr:spPr>
        <a:xfrm>
          <a:off x="581025" y="2867025"/>
          <a:ext cx="9905184" cy="2554061"/>
        </a:xfrm>
        <a:prstGeom prst="rect">
          <a:avLst/>
        </a:prstGeom>
        <a:solidFill>
          <a:schemeClr val="bg1"/>
        </a:solidFill>
        <a:ln>
          <a:noFill/>
        </a:ln>
      </xdr:spPr>
      <xdr:txBody>
        <a:bodyPr lIns="27432" tIns="22860" rIns="0" bIns="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1">
              <a:latin typeface="Krub SemiBold" panose="00000700000000000000" pitchFamily="2" charset="-34"/>
              <a:cs typeface="Krub SemiBold" panose="00000700000000000000" pitchFamily="2" charset="-34"/>
            </a:rPr>
            <a:t>Summary of the model:</a:t>
          </a:r>
          <a:endParaRPr lang="en-US" sz="1000" b="0">
            <a:solidFill>
              <a:srgbClr val="000000"/>
            </a:solidFill>
            <a:latin typeface="+mn-lt"/>
            <a:ea typeface="+mn-lt"/>
            <a:cs typeface="+mn-lt"/>
          </a:endParaRPr>
        </a:p>
        <a:p>
          <a:pPr marL="0" indent="0" algn="l"/>
          <a:endParaRPr lang="en-US" sz="1000" b="0">
            <a:solidFill>
              <a:srgbClr val="000000"/>
            </a:solidFill>
            <a:latin typeface="+mn-lt"/>
            <a:ea typeface="+mn-lt"/>
            <a:cs typeface="+mn-lt"/>
          </a:endParaRPr>
        </a:p>
        <a:p>
          <a:r>
            <a:rPr lang="en-GB" sz="1100">
              <a:effectLst/>
              <a:latin typeface="+mn-lt"/>
              <a:ea typeface="+mn-ea"/>
              <a:cs typeface="+mn-cs"/>
            </a:rPr>
            <a:t>This enhancement covers expenditure on the monitoring, investigation and options appraisal of chemicals and emerging contaminants (including microplastics and other Chemical Investigation Programme 4 contaminants). The costs covered under the Chemical Investigations lines cover desk-based studies, surveys, simple and complex modelling.</a:t>
          </a:r>
        </a:p>
        <a:p>
          <a:endParaRPr lang="en-GB" sz="1100">
            <a:effectLst/>
            <a:latin typeface="+mn-lt"/>
            <a:ea typeface="+mn-ea"/>
            <a:cs typeface="+mn-cs"/>
          </a:endParaRPr>
        </a:p>
        <a:p>
          <a:r>
            <a:rPr lang="en-GB" sz="1100">
              <a:effectLst/>
              <a:latin typeface="+mn-lt"/>
              <a:ea typeface="+mn-ea"/>
              <a:cs typeface="+mn-cs"/>
            </a:rPr>
            <a:t>We assessed the investment for this line using a combination of shallow dive and deep dive as the expenditure is not generally</a:t>
          </a:r>
          <a:r>
            <a:rPr lang="en-GB" sz="1100" baseline="0">
              <a:effectLst/>
              <a:latin typeface="+mn-lt"/>
              <a:ea typeface="+mn-ea"/>
              <a:cs typeface="+mn-cs"/>
            </a:rPr>
            <a:t> </a:t>
          </a:r>
          <a:r>
            <a:rPr lang="en-GB" sz="1100">
              <a:effectLst/>
              <a:latin typeface="+mn-lt"/>
              <a:ea typeface="+mn-ea"/>
              <a:cs typeface="+mn-cs"/>
            </a:rPr>
            <a:t>material, and a significant proportion of the investment is comprised of defined company contributions to the joint industry UKWIR coordinated Chemical Investigations Programme (CIP). One company proposed investment that was material (&gt;£10m) and proportionally higher than other companies, so we assessed this by means of a deep dive.</a:t>
          </a:r>
        </a:p>
        <a:p>
          <a:endParaRPr lang="en-GB" sz="1100">
            <a:effectLst/>
            <a:latin typeface="+mn-lt"/>
            <a:ea typeface="+mn-ea"/>
            <a:cs typeface="+mn-cs"/>
          </a:endParaRPr>
        </a:p>
        <a:p>
          <a:r>
            <a:rPr lang="en-GB" sz="1100">
              <a:effectLst/>
              <a:latin typeface="+mn-lt"/>
              <a:ea typeface="+mn-ea"/>
              <a:cs typeface="+mn-cs"/>
            </a:rPr>
            <a:t>We considered applying allowances based on the unit cost by per investigation (from CWW20), but this showed no consistent result. We also considered regression analysis using population data but discounted it due to a poor correlation.  </a:t>
          </a:r>
        </a:p>
        <a:p>
          <a:endParaRPr lang="en-GB" sz="1100">
            <a:effectLst/>
            <a:latin typeface="+mn-lt"/>
            <a:ea typeface="+mn-ea"/>
            <a:cs typeface="+mn-cs"/>
          </a:endParaRPr>
        </a:p>
        <a:p>
          <a:r>
            <a:rPr lang="en-GB" sz="1100">
              <a:effectLst/>
              <a:latin typeface="+mn-lt"/>
              <a:ea typeface="+mn-ea"/>
              <a:cs typeface="+mn-cs"/>
            </a:rPr>
            <a:t>For</a:t>
          </a:r>
          <a:r>
            <a:rPr lang="en-GB" sz="1100" baseline="0">
              <a:effectLst/>
              <a:latin typeface="+mn-lt"/>
              <a:ea typeface="+mn-ea"/>
              <a:cs typeface="+mn-cs"/>
            </a:rPr>
            <a:t> final determination we have removed the shallow dive challenge </a:t>
          </a:r>
          <a:r>
            <a:rPr lang="en-GB" sz="1100">
              <a:effectLst/>
              <a:latin typeface="+mn-lt"/>
              <a:ea typeface="+mn-ea"/>
              <a:cs typeface="+mn-cs"/>
            </a:rPr>
            <a:t>due to a significant portion of the costs having been agreed and set with UK Water Industry Research.  </a:t>
          </a:r>
        </a:p>
        <a:p>
          <a:endParaRPr lang="en-GB" sz="1100">
            <a:effectLst/>
            <a:latin typeface="+mn-lt"/>
            <a:ea typeface="+mn-ea"/>
            <a:cs typeface="+mn-cs"/>
          </a:endParaRPr>
        </a:p>
        <a:p>
          <a:r>
            <a:rPr lang="en-GB" sz="1100">
              <a:effectLst/>
              <a:latin typeface="+mn-lt"/>
              <a:ea typeface="+mn-ea"/>
              <a:cs typeface="+mn-cs"/>
            </a:rPr>
            <a:t>Nine companies received an allowance based on a shallow dive (a company-specific efficiency factor being applied to their requested allowance), and one company received an allowance based on a deep dive. </a:t>
          </a:r>
        </a:p>
        <a:p>
          <a:pPr marL="0" indent="0" algn="l"/>
          <a:endParaRPr lang="en-US" sz="1000" b="1">
            <a:latin typeface="+mn-lt"/>
            <a:cs typeface="Krub SemiBold" panose="00000700000000000000" pitchFamily="2" charset="-34"/>
          </a:endParaRPr>
        </a:p>
        <a:p>
          <a:pPr marL="0" indent="0" algn="l"/>
          <a:r>
            <a:rPr lang="en-US" sz="1100" b="1">
              <a:latin typeface="Krub SemiBold" panose="00000700000000000000" pitchFamily="2" charset="-34"/>
              <a:cs typeface="Krub SemiBold" panose="00000700000000000000" pitchFamily="2" charset="-34"/>
            </a:rPr>
            <a:t>Quality assurance: </a:t>
          </a:r>
        </a:p>
        <a:p>
          <a:pPr marL="0" indent="0" algn="l"/>
          <a:r>
            <a:rPr lang="en-GB" sz="1100"/>
            <a:t>This model has been subject to Ofwat internal quality assurance and has been subject to external review</a:t>
          </a:r>
          <a:endParaRPr lang="en-US" sz="1000">
            <a:latin typeface="+mn-lt"/>
            <a:ea typeface="+mn-lt"/>
            <a:cs typeface="+mn-lt"/>
          </a:endParaRPr>
        </a:p>
        <a:p>
          <a:pPr marL="0" indent="0" algn="l"/>
          <a:r>
            <a:rPr lang="en-US" sz="1000">
              <a:latin typeface="+mn-lt"/>
              <a:ea typeface="+mn-lt"/>
              <a:cs typeface="+mn-lt"/>
            </a:rPr>
            <a:t>  </a:t>
          </a:r>
          <a:endParaRPr lang="en-US" sz="1100" b="1">
            <a:solidFill>
              <a:srgbClr val="000000"/>
            </a:solidFill>
            <a:latin typeface="Krub SemiBold" panose="00000700000000000000" pitchFamily="2" charset="-34"/>
            <a:cs typeface="Krub SemiBold" panose="00000700000000000000" pitchFamily="2" charset="-34"/>
          </a:endParaRPr>
        </a:p>
        <a:p>
          <a:pPr marL="0" indent="0" algn="l"/>
          <a:r>
            <a:rPr lang="en-US" sz="1100" b="1">
              <a:solidFill>
                <a:srgbClr val="000000"/>
              </a:solidFill>
              <a:latin typeface="Krub SemiBold" panose="00000700000000000000" pitchFamily="2" charset="-34"/>
              <a:cs typeface="Krub SemiBold" panose="00000700000000000000" pitchFamily="2" charset="-34"/>
            </a:rPr>
            <a:t>Disclaimer:</a:t>
          </a:r>
        </a:p>
        <a:p>
          <a:pPr marL="0" indent="0" algn="l"/>
          <a:r>
            <a:rPr lang="en-GB"/>
            <a:t>This model is part of our final determinations setting out the price, service, and incentive package for water companies for the period 2025-30. It should be read together with the other documents and information that we have now published.</a:t>
          </a:r>
        </a:p>
        <a:p>
          <a:pPr marL="0" indent="0" algn="l"/>
          <a:endParaRPr lang="en-US" sz="1100" b="1">
            <a:solidFill>
              <a:srgbClr val="000000"/>
            </a:solidFill>
            <a:latin typeface="Krub SemiBold" panose="00000700000000000000" pitchFamily="2" charset="-34"/>
            <a:cs typeface="Krub SemiBold" panose="00000700000000000000" pitchFamily="2" charset="-34"/>
          </a:endParaRPr>
        </a:p>
        <a:p>
          <a:pPr marL="0" indent="0" algn="l"/>
          <a:r>
            <a:rPr lang="en-US" sz="1100" b="1">
              <a:solidFill>
                <a:srgbClr val="000000"/>
              </a:solidFill>
              <a:latin typeface="Krub SemiBold" panose="00000700000000000000" pitchFamily="2" charset="-34"/>
              <a:cs typeface="Krub SemiBold" panose="00000700000000000000" pitchFamily="2" charset="-34"/>
            </a:rPr>
            <a:t>Changes since previous published model</a:t>
          </a:r>
          <a:r>
            <a:rPr lang="en-US" sz="1100" b="1">
              <a:solidFill>
                <a:srgbClr val="000000"/>
              </a:solidFill>
              <a:latin typeface="+mn-lt"/>
              <a:ea typeface="+mn-lt"/>
              <a:cs typeface="+mn-lt"/>
            </a:rPr>
            <a:t>: </a:t>
          </a:r>
          <a:endParaRPr lang="en-US" sz="1000" b="0">
            <a:solidFill>
              <a:srgbClr val="000000"/>
            </a:solidFill>
            <a:latin typeface="Krub" panose="00000500000000000000" pitchFamily="2" charset="-34"/>
            <a:ea typeface="+mn-ea"/>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a:effectLst/>
              <a:latin typeface="+mn-lt"/>
              <a:ea typeface="+mn-ea"/>
              <a:cs typeface="+mn-cs"/>
            </a:rPr>
            <a:t>-</a:t>
          </a:r>
          <a:r>
            <a:rPr lang="en-US" sz="1100" b="0" baseline="0">
              <a:effectLst/>
              <a:latin typeface="+mn-lt"/>
              <a:ea typeface="+mn-ea"/>
              <a:cs typeface="+mn-cs"/>
            </a:rPr>
            <a:t> Updated company efficiencies</a:t>
          </a:r>
          <a:endParaRPr lang="en-GB" sz="10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a:effectLst/>
              <a:latin typeface="+mn-lt"/>
              <a:ea typeface="+mn-ea"/>
              <a:cs typeface="+mn-cs"/>
            </a:rPr>
            <a:t>-</a:t>
          </a:r>
          <a:r>
            <a:rPr lang="en-US" sz="1100" b="0" baseline="0">
              <a:effectLst/>
              <a:latin typeface="+mn-lt"/>
              <a:ea typeface="+mn-ea"/>
              <a:cs typeface="+mn-cs"/>
            </a:rPr>
            <a:t> Updated shallow dive efficiency</a:t>
          </a:r>
          <a:endParaRPr lang="en-GB"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991791</xdr:colOff>
      <xdr:row>16</xdr:row>
      <xdr:rowOff>60322</xdr:rowOff>
    </xdr:from>
    <xdr:to>
      <xdr:col>12</xdr:col>
      <xdr:colOff>28573</xdr:colOff>
      <xdr:row>20</xdr:row>
      <xdr:rowOff>21022</xdr:rowOff>
    </xdr:to>
    <xdr:sp macro="" textlink="">
      <xdr:nvSpPr>
        <xdr:cNvPr id="2" name="Rectangle 1">
          <a:extLst>
            <a:ext uri="{FF2B5EF4-FFF2-40B4-BE49-F238E27FC236}">
              <a16:creationId xmlns:a16="http://schemas.microsoft.com/office/drawing/2014/main" id="{4A7D327C-2F7F-48FA-8383-4C79AA98FC16}"/>
            </a:ext>
          </a:extLst>
        </xdr:cNvPr>
        <xdr:cNvSpPr/>
      </xdr:nvSpPr>
      <xdr:spPr>
        <a:xfrm>
          <a:off x="4992291" y="4446584"/>
          <a:ext cx="1227532" cy="984638"/>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APR data:</a:t>
          </a:r>
        </a:p>
        <a:p>
          <a:pPr marL="0" indent="0" algn="ctr"/>
          <a:r>
            <a:rPr lang="en-GB" sz="1050">
              <a:solidFill>
                <a:schemeClr val="tx1"/>
              </a:solidFill>
              <a:latin typeface="+mn-lt"/>
              <a:ea typeface="+mn-ea"/>
              <a:cs typeface="+mn-cs"/>
            </a:rPr>
            <a:t>Historic data (FY18 - FY23)</a:t>
          </a:r>
        </a:p>
      </xdr:txBody>
    </xdr:sp>
    <xdr:clientData/>
  </xdr:twoCellAnchor>
  <xdr:twoCellAnchor>
    <xdr:from>
      <xdr:col>7</xdr:col>
      <xdr:colOff>950119</xdr:colOff>
      <xdr:row>22</xdr:row>
      <xdr:rowOff>38099</xdr:rowOff>
    </xdr:from>
    <xdr:to>
      <xdr:col>8</xdr:col>
      <xdr:colOff>160734</xdr:colOff>
      <xdr:row>25</xdr:row>
      <xdr:rowOff>161924</xdr:rowOff>
    </xdr:to>
    <xdr:sp macro="" textlink="">
      <xdr:nvSpPr>
        <xdr:cNvPr id="3" name="Rectangle 2">
          <a:extLst>
            <a:ext uri="{FF2B5EF4-FFF2-40B4-BE49-F238E27FC236}">
              <a16:creationId xmlns:a16="http://schemas.microsoft.com/office/drawing/2014/main" id="{8D7F2E52-D40F-44A8-A124-7F1E8C588236}"/>
            </a:ext>
          </a:extLst>
        </xdr:cNvPr>
        <xdr:cNvSpPr/>
      </xdr:nvSpPr>
      <xdr:spPr>
        <a:xfrm>
          <a:off x="2064544" y="5962649"/>
          <a:ext cx="1401365" cy="8953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Materiality &amp; shallow dive</a:t>
          </a:r>
        </a:p>
      </xdr:txBody>
    </xdr:sp>
    <xdr:clientData/>
  </xdr:twoCellAnchor>
  <xdr:twoCellAnchor>
    <xdr:from>
      <xdr:col>11</xdr:col>
      <xdr:colOff>1954213</xdr:colOff>
      <xdr:row>22</xdr:row>
      <xdr:rowOff>47625</xdr:rowOff>
    </xdr:from>
    <xdr:to>
      <xdr:col>16</xdr:col>
      <xdr:colOff>173038</xdr:colOff>
      <xdr:row>26</xdr:row>
      <xdr:rowOff>9525</xdr:rowOff>
    </xdr:to>
    <xdr:sp macro="" textlink="">
      <xdr:nvSpPr>
        <xdr:cNvPr id="4" name="Rectangle 3">
          <a:extLst>
            <a:ext uri="{FF2B5EF4-FFF2-40B4-BE49-F238E27FC236}">
              <a16:creationId xmlns:a16="http://schemas.microsoft.com/office/drawing/2014/main" id="{F1EE6B53-1932-4810-8DAB-59E8A564B2A9}"/>
            </a:ext>
          </a:extLst>
        </xdr:cNvPr>
        <xdr:cNvSpPr/>
      </xdr:nvSpPr>
      <xdr:spPr>
        <a:xfrm>
          <a:off x="5954713" y="5972175"/>
          <a:ext cx="1295400" cy="99060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Modelled costs</a:t>
          </a:r>
        </a:p>
      </xdr:txBody>
    </xdr:sp>
    <xdr:clientData/>
  </xdr:twoCellAnchor>
  <xdr:twoCellAnchor>
    <xdr:from>
      <xdr:col>6</xdr:col>
      <xdr:colOff>132159</xdr:colOff>
      <xdr:row>4</xdr:row>
      <xdr:rowOff>22222</xdr:rowOff>
    </xdr:from>
    <xdr:to>
      <xdr:col>7</xdr:col>
      <xdr:colOff>1293415</xdr:colOff>
      <xdr:row>7</xdr:row>
      <xdr:rowOff>160733</xdr:rowOff>
    </xdr:to>
    <xdr:sp macro="" textlink="">
      <xdr:nvSpPr>
        <xdr:cNvPr id="5" name="Rectangle 4">
          <a:extLst>
            <a:ext uri="{FF2B5EF4-FFF2-40B4-BE49-F238E27FC236}">
              <a16:creationId xmlns:a16="http://schemas.microsoft.com/office/drawing/2014/main" id="{AF81C318-CCE3-45C9-84BF-CEE9FF313B49}"/>
            </a:ext>
          </a:extLst>
        </xdr:cNvPr>
        <xdr:cNvSpPr/>
      </xdr:nvSpPr>
      <xdr:spPr>
        <a:xfrm>
          <a:off x="1056084" y="1322384"/>
          <a:ext cx="1351756" cy="905274"/>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F_Inputs BP:</a:t>
          </a:r>
        </a:p>
        <a:p>
          <a:pPr marL="0" indent="0" algn="ctr"/>
          <a:r>
            <a:rPr lang="en-GB" sz="1050">
              <a:solidFill>
                <a:schemeClr val="tx1"/>
              </a:solidFill>
              <a:latin typeface="+mn-lt"/>
              <a:ea typeface="+mn-ea"/>
              <a:cs typeface="+mn-cs"/>
            </a:rPr>
            <a:t>PR24 business plan data (FY23-FY30)</a:t>
          </a:r>
        </a:p>
      </xdr:txBody>
    </xdr:sp>
    <xdr:clientData/>
  </xdr:twoCellAnchor>
  <xdr:twoCellAnchor>
    <xdr:from>
      <xdr:col>15</xdr:col>
      <xdr:colOff>32937</xdr:colOff>
      <xdr:row>16</xdr:row>
      <xdr:rowOff>57941</xdr:rowOff>
    </xdr:from>
    <xdr:to>
      <xdr:col>16</xdr:col>
      <xdr:colOff>950117</xdr:colOff>
      <xdr:row>20</xdr:row>
      <xdr:rowOff>18641</xdr:rowOff>
    </xdr:to>
    <xdr:sp macro="" textlink="">
      <xdr:nvSpPr>
        <xdr:cNvPr id="6" name="Rectangle 5">
          <a:extLst>
            <a:ext uri="{FF2B5EF4-FFF2-40B4-BE49-F238E27FC236}">
              <a16:creationId xmlns:a16="http://schemas.microsoft.com/office/drawing/2014/main" id="{28313171-E151-4E47-B08A-D311BD27DC33}"/>
            </a:ext>
          </a:extLst>
        </xdr:cNvPr>
        <xdr:cNvSpPr/>
      </xdr:nvSpPr>
      <xdr:spPr>
        <a:xfrm>
          <a:off x="6924274" y="4439441"/>
          <a:ext cx="1107680" cy="989400"/>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050">
              <a:solidFill>
                <a:schemeClr val="tx1"/>
              </a:solidFill>
              <a:latin typeface="+mn-lt"/>
              <a:ea typeface="+mn-ea"/>
              <a:cs typeface="+mn-cs"/>
            </a:rPr>
            <a:t>Other data</a:t>
          </a:r>
        </a:p>
      </xdr:txBody>
    </xdr:sp>
    <xdr:clientData/>
  </xdr:twoCellAnchor>
  <xdr:twoCellAnchor>
    <xdr:from>
      <xdr:col>11</xdr:col>
      <xdr:colOff>806452</xdr:colOff>
      <xdr:row>29</xdr:row>
      <xdr:rowOff>39684</xdr:rowOff>
    </xdr:from>
    <xdr:to>
      <xdr:col>11</xdr:col>
      <xdr:colOff>2178052</xdr:colOff>
      <xdr:row>33</xdr:row>
      <xdr:rowOff>384</xdr:rowOff>
    </xdr:to>
    <xdr:sp macro="" textlink="">
      <xdr:nvSpPr>
        <xdr:cNvPr id="7" name="Rectangle 6">
          <a:extLst>
            <a:ext uri="{FF2B5EF4-FFF2-40B4-BE49-F238E27FC236}">
              <a16:creationId xmlns:a16="http://schemas.microsoft.com/office/drawing/2014/main" id="{E4AC58FC-8999-4966-9AC3-8564A7A0ECC0}"/>
            </a:ext>
          </a:extLst>
        </xdr:cNvPr>
        <xdr:cNvSpPr/>
      </xdr:nvSpPr>
      <xdr:spPr>
        <a:xfrm>
          <a:off x="4811714" y="7764459"/>
          <a:ext cx="1371600" cy="98940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Allowance</a:t>
          </a:r>
        </a:p>
      </xdr:txBody>
    </xdr:sp>
    <xdr:clientData/>
  </xdr:twoCellAnchor>
  <xdr:twoCellAnchor>
    <xdr:from>
      <xdr:col>7</xdr:col>
      <xdr:colOff>1646038</xdr:colOff>
      <xdr:row>25</xdr:row>
      <xdr:rowOff>161924</xdr:rowOff>
    </xdr:from>
    <xdr:to>
      <xdr:col>11</xdr:col>
      <xdr:colOff>1492251</xdr:colOff>
      <xdr:row>29</xdr:row>
      <xdr:rowOff>39684</xdr:rowOff>
    </xdr:to>
    <xdr:cxnSp macro="">
      <xdr:nvCxnSpPr>
        <xdr:cNvPr id="8" name="Connector: Elbow 7">
          <a:extLst>
            <a:ext uri="{FF2B5EF4-FFF2-40B4-BE49-F238E27FC236}">
              <a16:creationId xmlns:a16="http://schemas.microsoft.com/office/drawing/2014/main" id="{FBB47B13-1AED-4F54-AC73-4E556871988B}"/>
            </a:ext>
          </a:extLst>
        </xdr:cNvPr>
        <xdr:cNvCxnSpPr>
          <a:stCxn id="3" idx="2"/>
          <a:endCxn id="7" idx="0"/>
        </xdr:cNvCxnSpPr>
      </xdr:nvCxnSpPr>
      <xdr:spPr>
        <a:xfrm rot="16200000" flipH="1">
          <a:off x="3675758" y="5942704"/>
          <a:ext cx="906460" cy="273705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1492252</xdr:colOff>
      <xdr:row>26</xdr:row>
      <xdr:rowOff>9526</xdr:rowOff>
    </xdr:from>
    <xdr:to>
      <xdr:col>13</xdr:col>
      <xdr:colOff>220663</xdr:colOff>
      <xdr:row>29</xdr:row>
      <xdr:rowOff>39685</xdr:rowOff>
    </xdr:to>
    <xdr:cxnSp macro="">
      <xdr:nvCxnSpPr>
        <xdr:cNvPr id="9" name="Connector: Elbow 8">
          <a:extLst>
            <a:ext uri="{FF2B5EF4-FFF2-40B4-BE49-F238E27FC236}">
              <a16:creationId xmlns:a16="http://schemas.microsoft.com/office/drawing/2014/main" id="{BA9032BE-E452-4BEB-9568-7A5D857E7C01}"/>
            </a:ext>
          </a:extLst>
        </xdr:cNvPr>
        <xdr:cNvCxnSpPr>
          <a:stCxn id="4" idx="2"/>
          <a:endCxn id="7" idx="0"/>
        </xdr:cNvCxnSpPr>
      </xdr:nvCxnSpPr>
      <xdr:spPr>
        <a:xfrm rot="5400000">
          <a:off x="5649122" y="6811168"/>
          <a:ext cx="801684" cy="1104899"/>
        </a:xfrm>
        <a:prstGeom prst="bentConnector3">
          <a:avLst>
            <a:gd name="adj1" fmla="val 43858"/>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21035</xdr:colOff>
      <xdr:row>9</xdr:row>
      <xdr:rowOff>107552</xdr:rowOff>
    </xdr:from>
    <xdr:to>
      <xdr:col>7</xdr:col>
      <xdr:colOff>1630363</xdr:colOff>
      <xdr:row>14</xdr:row>
      <xdr:rowOff>134937</xdr:rowOff>
    </xdr:to>
    <xdr:sp macro="" textlink="">
      <xdr:nvSpPr>
        <xdr:cNvPr id="10" name="TextBox 9">
          <a:extLst>
            <a:ext uri="{FF2B5EF4-FFF2-40B4-BE49-F238E27FC236}">
              <a16:creationId xmlns:a16="http://schemas.microsoft.com/office/drawing/2014/main" id="{7C44C459-FEF1-4D76-8CFC-408CFB756029}"/>
            </a:ext>
          </a:extLst>
        </xdr:cNvPr>
        <xdr:cNvSpPr txBox="1"/>
      </xdr:nvSpPr>
      <xdr:spPr>
        <a:xfrm>
          <a:off x="230585" y="2693589"/>
          <a:ext cx="2514203" cy="1308498"/>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Data from business plan tables</a:t>
          </a:r>
          <a:r>
            <a:rPr lang="en-GB" sz="1100" baseline="0"/>
            <a:t> was overwritten in cases where reallocations have been made or other changes to requested costs were made</a:t>
          </a:r>
          <a:endParaRPr lang="en-GB" sz="1100"/>
        </a:p>
      </xdr:txBody>
    </xdr:sp>
    <xdr:clientData/>
  </xdr:twoCellAnchor>
  <xdr:twoCellAnchor>
    <xdr:from>
      <xdr:col>11</xdr:col>
      <xdr:colOff>1193006</xdr:colOff>
      <xdr:row>9</xdr:row>
      <xdr:rowOff>74614</xdr:rowOff>
    </xdr:from>
    <xdr:to>
      <xdr:col>16</xdr:col>
      <xdr:colOff>735012</xdr:colOff>
      <xdr:row>14</xdr:row>
      <xdr:rowOff>158750</xdr:rowOff>
    </xdr:to>
    <xdr:sp macro="" textlink="">
      <xdr:nvSpPr>
        <xdr:cNvPr id="11" name="TextBox 10">
          <a:extLst>
            <a:ext uri="{FF2B5EF4-FFF2-40B4-BE49-F238E27FC236}">
              <a16:creationId xmlns:a16="http://schemas.microsoft.com/office/drawing/2014/main" id="{B06A1967-E11B-448C-B8F4-037E0D806421}"/>
            </a:ext>
          </a:extLst>
        </xdr:cNvPr>
        <xdr:cNvSpPr txBox="1"/>
      </xdr:nvSpPr>
      <xdr:spPr>
        <a:xfrm>
          <a:off x="5193506" y="2655889"/>
          <a:ext cx="2618581" cy="1374773"/>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Enhancement</a:t>
          </a:r>
          <a:r>
            <a:rPr lang="en-GB" sz="1100" baseline="0"/>
            <a:t> models use data from a wide range of sources, some of which is stored by Ofwat internally, some of which comes from other, external sources.</a:t>
          </a:r>
          <a:endParaRPr lang="en-GB" sz="1100"/>
        </a:p>
      </xdr:txBody>
    </xdr:sp>
    <xdr:clientData/>
  </xdr:twoCellAnchor>
  <xdr:twoCellAnchor>
    <xdr:from>
      <xdr:col>5</xdr:col>
      <xdr:colOff>106362</xdr:colOff>
      <xdr:row>29</xdr:row>
      <xdr:rowOff>30162</xdr:rowOff>
    </xdr:from>
    <xdr:to>
      <xdr:col>8</xdr:col>
      <xdr:colOff>87312</xdr:colOff>
      <xdr:row>33</xdr:row>
      <xdr:rowOff>19050</xdr:rowOff>
    </xdr:to>
    <xdr:sp macro="" textlink="">
      <xdr:nvSpPr>
        <xdr:cNvPr id="12" name="TextBox 11">
          <a:extLst>
            <a:ext uri="{FF2B5EF4-FFF2-40B4-BE49-F238E27FC236}">
              <a16:creationId xmlns:a16="http://schemas.microsoft.com/office/drawing/2014/main" id="{FE26BCF8-B946-41F2-8508-C415F5B5F044}"/>
            </a:ext>
          </a:extLst>
        </xdr:cNvPr>
        <xdr:cNvSpPr txBox="1"/>
      </xdr:nvSpPr>
      <xdr:spPr>
        <a:xfrm>
          <a:off x="715962" y="7754937"/>
          <a:ext cx="2676525" cy="1017588"/>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For all companies, allowances are not allocated by price control</a:t>
          </a:r>
        </a:p>
      </xdr:txBody>
    </xdr:sp>
    <xdr:clientData/>
  </xdr:twoCellAnchor>
  <xdr:twoCellAnchor>
    <xdr:from>
      <xdr:col>8</xdr:col>
      <xdr:colOff>87312</xdr:colOff>
      <xdr:row>31</xdr:row>
      <xdr:rowOff>20034</xdr:rowOff>
    </xdr:from>
    <xdr:to>
      <xdr:col>11</xdr:col>
      <xdr:colOff>806452</xdr:colOff>
      <xdr:row>31</xdr:row>
      <xdr:rowOff>24606</xdr:rowOff>
    </xdr:to>
    <xdr:cxnSp macro="">
      <xdr:nvCxnSpPr>
        <xdr:cNvPr id="13" name="Straight Connector 12">
          <a:extLst>
            <a:ext uri="{FF2B5EF4-FFF2-40B4-BE49-F238E27FC236}">
              <a16:creationId xmlns:a16="http://schemas.microsoft.com/office/drawing/2014/main" id="{915D54FD-3473-4D43-A2DC-4008B9E2D89E}"/>
            </a:ext>
          </a:extLst>
        </xdr:cNvPr>
        <xdr:cNvCxnSpPr>
          <a:stCxn id="12" idx="3"/>
          <a:endCxn id="7" idx="1"/>
        </xdr:cNvCxnSpPr>
      </xdr:nvCxnSpPr>
      <xdr:spPr>
        <a:xfrm flipV="1">
          <a:off x="3392487" y="8259159"/>
          <a:ext cx="1419227" cy="9334"/>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809627</xdr:colOff>
      <xdr:row>35</xdr:row>
      <xdr:rowOff>38100</xdr:rowOff>
    </xdr:from>
    <xdr:to>
      <xdr:col>12</xdr:col>
      <xdr:colOff>9527</xdr:colOff>
      <xdr:row>39</xdr:row>
      <xdr:rowOff>0</xdr:rowOff>
    </xdr:to>
    <xdr:sp macro="" textlink="">
      <xdr:nvSpPr>
        <xdr:cNvPr id="14" name="Rectangle 13">
          <a:extLst>
            <a:ext uri="{FF2B5EF4-FFF2-40B4-BE49-F238E27FC236}">
              <a16:creationId xmlns:a16="http://schemas.microsoft.com/office/drawing/2014/main" id="{F31C3409-602B-4584-B45B-1C66B3DE5637}"/>
            </a:ext>
          </a:extLst>
        </xdr:cNvPr>
        <xdr:cNvSpPr/>
      </xdr:nvSpPr>
      <xdr:spPr>
        <a:xfrm>
          <a:off x="4810127" y="9305925"/>
          <a:ext cx="1390650" cy="99060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Outputs to aggregator</a:t>
          </a:r>
        </a:p>
      </xdr:txBody>
    </xdr:sp>
    <xdr:clientData/>
  </xdr:twoCellAnchor>
  <xdr:twoCellAnchor>
    <xdr:from>
      <xdr:col>11</xdr:col>
      <xdr:colOff>1497014</xdr:colOff>
      <xdr:row>33</xdr:row>
      <xdr:rowOff>384</xdr:rowOff>
    </xdr:from>
    <xdr:to>
      <xdr:col>11</xdr:col>
      <xdr:colOff>1504952</xdr:colOff>
      <xdr:row>35</xdr:row>
      <xdr:rowOff>38100</xdr:rowOff>
    </xdr:to>
    <xdr:cxnSp macro="">
      <xdr:nvCxnSpPr>
        <xdr:cNvPr id="15" name="Straight Arrow Connector 14">
          <a:extLst>
            <a:ext uri="{FF2B5EF4-FFF2-40B4-BE49-F238E27FC236}">
              <a16:creationId xmlns:a16="http://schemas.microsoft.com/office/drawing/2014/main" id="{7B80C8E9-E253-4E89-8D06-4E729DA11964}"/>
            </a:ext>
          </a:extLst>
        </xdr:cNvPr>
        <xdr:cNvCxnSpPr>
          <a:stCxn id="7" idx="2"/>
          <a:endCxn id="14" idx="0"/>
        </xdr:cNvCxnSpPr>
      </xdr:nvCxnSpPr>
      <xdr:spPr>
        <a:xfrm>
          <a:off x="5497514" y="8753859"/>
          <a:ext cx="7938" cy="552066"/>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115887</xdr:colOff>
      <xdr:row>34</xdr:row>
      <xdr:rowOff>228600</xdr:rowOff>
    </xdr:from>
    <xdr:to>
      <xdr:col>8</xdr:col>
      <xdr:colOff>96837</xdr:colOff>
      <xdr:row>39</xdr:row>
      <xdr:rowOff>66675</xdr:rowOff>
    </xdr:to>
    <xdr:sp macro="" textlink="">
      <xdr:nvSpPr>
        <xdr:cNvPr id="16" name="TextBox 15">
          <a:extLst>
            <a:ext uri="{FF2B5EF4-FFF2-40B4-BE49-F238E27FC236}">
              <a16:creationId xmlns:a16="http://schemas.microsoft.com/office/drawing/2014/main" id="{09A175B0-D820-4F12-A42A-9978310CA7CD}"/>
            </a:ext>
          </a:extLst>
        </xdr:cNvPr>
        <xdr:cNvSpPr txBox="1"/>
      </xdr:nvSpPr>
      <xdr:spPr>
        <a:xfrm>
          <a:off x="725487" y="9239250"/>
          <a:ext cx="2676525" cy="112395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Calculated allowances are profiled across the transition period (2023-25) and AMP8 (2025-30) based on the profile</a:t>
          </a:r>
          <a:r>
            <a:rPr lang="en-GB" sz="1100" baseline="0"/>
            <a:t> of</a:t>
          </a:r>
          <a:r>
            <a:rPr lang="en-GB" sz="1100"/>
            <a:t> business plan submissions</a:t>
          </a:r>
        </a:p>
      </xdr:txBody>
    </xdr:sp>
    <xdr:clientData/>
  </xdr:twoCellAnchor>
  <xdr:twoCellAnchor>
    <xdr:from>
      <xdr:col>8</xdr:col>
      <xdr:colOff>96837</xdr:colOff>
      <xdr:row>37</xdr:row>
      <xdr:rowOff>19050</xdr:rowOff>
    </xdr:from>
    <xdr:to>
      <xdr:col>11</xdr:col>
      <xdr:colOff>809627</xdr:colOff>
      <xdr:row>37</xdr:row>
      <xdr:rowOff>19050</xdr:rowOff>
    </xdr:to>
    <xdr:cxnSp macro="">
      <xdr:nvCxnSpPr>
        <xdr:cNvPr id="17" name="Straight Connector 16">
          <a:extLst>
            <a:ext uri="{FF2B5EF4-FFF2-40B4-BE49-F238E27FC236}">
              <a16:creationId xmlns:a16="http://schemas.microsoft.com/office/drawing/2014/main" id="{E0E88479-FD34-4906-8676-681FA0D86A9C}"/>
            </a:ext>
          </a:extLst>
        </xdr:cNvPr>
        <xdr:cNvCxnSpPr>
          <a:stCxn id="16" idx="3"/>
          <a:endCxn id="14" idx="1"/>
        </xdr:cNvCxnSpPr>
      </xdr:nvCxnSpPr>
      <xdr:spPr>
        <a:xfrm>
          <a:off x="3402012" y="9801225"/>
          <a:ext cx="1408115" cy="0"/>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818357</xdr:colOff>
      <xdr:row>40</xdr:row>
      <xdr:rowOff>134938</xdr:rowOff>
    </xdr:from>
    <xdr:to>
      <xdr:col>11</xdr:col>
      <xdr:colOff>2189957</xdr:colOff>
      <xdr:row>44</xdr:row>
      <xdr:rowOff>103188</xdr:rowOff>
    </xdr:to>
    <xdr:sp macro="" textlink="">
      <xdr:nvSpPr>
        <xdr:cNvPr id="18" name="Rectangle 17">
          <a:extLst>
            <a:ext uri="{FF2B5EF4-FFF2-40B4-BE49-F238E27FC236}">
              <a16:creationId xmlns:a16="http://schemas.microsoft.com/office/drawing/2014/main" id="{2C86CE69-4312-4F53-94F4-A0E8214C8A4F}"/>
            </a:ext>
          </a:extLst>
        </xdr:cNvPr>
        <xdr:cNvSpPr/>
      </xdr:nvSpPr>
      <xdr:spPr>
        <a:xfrm>
          <a:off x="4818857" y="10688638"/>
          <a:ext cx="1371600" cy="99695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F_Outputs</a:t>
          </a:r>
        </a:p>
      </xdr:txBody>
    </xdr:sp>
    <xdr:clientData/>
  </xdr:twoCellAnchor>
  <xdr:twoCellAnchor>
    <xdr:from>
      <xdr:col>11</xdr:col>
      <xdr:colOff>1504157</xdr:colOff>
      <xdr:row>39</xdr:row>
      <xdr:rowOff>0</xdr:rowOff>
    </xdr:from>
    <xdr:to>
      <xdr:col>11</xdr:col>
      <xdr:colOff>1504952</xdr:colOff>
      <xdr:row>40</xdr:row>
      <xdr:rowOff>134938</xdr:rowOff>
    </xdr:to>
    <xdr:cxnSp macro="">
      <xdr:nvCxnSpPr>
        <xdr:cNvPr id="19" name="Straight Arrow Connector 18">
          <a:extLst>
            <a:ext uri="{FF2B5EF4-FFF2-40B4-BE49-F238E27FC236}">
              <a16:creationId xmlns:a16="http://schemas.microsoft.com/office/drawing/2014/main" id="{4890EF17-D5B3-4E07-A945-375BE4888326}"/>
            </a:ext>
          </a:extLst>
        </xdr:cNvPr>
        <xdr:cNvCxnSpPr>
          <a:stCxn id="14" idx="2"/>
          <a:endCxn id="18" idx="0"/>
        </xdr:cNvCxnSpPr>
      </xdr:nvCxnSpPr>
      <xdr:spPr>
        <a:xfrm flipH="1">
          <a:off x="5504657" y="10296525"/>
          <a:ext cx="795" cy="392113"/>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73025</xdr:colOff>
      <xdr:row>22</xdr:row>
      <xdr:rowOff>48814</xdr:rowOff>
    </xdr:from>
    <xdr:to>
      <xdr:col>11</xdr:col>
      <xdr:colOff>1466225</xdr:colOff>
      <xdr:row>26</xdr:row>
      <xdr:rowOff>10714</xdr:rowOff>
    </xdr:to>
    <xdr:sp macro="" textlink="">
      <xdr:nvSpPr>
        <xdr:cNvPr id="20" name="Rectangle 19">
          <a:extLst>
            <a:ext uri="{FF2B5EF4-FFF2-40B4-BE49-F238E27FC236}">
              <a16:creationId xmlns:a16="http://schemas.microsoft.com/office/drawing/2014/main" id="{499EB23A-C416-4C89-9020-94505C28CA34}"/>
            </a:ext>
          </a:extLst>
        </xdr:cNvPr>
        <xdr:cNvSpPr/>
      </xdr:nvSpPr>
      <xdr:spPr>
        <a:xfrm>
          <a:off x="4078287" y="5973364"/>
          <a:ext cx="1388438" cy="99060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Deep dives</a:t>
          </a:r>
        </a:p>
      </xdr:txBody>
    </xdr:sp>
    <xdr:clientData/>
  </xdr:twoCellAnchor>
  <xdr:twoCellAnchor>
    <xdr:from>
      <xdr:col>11</xdr:col>
      <xdr:colOff>769625</xdr:colOff>
      <xdr:row>26</xdr:row>
      <xdr:rowOff>10713</xdr:rowOff>
    </xdr:from>
    <xdr:to>
      <xdr:col>11</xdr:col>
      <xdr:colOff>1492252</xdr:colOff>
      <xdr:row>29</xdr:row>
      <xdr:rowOff>39683</xdr:rowOff>
    </xdr:to>
    <xdr:cxnSp macro="">
      <xdr:nvCxnSpPr>
        <xdr:cNvPr id="21" name="Connector: Elbow 20">
          <a:extLst>
            <a:ext uri="{FF2B5EF4-FFF2-40B4-BE49-F238E27FC236}">
              <a16:creationId xmlns:a16="http://schemas.microsoft.com/office/drawing/2014/main" id="{F714B140-6765-456C-8E0A-8F37D7B65391}"/>
            </a:ext>
          </a:extLst>
        </xdr:cNvPr>
        <xdr:cNvCxnSpPr>
          <a:stCxn id="20" idx="2"/>
          <a:endCxn id="7" idx="0"/>
        </xdr:cNvCxnSpPr>
      </xdr:nvCxnSpPr>
      <xdr:spPr>
        <a:xfrm rot="16200000" flipH="1">
          <a:off x="4733572" y="7000516"/>
          <a:ext cx="800495" cy="727389"/>
        </a:xfrm>
        <a:prstGeom prst="bentConnector3">
          <a:avLst>
            <a:gd name="adj1" fmla="val 43166"/>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1921669</xdr:colOff>
      <xdr:row>4</xdr:row>
      <xdr:rowOff>19842</xdr:rowOff>
    </xdr:from>
    <xdr:to>
      <xdr:col>11</xdr:col>
      <xdr:colOff>409973</xdr:colOff>
      <xdr:row>7</xdr:row>
      <xdr:rowOff>158353</xdr:rowOff>
    </xdr:to>
    <xdr:sp macro="" textlink="">
      <xdr:nvSpPr>
        <xdr:cNvPr id="24" name="Rectangle 23">
          <a:extLst>
            <a:ext uri="{FF2B5EF4-FFF2-40B4-BE49-F238E27FC236}">
              <a16:creationId xmlns:a16="http://schemas.microsoft.com/office/drawing/2014/main" id="{95A67097-F6DB-488A-A147-DE60AD34870C}"/>
            </a:ext>
          </a:extLst>
        </xdr:cNvPr>
        <xdr:cNvSpPr/>
      </xdr:nvSpPr>
      <xdr:spPr>
        <a:xfrm>
          <a:off x="3036094" y="1315242"/>
          <a:ext cx="1374379" cy="914798"/>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Consolidated input</a:t>
          </a:r>
        </a:p>
      </xdr:txBody>
    </xdr:sp>
    <xdr:clientData/>
  </xdr:twoCellAnchor>
  <xdr:twoCellAnchor>
    <xdr:from>
      <xdr:col>7</xdr:col>
      <xdr:colOff>1919286</xdr:colOff>
      <xdr:row>9</xdr:row>
      <xdr:rowOff>112708</xdr:rowOff>
    </xdr:from>
    <xdr:to>
      <xdr:col>11</xdr:col>
      <xdr:colOff>407590</xdr:colOff>
      <xdr:row>13</xdr:row>
      <xdr:rowOff>90484</xdr:rowOff>
    </xdr:to>
    <xdr:sp macro="" textlink="">
      <xdr:nvSpPr>
        <xdr:cNvPr id="25" name="Rectangle 24">
          <a:extLst>
            <a:ext uri="{FF2B5EF4-FFF2-40B4-BE49-F238E27FC236}">
              <a16:creationId xmlns:a16="http://schemas.microsoft.com/office/drawing/2014/main" id="{BFF3F8AD-F8CD-4B3E-91D0-9F5B2179552F}"/>
            </a:ext>
          </a:extLst>
        </xdr:cNvPr>
        <xdr:cNvSpPr/>
      </xdr:nvSpPr>
      <xdr:spPr>
        <a:xfrm>
          <a:off x="3038473" y="2693983"/>
          <a:ext cx="1369617" cy="1011238"/>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Input Override</a:t>
          </a:r>
        </a:p>
      </xdr:txBody>
    </xdr:sp>
    <xdr:clientData/>
  </xdr:twoCellAnchor>
  <xdr:twoCellAnchor>
    <xdr:from>
      <xdr:col>7</xdr:col>
      <xdr:colOff>1916904</xdr:colOff>
      <xdr:row>16</xdr:row>
      <xdr:rowOff>38890</xdr:rowOff>
    </xdr:from>
    <xdr:to>
      <xdr:col>11</xdr:col>
      <xdr:colOff>405208</xdr:colOff>
      <xdr:row>19</xdr:row>
      <xdr:rowOff>161515</xdr:rowOff>
    </xdr:to>
    <xdr:sp macro="" textlink="">
      <xdr:nvSpPr>
        <xdr:cNvPr id="26" name="Rectangle 25">
          <a:extLst>
            <a:ext uri="{FF2B5EF4-FFF2-40B4-BE49-F238E27FC236}">
              <a16:creationId xmlns:a16="http://schemas.microsoft.com/office/drawing/2014/main" id="{1E62A701-B5F1-440E-83D6-8E99AF809000}"/>
            </a:ext>
          </a:extLst>
        </xdr:cNvPr>
        <xdr:cNvSpPr/>
      </xdr:nvSpPr>
      <xdr:spPr>
        <a:xfrm>
          <a:off x="3031329" y="4420390"/>
          <a:ext cx="1379141" cy="894150"/>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Final Input</a:t>
          </a:r>
        </a:p>
      </xdr:txBody>
    </xdr:sp>
    <xdr:clientData/>
  </xdr:twoCellAnchor>
  <xdr:twoCellAnchor>
    <xdr:from>
      <xdr:col>7</xdr:col>
      <xdr:colOff>1646040</xdr:colOff>
      <xdr:row>20</xdr:row>
      <xdr:rowOff>21021</xdr:rowOff>
    </xdr:from>
    <xdr:to>
      <xdr:col>11</xdr:col>
      <xdr:colOff>1600796</xdr:colOff>
      <xdr:row>22</xdr:row>
      <xdr:rowOff>38098</xdr:rowOff>
    </xdr:to>
    <xdr:cxnSp macro="">
      <xdr:nvCxnSpPr>
        <xdr:cNvPr id="27" name="Connector: Elbow 26">
          <a:extLst>
            <a:ext uri="{FF2B5EF4-FFF2-40B4-BE49-F238E27FC236}">
              <a16:creationId xmlns:a16="http://schemas.microsoft.com/office/drawing/2014/main" id="{83478F3C-A00B-4742-A3BB-B24C6A8DBD73}"/>
            </a:ext>
          </a:extLst>
        </xdr:cNvPr>
        <xdr:cNvCxnSpPr>
          <a:stCxn id="2" idx="2"/>
          <a:endCxn id="3" idx="0"/>
        </xdr:cNvCxnSpPr>
      </xdr:nvCxnSpPr>
      <xdr:spPr>
        <a:xfrm rot="5400000">
          <a:off x="3915167" y="4276519"/>
          <a:ext cx="531427" cy="2840831"/>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287478</xdr:colOff>
      <xdr:row>19</xdr:row>
      <xdr:rowOff>161514</xdr:rowOff>
    </xdr:from>
    <xdr:to>
      <xdr:col>13</xdr:col>
      <xdr:colOff>277134</xdr:colOff>
      <xdr:row>22</xdr:row>
      <xdr:rowOff>47624</xdr:rowOff>
    </xdr:to>
    <xdr:cxnSp macro="">
      <xdr:nvCxnSpPr>
        <xdr:cNvPr id="28" name="Connector: Elbow 27">
          <a:extLst>
            <a:ext uri="{FF2B5EF4-FFF2-40B4-BE49-F238E27FC236}">
              <a16:creationId xmlns:a16="http://schemas.microsoft.com/office/drawing/2014/main" id="{2DCAB7B7-F084-4667-9F2E-1E11AF302811}"/>
            </a:ext>
          </a:extLst>
        </xdr:cNvPr>
        <xdr:cNvCxnSpPr>
          <a:cxnSpLocks/>
          <a:stCxn id="26" idx="2"/>
          <a:endCxn id="4" idx="0"/>
        </xdr:cNvCxnSpPr>
      </xdr:nvCxnSpPr>
      <xdr:spPr>
        <a:xfrm rot="16200000" flipH="1">
          <a:off x="4546579" y="4262642"/>
          <a:ext cx="653553" cy="2672984"/>
        </a:xfrm>
        <a:prstGeom prst="bentConnector3">
          <a:avLst>
            <a:gd name="adj1" fmla="val 5916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277134</xdr:colOff>
      <xdr:row>20</xdr:row>
      <xdr:rowOff>18640</xdr:rowOff>
    </xdr:from>
    <xdr:to>
      <xdr:col>16</xdr:col>
      <xdr:colOff>404443</xdr:colOff>
      <xdr:row>22</xdr:row>
      <xdr:rowOff>47624</xdr:rowOff>
    </xdr:to>
    <xdr:cxnSp macro="">
      <xdr:nvCxnSpPr>
        <xdr:cNvPr id="29" name="Connector: Elbow 28">
          <a:extLst>
            <a:ext uri="{FF2B5EF4-FFF2-40B4-BE49-F238E27FC236}">
              <a16:creationId xmlns:a16="http://schemas.microsoft.com/office/drawing/2014/main" id="{FDD9D02E-6F93-4E1A-869C-B7216EDB4895}"/>
            </a:ext>
          </a:extLst>
        </xdr:cNvPr>
        <xdr:cNvCxnSpPr>
          <a:stCxn id="6" idx="2"/>
          <a:endCxn id="4" idx="0"/>
        </xdr:cNvCxnSpPr>
      </xdr:nvCxnSpPr>
      <xdr:spPr>
        <a:xfrm rot="5400000">
          <a:off x="6324324" y="5270821"/>
          <a:ext cx="540613" cy="769566"/>
        </a:xfrm>
        <a:prstGeom prst="bentConnector3">
          <a:avLst>
            <a:gd name="adj1" fmla="val 52014"/>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769625</xdr:colOff>
      <xdr:row>20</xdr:row>
      <xdr:rowOff>21022</xdr:rowOff>
    </xdr:from>
    <xdr:to>
      <xdr:col>11</xdr:col>
      <xdr:colOff>1600795</xdr:colOff>
      <xdr:row>22</xdr:row>
      <xdr:rowOff>48814</xdr:rowOff>
    </xdr:to>
    <xdr:cxnSp macro="">
      <xdr:nvCxnSpPr>
        <xdr:cNvPr id="30" name="Connector: Elbow 29">
          <a:extLst>
            <a:ext uri="{FF2B5EF4-FFF2-40B4-BE49-F238E27FC236}">
              <a16:creationId xmlns:a16="http://schemas.microsoft.com/office/drawing/2014/main" id="{2D4C27CB-DF31-4176-8D5F-4273AB306844}"/>
            </a:ext>
          </a:extLst>
        </xdr:cNvPr>
        <xdr:cNvCxnSpPr>
          <a:stCxn id="2" idx="2"/>
          <a:endCxn id="20" idx="0"/>
        </xdr:cNvCxnSpPr>
      </xdr:nvCxnSpPr>
      <xdr:spPr>
        <a:xfrm rot="5400000">
          <a:off x="4914639" y="5286708"/>
          <a:ext cx="542142" cy="83117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1293415</xdr:colOff>
      <xdr:row>6</xdr:row>
      <xdr:rowOff>8731</xdr:rowOff>
    </xdr:from>
    <xdr:to>
      <xdr:col>7</xdr:col>
      <xdr:colOff>1921669</xdr:colOff>
      <xdr:row>6</xdr:row>
      <xdr:rowOff>8731</xdr:rowOff>
    </xdr:to>
    <xdr:cxnSp macro="">
      <xdr:nvCxnSpPr>
        <xdr:cNvPr id="31" name="Connector: Elbow 30">
          <a:extLst>
            <a:ext uri="{FF2B5EF4-FFF2-40B4-BE49-F238E27FC236}">
              <a16:creationId xmlns:a16="http://schemas.microsoft.com/office/drawing/2014/main" id="{BA978A2F-F3A9-427D-B4B9-723B592E6A08}"/>
            </a:ext>
          </a:extLst>
        </xdr:cNvPr>
        <xdr:cNvCxnSpPr>
          <a:stCxn id="5" idx="3"/>
          <a:endCxn id="24" idx="1"/>
        </xdr:cNvCxnSpPr>
      </xdr:nvCxnSpPr>
      <xdr:spPr>
        <a:xfrm flipV="1">
          <a:off x="2407840" y="1818481"/>
          <a:ext cx="628254" cy="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231774</xdr:colOff>
      <xdr:row>7</xdr:row>
      <xdr:rowOff>158353</xdr:rowOff>
    </xdr:from>
    <xdr:to>
      <xdr:col>9</xdr:col>
      <xdr:colOff>234157</xdr:colOff>
      <xdr:row>9</xdr:row>
      <xdr:rowOff>112708</xdr:rowOff>
    </xdr:to>
    <xdr:cxnSp macro="">
      <xdr:nvCxnSpPr>
        <xdr:cNvPr id="32" name="Straight Arrow Connector 31">
          <a:extLst>
            <a:ext uri="{FF2B5EF4-FFF2-40B4-BE49-F238E27FC236}">
              <a16:creationId xmlns:a16="http://schemas.microsoft.com/office/drawing/2014/main" id="{7833BCA2-0A1D-4215-B7CD-5C1B2F2CBCD5}"/>
            </a:ext>
          </a:extLst>
        </xdr:cNvPr>
        <xdr:cNvCxnSpPr>
          <a:stCxn id="24" idx="2"/>
          <a:endCxn id="25" idx="0"/>
        </xdr:cNvCxnSpPr>
      </xdr:nvCxnSpPr>
      <xdr:spPr>
        <a:xfrm flipH="1">
          <a:off x="3732211" y="2230040"/>
          <a:ext cx="2383" cy="463943"/>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227606</xdr:colOff>
      <xdr:row>13</xdr:row>
      <xdr:rowOff>90484</xdr:rowOff>
    </xdr:from>
    <xdr:to>
      <xdr:col>9</xdr:col>
      <xdr:colOff>229988</xdr:colOff>
      <xdr:row>16</xdr:row>
      <xdr:rowOff>38890</xdr:rowOff>
    </xdr:to>
    <xdr:cxnSp macro="">
      <xdr:nvCxnSpPr>
        <xdr:cNvPr id="33" name="Straight Arrow Connector 32">
          <a:extLst>
            <a:ext uri="{FF2B5EF4-FFF2-40B4-BE49-F238E27FC236}">
              <a16:creationId xmlns:a16="http://schemas.microsoft.com/office/drawing/2014/main" id="{C2F6FD8B-0E00-456A-B2BD-FFC63397DF17}"/>
            </a:ext>
          </a:extLst>
        </xdr:cNvPr>
        <xdr:cNvCxnSpPr>
          <a:stCxn id="25" idx="2"/>
          <a:endCxn id="26" idx="0"/>
        </xdr:cNvCxnSpPr>
      </xdr:nvCxnSpPr>
      <xdr:spPr>
        <a:xfrm flipH="1">
          <a:off x="3723281" y="3705221"/>
          <a:ext cx="2382" cy="715169"/>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19</xdr:row>
      <xdr:rowOff>19049</xdr:rowOff>
    </xdr:from>
    <xdr:to>
      <xdr:col>5</xdr:col>
      <xdr:colOff>1238250</xdr:colOff>
      <xdr:row>43</xdr:row>
      <xdr:rowOff>9525</xdr:rowOff>
    </xdr:to>
    <xdr:graphicFrame macro="">
      <xdr:nvGraphicFramePr>
        <xdr:cNvPr id="3" name="Chart 2">
          <a:extLst>
            <a:ext uri="{FF2B5EF4-FFF2-40B4-BE49-F238E27FC236}">
              <a16:creationId xmlns:a16="http://schemas.microsoft.com/office/drawing/2014/main" id="{9B06FE82-F27C-CF6F-F003-81546F6C2C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657225</xdr:colOff>
      <xdr:row>52</xdr:row>
      <xdr:rowOff>57148</xdr:rowOff>
    </xdr:from>
    <xdr:to>
      <xdr:col>12</xdr:col>
      <xdr:colOff>200025</xdr:colOff>
      <xdr:row>76</xdr:row>
      <xdr:rowOff>66675</xdr:rowOff>
    </xdr:to>
    <xdr:graphicFrame macro="">
      <xdr:nvGraphicFramePr>
        <xdr:cNvPr id="2" name="Chart 1">
          <a:extLst>
            <a:ext uri="{FF2B5EF4-FFF2-40B4-BE49-F238E27FC236}">
              <a16:creationId xmlns:a16="http://schemas.microsoft.com/office/drawing/2014/main" id="{E0D6BB7A-E0AA-B8B5-D886-8ED8C1855560}"/>
            </a:ext>
            <a:ext uri="{147F2762-F138-4A5C-976F-8EAC2B608ADB}">
              <a16:predDERef xmlns:a16="http://schemas.microsoft.com/office/drawing/2014/main" pred="{9B06FE82-F27C-CF6F-F003-81546F6C2C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239041</xdr:colOff>
      <xdr:row>24</xdr:row>
      <xdr:rowOff>160109</xdr:rowOff>
    </xdr:from>
    <xdr:to>
      <xdr:col>17</xdr:col>
      <xdr:colOff>762000</xdr:colOff>
      <xdr:row>49</xdr:row>
      <xdr:rowOff>24849</xdr:rowOff>
    </xdr:to>
    <xdr:graphicFrame macro="">
      <xdr:nvGraphicFramePr>
        <xdr:cNvPr id="12" name="Chart 2">
          <a:extLst>
            <a:ext uri="{FF2B5EF4-FFF2-40B4-BE49-F238E27FC236}">
              <a16:creationId xmlns:a16="http://schemas.microsoft.com/office/drawing/2014/main" id="{AB00C2EE-E9DE-E9B2-DD6E-B895EF524F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1303652</xdr:colOff>
      <xdr:row>24</xdr:row>
      <xdr:rowOff>122668</xdr:rowOff>
    </xdr:from>
    <xdr:to>
      <xdr:col>25</xdr:col>
      <xdr:colOff>1217544</xdr:colOff>
      <xdr:row>48</xdr:row>
      <xdr:rowOff>102940</xdr:rowOff>
    </xdr:to>
    <xdr:graphicFrame macro="">
      <xdr:nvGraphicFramePr>
        <xdr:cNvPr id="2" name="Chart 1">
          <a:extLst>
            <a:ext uri="{FF2B5EF4-FFF2-40B4-BE49-F238E27FC236}">
              <a16:creationId xmlns:a16="http://schemas.microsoft.com/office/drawing/2014/main" id="{73320040-B9EB-5608-0249-E6B7988E0A80}"/>
            </a:ext>
            <a:ext uri="{147F2762-F138-4A5C-976F-8EAC2B608ADB}">
              <a16:predDERef xmlns:a16="http://schemas.microsoft.com/office/drawing/2014/main" pred="{AB00C2EE-E9DE-E9B2-DD6E-B895EF524F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xdr:colOff>
      <xdr:row>47</xdr:row>
      <xdr:rowOff>123825</xdr:rowOff>
    </xdr:from>
    <xdr:to>
      <xdr:col>8</xdr:col>
      <xdr:colOff>669649</xdr:colOff>
      <xdr:row>71</xdr:row>
      <xdr:rowOff>22223</xdr:rowOff>
    </xdr:to>
    <xdr:graphicFrame macro="">
      <xdr:nvGraphicFramePr>
        <xdr:cNvPr id="5" name="Chart 2">
          <a:extLst>
            <a:ext uri="{FF2B5EF4-FFF2-40B4-BE49-F238E27FC236}">
              <a16:creationId xmlns:a16="http://schemas.microsoft.com/office/drawing/2014/main" id="{DFF84CF7-B97E-42F1-94DA-9704ECACC347}"/>
            </a:ext>
            <a:ext uri="{147F2762-F138-4A5C-976F-8EAC2B608ADB}">
              <a16:predDERef xmlns:a16="http://schemas.microsoft.com/office/drawing/2014/main" pred="{73320040-B9EB-5608-0249-E6B7988E0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420290-0681-46C0-A5D9-A850A2A54129}" name="Table25" displayName="Table25" ref="B32:C53" totalsRowShown="0" headerRowDxfId="38">
  <autoFilter ref="B32:C53" xr:uid="{2370A5A1-301B-4E2E-A386-7399AB66D63A}"/>
  <tableColumns count="2">
    <tableColumn id="1" xr3:uid="{D1CA6F79-C83B-40BD-B1EB-446F3CE0CD3D}" name="Tab name" dataDxfId="37"/>
    <tableColumn id="2" xr3:uid="{B56D6694-1615-44EC-80DF-B9C32508901D}" name="Description" dataDxfId="3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014F33-FD60-4C2E-B32D-B2323E622BD0}" name="Table1" displayName="Table1" ref="A4:L125" totalsRowShown="0" headerRowDxfId="33" dataDxfId="32" headerRowBorderDxfId="31">
  <autoFilter ref="A4:L125" xr:uid="{CC014F33-FD60-4C2E-B32D-B2323E622BD0}"/>
  <tableColumns count="12">
    <tableColumn id="1" xr3:uid="{2121EFC6-E464-4929-83BC-8DDD041FD697}" name="Acronym" dataDxfId="30">
      <calculatedColumnFormula>F_Inputs_adjusted!A8</calculatedColumnFormula>
    </tableColumn>
    <tableColumn id="2" xr3:uid="{C8E4FC9F-EBB8-4F41-80BB-D3A7C1E1D03B}" name="BON code" dataDxfId="29">
      <calculatedColumnFormula>F_Inputs_adjusted!B8</calculatedColumnFormula>
    </tableColumn>
    <tableColumn id="3" xr3:uid="{121C4AA1-0CE3-4A73-B047-6ECBBA6C2BF6}" name="Item Description" dataDxfId="28">
      <calculatedColumnFormula>F_Inputs_adjusted!C8</calculatedColumnFormula>
    </tableColumn>
    <tableColumn id="4" xr3:uid="{20352AE6-D1FD-49BD-9BEB-984D2951530C}" name="Unit" dataDxfId="27">
      <calculatedColumnFormula>F_Inputs_adjusted!D8</calculatedColumnFormula>
    </tableColumn>
    <tableColumn id="5" xr3:uid="{520ECBA6-CEA2-42F8-BEA1-3D6408C7FF40}" name="Model" dataDxfId="26">
      <calculatedColumnFormula>F_Inputs_adjusted!E8</calculatedColumnFormula>
    </tableColumn>
    <tableColumn id="6" xr3:uid="{8C3E5762-216B-4927-8B89-B6E0DFD0DCE1}" name="2023-24" dataDxfId="25">
      <calculatedColumnFormula>F_Inputs_adjusted!N8</calculatedColumnFormula>
    </tableColumn>
    <tableColumn id="7" xr3:uid="{1F3F45F3-2085-4FC7-AE11-B3C8A857ADE8}" name="2024-25" dataDxfId="24">
      <calculatedColumnFormula>F_Inputs_adjusted!O8</calculatedColumnFormula>
    </tableColumn>
    <tableColumn id="8" xr3:uid="{06FE474E-BD77-4382-A4D1-132B00ECBD1F}" name="2025-26" dataDxfId="23">
      <calculatedColumnFormula>F_Inputs_adjusted!P8</calculatedColumnFormula>
    </tableColumn>
    <tableColumn id="9" xr3:uid="{25F5482E-37AE-4ABF-8FB5-9D0BC4F230CD}" name="2026-27" dataDxfId="22">
      <calculatedColumnFormula>F_Inputs_adjusted!Q8</calculatedColumnFormula>
    </tableColumn>
    <tableColumn id="10" xr3:uid="{6A919D0B-D894-49DF-84EC-16B1F0A1B78C}" name="2027-28" dataDxfId="21">
      <calculatedColumnFormula>F_Inputs_adjusted!R8</calculatedColumnFormula>
    </tableColumn>
    <tableColumn id="11" xr3:uid="{EF41C11C-C9CD-4B0A-A638-2D8C0E94ED9E}" name="2028-29" dataDxfId="20">
      <calculatedColumnFormula>F_Inputs_adjusted!S8</calculatedColumnFormula>
    </tableColumn>
    <tableColumn id="12" xr3:uid="{C40AB1CD-053D-4635-A95B-B2DE0AB92774}" name="2029-30" dataDxfId="19">
      <calculatedColumnFormula>F_Inputs_adjusted!T8</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1BFCA03-974F-43D8-A9A9-96F62CEEA029}" name="Table3" displayName="Table3" ref="A4:M125" totalsRowShown="0" headerRowDxfId="18" dataDxfId="17" headerRowBorderDxfId="15" tableBorderDxfId="16">
  <autoFilter ref="A4:M125" xr:uid="{61BFCA03-974F-43D8-A9A9-96F62CEEA029}"/>
  <tableColumns count="13">
    <tableColumn id="1" xr3:uid="{944F1FF9-42A5-42E6-9A80-3E637FC92D40}" name="Acronym" dataDxfId="14">
      <calculatedColumnFormula>'F_Input Override'!A5</calculatedColumnFormula>
    </tableColumn>
    <tableColumn id="2" xr3:uid="{ADCE4202-8C67-4A33-A11D-FD130B879493}" name="BON code" dataDxfId="13">
      <calculatedColumnFormula>'F_Input Override'!B5</calculatedColumnFormula>
    </tableColumn>
    <tableColumn id="3" xr3:uid="{C6D7523F-7CA9-4C77-938A-6DC704995BF8}" name="Item Description" dataDxfId="12">
      <calculatedColumnFormula>'F_Input Override'!C5</calculatedColumnFormula>
    </tableColumn>
    <tableColumn id="4" xr3:uid="{477D3632-284E-4531-ACE1-16B5DE1CC66E}" name="Unit" dataDxfId="11">
      <calculatedColumnFormula>'F_Input Override'!D5</calculatedColumnFormula>
    </tableColumn>
    <tableColumn id="5" xr3:uid="{18E5EE00-3837-46E7-99CE-1B113A6B4FC0}" name="Model" dataDxfId="10">
      <calculatedColumnFormula>'F_Input Override'!E5</calculatedColumnFormula>
    </tableColumn>
    <tableColumn id="6" xr3:uid="{15D9B7D3-8785-4CE7-840F-F5B8C852D471}" name="2023-24" dataDxfId="9">
      <calculatedColumnFormula>IF('F_Input Override'!F5="",'Consolidated Input'!F5,('F_Input Override'!F5))</calculatedColumnFormula>
    </tableColumn>
    <tableColumn id="7" xr3:uid="{012D0463-5DA9-454D-83BD-4489157690C7}" name="2024-25" dataDxfId="8">
      <calculatedColumnFormula>IF('F_Input Override'!G5="",'Consolidated Input'!G5,('F_Input Override'!G5))</calculatedColumnFormula>
    </tableColumn>
    <tableColumn id="8" xr3:uid="{11FA4B2E-2B5E-4F1C-A900-E8DCA5075363}" name="2025-26" dataDxfId="7">
      <calculatedColumnFormula>IF('F_Input Override'!H5="",'Consolidated Input'!H5,('F_Input Override'!H5))</calculatedColumnFormula>
    </tableColumn>
    <tableColumn id="9" xr3:uid="{39628FD4-0035-4771-8658-6A5A8FCE4EA6}" name="2026-27" dataDxfId="6">
      <calculatedColumnFormula>IF('F_Input Override'!I5="",'Consolidated Input'!I5,('F_Input Override'!I5))</calculatedColumnFormula>
    </tableColumn>
    <tableColumn id="10" xr3:uid="{BC93C88D-78E0-4D12-A0A1-0B8264C9BC3B}" name="2027-28" dataDxfId="5">
      <calculatedColumnFormula>IF('F_Input Override'!J5="",'Consolidated Input'!J5,('F_Input Override'!J5))</calculatedColumnFormula>
    </tableColumn>
    <tableColumn id="11" xr3:uid="{E4397F6B-7327-4978-8574-F5F83F5A3253}" name="2028-29" dataDxfId="4">
      <calculatedColumnFormula>IF('F_Input Override'!K5="",'Consolidated Input'!K5,('F_Input Override'!K5))</calculatedColumnFormula>
    </tableColumn>
    <tableColumn id="12" xr3:uid="{8F19F334-CB54-41C8-919B-56BC160E545B}" name="2029-30" dataDxfId="3">
      <calculatedColumnFormula>IF('F_Input Override'!L5="",'Consolidated Input'!L5,('F_Input Override'!L5))</calculatedColumnFormula>
    </tableColumn>
    <tableColumn id="13" xr3:uid="{7EC47E2D-9297-4916-8197-382A2006BED4}" name="Total" dataDxfId="2">
      <calculatedColumnFormula>SUM(H5:L5)</calculatedColumnFormula>
    </tableColumn>
  </tableColumns>
  <tableStyleInfo showFirstColumn="0" showLastColumn="0" showRowStripes="1" showColumnStripes="0"/>
</table>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FD2C6-266C-4254-81E6-84897B19A942}">
  <sheetPr>
    <tabColor rgb="FFCCCCCE"/>
  </sheetPr>
  <dimension ref="A1:J106"/>
  <sheetViews>
    <sheetView showGridLines="0" tabSelected="1" zoomScale="80" zoomScaleNormal="80" workbookViewId="0"/>
  </sheetViews>
  <sheetFormatPr defaultColWidth="0" defaultRowHeight="13.5" customHeight="1" zeroHeight="1"/>
  <cols>
    <col min="1" max="1" width="8.140625" style="60" customWidth="1"/>
    <col min="2" max="2" width="61.42578125" style="60" bestFit="1" customWidth="1"/>
    <col min="3" max="3" width="110.7109375" style="60" customWidth="1"/>
    <col min="4" max="4" width="8.5703125" style="60" customWidth="1"/>
    <col min="5" max="10" width="0" style="60" hidden="1" customWidth="1"/>
    <col min="11" max="16384" width="8.5703125" style="60" hidden="1"/>
  </cols>
  <sheetData>
    <row r="1" spans="1:4" ht="47.25">
      <c r="A1" s="58" t="str">
        <f ca="1" xml:space="preserve"> RIGHT(CELL("filename", $A$1), LEN(CELL("filename", $A$1)) - SEARCH("]", CELL("filename", $A$1)))</f>
        <v>Cover</v>
      </c>
      <c r="B1" s="58"/>
      <c r="C1" s="59"/>
      <c r="D1" s="59"/>
    </row>
    <row r="2" spans="1:4" ht="20.25"/>
    <row r="3" spans="1:4" s="61" customFormat="1" ht="36.75">
      <c r="B3" s="62" t="s">
        <v>0</v>
      </c>
    </row>
    <row r="4" spans="1:4" ht="20.25"/>
    <row r="5" spans="1:4" ht="20.25">
      <c r="B5" s="60" t="s">
        <v>1</v>
      </c>
      <c r="C5" s="60" t="s">
        <v>2</v>
      </c>
    </row>
    <row r="6" spans="1:4" ht="20.25">
      <c r="B6" s="60" t="s">
        <v>3</v>
      </c>
      <c r="C6" s="63">
        <v>2</v>
      </c>
    </row>
    <row r="7" spans="1:4" ht="20.25">
      <c r="B7" s="60" t="s">
        <v>4</v>
      </c>
      <c r="C7" s="64" t="e">
        <f ca="1" xml:space="preserve"> MID(CELL("filename"), FIND("[", CELL("filename"), 1) + 1, FIND("]", CELL("filename"), 1) - FIND("[", CELL("filename"), 1) - 1)</f>
        <v>#VALUE!</v>
      </c>
    </row>
    <row r="8" spans="1:4" ht="20.25">
      <c r="B8" s="60" t="s">
        <v>5</v>
      </c>
      <c r="C8" s="65">
        <v>45627</v>
      </c>
    </row>
    <row r="9" spans="1:4" ht="20.25"/>
    <row r="10" spans="1:4" ht="20.25">
      <c r="B10" s="60" t="s">
        <v>6</v>
      </c>
      <c r="C10" s="66" t="s">
        <v>7</v>
      </c>
    </row>
    <row r="11" spans="1:4" ht="20.25"/>
    <row r="12" spans="1:4" ht="20.25">
      <c r="C12" s="67"/>
    </row>
    <row r="13" spans="1:4" ht="20.25">
      <c r="C13" s="67"/>
    </row>
    <row r="14" spans="1:4" ht="20.25">
      <c r="C14" s="67"/>
    </row>
    <row r="15" spans="1:4" ht="20.25">
      <c r="C15" s="67"/>
    </row>
    <row r="16" spans="1:4" ht="20.25">
      <c r="C16" s="67"/>
    </row>
    <row r="17" spans="2:3" ht="20.25">
      <c r="C17" s="67"/>
    </row>
    <row r="18" spans="2:3" ht="20.25">
      <c r="C18" s="67"/>
    </row>
    <row r="19" spans="2:3" ht="20.25">
      <c r="C19" s="67"/>
    </row>
    <row r="20" spans="2:3" ht="20.25">
      <c r="C20" s="67"/>
    </row>
    <row r="21" spans="2:3" ht="20.25">
      <c r="C21" s="67"/>
    </row>
    <row r="22" spans="2:3" ht="20.25">
      <c r="C22" s="67"/>
    </row>
    <row r="23" spans="2:3" ht="20.25">
      <c r="C23" s="67"/>
    </row>
    <row r="24" spans="2:3" ht="20.25"/>
    <row r="25" spans="2:3" ht="20.25"/>
    <row r="26" spans="2:3" ht="20.25"/>
    <row r="27" spans="2:3" ht="20.25"/>
    <row r="28" spans="2:3" ht="20.25"/>
    <row r="29" spans="2:3" ht="20.25"/>
    <row r="30" spans="2:3" ht="22.5">
      <c r="B30" s="68" t="s">
        <v>8</v>
      </c>
    </row>
    <row r="31" spans="2:3" ht="20.25"/>
    <row r="32" spans="2:3" ht="20.25">
      <c r="B32" s="69" t="s">
        <v>9</v>
      </c>
      <c r="C32" s="69" t="s">
        <v>10</v>
      </c>
    </row>
    <row r="33" spans="2:3" ht="20.25">
      <c r="B33" s="94" t="s">
        <v>11</v>
      </c>
      <c r="C33" s="96" t="s">
        <v>12</v>
      </c>
    </row>
    <row r="34" spans="2:3" ht="20.25">
      <c r="B34" s="95" t="s">
        <v>13</v>
      </c>
      <c r="C34" s="193" t="s">
        <v>14</v>
      </c>
    </row>
    <row r="35" spans="2:3" ht="20.25">
      <c r="B35" s="94" t="s">
        <v>15</v>
      </c>
      <c r="C35" s="96" t="s">
        <v>16</v>
      </c>
    </row>
    <row r="36" spans="2:3" ht="20.25">
      <c r="B36" s="95" t="s">
        <v>17</v>
      </c>
      <c r="C36" s="193" t="s">
        <v>18</v>
      </c>
    </row>
    <row r="37" spans="2:3" ht="43.5" customHeight="1">
      <c r="B37" s="94" t="s">
        <v>19</v>
      </c>
      <c r="C37" s="96" t="s">
        <v>20</v>
      </c>
    </row>
    <row r="38" spans="2:3" ht="20.25">
      <c r="B38" s="95" t="s">
        <v>21</v>
      </c>
      <c r="C38" s="193" t="s">
        <v>22</v>
      </c>
    </row>
    <row r="39" spans="2:3" ht="20.25">
      <c r="B39" s="94" t="s">
        <v>23</v>
      </c>
      <c r="C39" s="96" t="s">
        <v>24</v>
      </c>
    </row>
    <row r="40" spans="2:3" ht="20.25">
      <c r="B40" s="95" t="s">
        <v>25</v>
      </c>
      <c r="C40" s="193" t="s">
        <v>26</v>
      </c>
    </row>
    <row r="41" spans="2:3" ht="20.25">
      <c r="B41" s="94" t="s">
        <v>27</v>
      </c>
      <c r="C41" s="96" t="s">
        <v>28</v>
      </c>
    </row>
    <row r="42" spans="2:3" ht="20.25">
      <c r="B42" s="95" t="s">
        <v>29</v>
      </c>
      <c r="C42" s="193" t="s">
        <v>16</v>
      </c>
    </row>
    <row r="43" spans="2:3" ht="20.25" customHeight="1">
      <c r="B43" s="94" t="s">
        <v>30</v>
      </c>
      <c r="C43" s="96" t="s">
        <v>31</v>
      </c>
    </row>
    <row r="44" spans="2:3" ht="20.25" customHeight="1">
      <c r="B44" s="97" t="s">
        <v>32</v>
      </c>
      <c r="C44" s="194" t="s">
        <v>33</v>
      </c>
    </row>
    <row r="45" spans="2:3" ht="20.25" customHeight="1">
      <c r="B45" s="94" t="s">
        <v>34</v>
      </c>
      <c r="C45" s="96" t="s">
        <v>35</v>
      </c>
    </row>
    <row r="46" spans="2:3" ht="20.25" customHeight="1">
      <c r="B46" s="95" t="s">
        <v>36</v>
      </c>
      <c r="C46" s="193" t="s">
        <v>37</v>
      </c>
    </row>
    <row r="47" spans="2:3" ht="40.5">
      <c r="B47" s="94" t="s">
        <v>38</v>
      </c>
      <c r="C47" s="96" t="s">
        <v>39</v>
      </c>
    </row>
    <row r="48" spans="2:3" ht="20.25" customHeight="1">
      <c r="B48" s="95" t="s">
        <v>40</v>
      </c>
      <c r="C48" s="193" t="s">
        <v>16</v>
      </c>
    </row>
    <row r="49" spans="2:4" ht="20.25">
      <c r="B49" s="94" t="s">
        <v>41</v>
      </c>
      <c r="C49" s="96" t="s">
        <v>42</v>
      </c>
    </row>
    <row r="50" spans="2:4" ht="40.5">
      <c r="B50" s="95" t="s">
        <v>43</v>
      </c>
      <c r="C50" s="193" t="s">
        <v>44</v>
      </c>
    </row>
    <row r="51" spans="2:4" ht="20.25" customHeight="1">
      <c r="B51" s="94" t="s">
        <v>45</v>
      </c>
      <c r="C51" s="96" t="s">
        <v>46</v>
      </c>
    </row>
    <row r="52" spans="2:4" ht="20.25" customHeight="1">
      <c r="B52" s="95" t="s">
        <v>47</v>
      </c>
      <c r="C52" s="193" t="s">
        <v>48</v>
      </c>
    </row>
    <row r="53" spans="2:4" ht="20.25" customHeight="1">
      <c r="B53" s="94" t="s">
        <v>49</v>
      </c>
      <c r="C53" s="96" t="s">
        <v>50</v>
      </c>
    </row>
    <row r="54" spans="2:4" ht="20.25" customHeight="1"/>
    <row r="55" spans="2:4" ht="22.5">
      <c r="B55" s="113" t="s">
        <v>51</v>
      </c>
      <c r="C55" s="114"/>
      <c r="D55" s="114"/>
    </row>
    <row r="56" spans="2:4" ht="20.25" customHeight="1">
      <c r="B56" s="114"/>
      <c r="C56" s="114"/>
      <c r="D56" s="114"/>
    </row>
    <row r="57" spans="2:4" ht="20.25" customHeight="1">
      <c r="B57" s="115" t="s">
        <v>52</v>
      </c>
      <c r="C57" s="115" t="s">
        <v>53</v>
      </c>
      <c r="D57" s="115" t="s">
        <v>54</v>
      </c>
    </row>
    <row r="58" spans="2:4" ht="20.25" customHeight="1">
      <c r="B58" s="116"/>
      <c r="C58" s="116"/>
      <c r="D58" s="116"/>
    </row>
    <row r="59" spans="2:4" ht="20.25" customHeight="1">
      <c r="B59" s="116"/>
      <c r="C59" s="116"/>
      <c r="D59" s="116"/>
    </row>
    <row r="60" spans="2:4" ht="20.25" customHeight="1"/>
    <row r="61" spans="2:4" ht="20.25" customHeight="1"/>
    <row r="62" spans="2:4" ht="20.25" customHeight="1"/>
    <row r="63" spans="2:4" ht="20.25" customHeight="1"/>
    <row r="64" spans="2: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13.5" customHeight="1"/>
    <row r="103" ht="13.5" customHeight="1"/>
    <row r="104" ht="13.5" customHeight="1"/>
    <row r="105" ht="13.5" customHeight="1"/>
    <row r="106" ht="13.5" customHeight="1"/>
  </sheetData>
  <hyperlinks>
    <hyperlink ref="C10" r:id="rId1" xr:uid="{9D3108D4-27BE-4786-B7CA-AA6416CBB040}"/>
  </hyperlinks>
  <pageMargins left="0.7" right="0.7" top="0.75" bottom="0.75" header="0.3" footer="0.3"/>
  <pageSetup paperSize="9"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973C-FF09-4A18-97CB-16227F7E69D6}">
  <sheetPr>
    <tabColor rgb="FFFFDB8E"/>
  </sheetPr>
  <dimension ref="A1:M18"/>
  <sheetViews>
    <sheetView zoomScale="80" zoomScaleNormal="80" workbookViewId="0"/>
  </sheetViews>
  <sheetFormatPr defaultColWidth="9.140625" defaultRowHeight="12.75"/>
  <cols>
    <col min="1" max="16384" width="9.140625" style="2"/>
  </cols>
  <sheetData>
    <row r="1" spans="1:13" customFormat="1" ht="31.5">
      <c r="A1" s="1" t="str">
        <f ca="1" xml:space="preserve"> RIGHT(CELL("filename", $A$1), LEN(CELL("filename", $A$1)) - SEARCH("]", CELL("filename", $A$1)))</f>
        <v>Company level efficiencies</v>
      </c>
      <c r="B1" s="1"/>
      <c r="C1" s="1"/>
      <c r="D1" s="1"/>
      <c r="E1" s="1"/>
      <c r="F1" s="1"/>
      <c r="G1" s="1"/>
      <c r="H1" s="1"/>
      <c r="I1" s="1"/>
      <c r="J1" s="1"/>
      <c r="K1" s="1"/>
      <c r="L1" s="1"/>
    </row>
    <row r="2" spans="1:13">
      <c r="A2" s="3"/>
      <c r="B2" s="3"/>
      <c r="C2" s="3"/>
      <c r="D2" s="119" t="s">
        <v>114</v>
      </c>
      <c r="E2" s="119"/>
      <c r="F2" s="119" t="s">
        <v>115</v>
      </c>
      <c r="G2" s="119"/>
      <c r="H2" s="119"/>
      <c r="I2" s="3"/>
      <c r="J2" s="3"/>
      <c r="K2" s="3"/>
      <c r="L2" s="3"/>
      <c r="M2" s="3"/>
    </row>
    <row r="3" spans="1:13">
      <c r="A3" s="3"/>
      <c r="B3" s="3"/>
      <c r="C3" s="3"/>
      <c r="D3" s="119"/>
      <c r="E3" s="3"/>
      <c r="F3" s="119"/>
      <c r="G3" s="119"/>
      <c r="H3" s="119"/>
      <c r="I3" s="3"/>
      <c r="J3" s="3"/>
      <c r="K3" s="3"/>
      <c r="L3" s="3"/>
      <c r="M3" s="3"/>
    </row>
    <row r="4" spans="1:13">
      <c r="A4" s="3"/>
      <c r="B4" s="130" t="s">
        <v>116</v>
      </c>
      <c r="C4" s="130" t="s">
        <v>117</v>
      </c>
      <c r="D4" s="130" t="s">
        <v>107</v>
      </c>
      <c r="E4" s="130" t="s">
        <v>118</v>
      </c>
      <c r="F4" s="130" t="s">
        <v>119</v>
      </c>
      <c r="G4" s="130" t="s">
        <v>64</v>
      </c>
      <c r="H4" s="130" t="s">
        <v>65</v>
      </c>
      <c r="I4" s="130" t="s">
        <v>66</v>
      </c>
      <c r="J4" s="130" t="s">
        <v>67</v>
      </c>
      <c r="K4" s="130" t="s">
        <v>68</v>
      </c>
      <c r="L4" s="130" t="s">
        <v>69</v>
      </c>
      <c r="M4" s="130" t="s">
        <v>70</v>
      </c>
    </row>
    <row r="5" spans="1:13">
      <c r="A5" s="3"/>
      <c r="B5" s="130" t="s">
        <v>116</v>
      </c>
      <c r="C5" s="130" t="s">
        <v>117</v>
      </c>
      <c r="D5" s="130" t="s">
        <v>107</v>
      </c>
      <c r="E5" s="130" t="s">
        <v>118</v>
      </c>
      <c r="F5" s="130" t="s">
        <v>119</v>
      </c>
      <c r="G5" s="130" t="s">
        <v>64</v>
      </c>
      <c r="H5" s="130" t="s">
        <v>65</v>
      </c>
      <c r="I5" s="130" t="s">
        <v>120</v>
      </c>
      <c r="J5" s="130" t="s">
        <v>120</v>
      </c>
      <c r="K5" s="130" t="s">
        <v>120</v>
      </c>
      <c r="L5" s="130" t="s">
        <v>120</v>
      </c>
      <c r="M5" s="130" t="s">
        <v>120</v>
      </c>
    </row>
    <row r="6" spans="1:13">
      <c r="A6" s="3"/>
      <c r="B6" s="130" t="s">
        <v>116</v>
      </c>
      <c r="C6" s="130" t="s">
        <v>117</v>
      </c>
      <c r="D6" s="130" t="s">
        <v>107</v>
      </c>
      <c r="E6" s="130" t="s">
        <v>118</v>
      </c>
      <c r="F6" s="130" t="s">
        <v>119</v>
      </c>
      <c r="G6" s="130" t="s">
        <v>64</v>
      </c>
      <c r="H6" s="130" t="s">
        <v>65</v>
      </c>
      <c r="I6" s="130" t="s">
        <v>73</v>
      </c>
      <c r="J6" s="130" t="s">
        <v>73</v>
      </c>
      <c r="K6" s="130" t="s">
        <v>73</v>
      </c>
      <c r="L6" s="130" t="s">
        <v>73</v>
      </c>
      <c r="M6" s="130" t="s">
        <v>73</v>
      </c>
    </row>
    <row r="7" spans="1:13">
      <c r="A7" s="3"/>
      <c r="B7" s="130" t="s">
        <v>116</v>
      </c>
      <c r="C7" s="130" t="s">
        <v>117</v>
      </c>
      <c r="D7" s="130" t="s">
        <v>107</v>
      </c>
      <c r="E7" s="130" t="s">
        <v>118</v>
      </c>
      <c r="F7" s="130" t="s">
        <v>119</v>
      </c>
      <c r="G7" s="130" t="s">
        <v>64</v>
      </c>
      <c r="H7" s="130" t="s">
        <v>65</v>
      </c>
      <c r="I7" s="130" t="s">
        <v>74</v>
      </c>
      <c r="J7" s="130" t="s">
        <v>74</v>
      </c>
      <c r="K7" s="130" t="s">
        <v>74</v>
      </c>
      <c r="L7" s="130" t="s">
        <v>74</v>
      </c>
      <c r="M7" s="130" t="s">
        <v>74</v>
      </c>
    </row>
    <row r="8" spans="1:13">
      <c r="A8" s="3"/>
      <c r="B8" s="3" t="s">
        <v>75</v>
      </c>
      <c r="C8" s="3" t="s">
        <v>121</v>
      </c>
      <c r="D8" s="3" t="s">
        <v>122</v>
      </c>
      <c r="E8" s="3" t="s">
        <v>123</v>
      </c>
      <c r="F8" s="3" t="s">
        <v>72</v>
      </c>
      <c r="G8" s="210">
        <v>0</v>
      </c>
      <c r="H8" s="210">
        <v>0</v>
      </c>
      <c r="I8" s="129">
        <v>0</v>
      </c>
      <c r="J8" s="129">
        <v>0</v>
      </c>
      <c r="K8" s="129">
        <v>0</v>
      </c>
      <c r="L8" s="129">
        <v>0</v>
      </c>
      <c r="M8" s="129">
        <v>0</v>
      </c>
    </row>
    <row r="9" spans="1:13">
      <c r="A9" s="3"/>
      <c r="B9" s="3" t="s">
        <v>95</v>
      </c>
      <c r="C9" s="3" t="s">
        <v>121</v>
      </c>
      <c r="D9" s="3" t="s">
        <v>122</v>
      </c>
      <c r="E9" s="3" t="s">
        <v>123</v>
      </c>
      <c r="F9" s="3" t="s">
        <v>72</v>
      </c>
      <c r="G9" s="210">
        <v>0</v>
      </c>
      <c r="H9" s="210">
        <v>0</v>
      </c>
      <c r="I9" s="129">
        <v>0</v>
      </c>
      <c r="J9" s="129">
        <v>0</v>
      </c>
      <c r="K9" s="129">
        <v>0</v>
      </c>
      <c r="L9" s="129">
        <v>0</v>
      </c>
      <c r="M9" s="129">
        <v>0</v>
      </c>
    </row>
    <row r="10" spans="1:13">
      <c r="A10" s="3"/>
      <c r="B10" s="3" t="s">
        <v>96</v>
      </c>
      <c r="C10" s="3" t="s">
        <v>121</v>
      </c>
      <c r="D10" s="3" t="s">
        <v>122</v>
      </c>
      <c r="E10" s="3" t="s">
        <v>123</v>
      </c>
      <c r="F10" s="3" t="s">
        <v>72</v>
      </c>
      <c r="G10" s="210">
        <v>0</v>
      </c>
      <c r="H10" s="210">
        <v>0</v>
      </c>
      <c r="I10" s="129">
        <v>0</v>
      </c>
      <c r="J10" s="129">
        <v>0</v>
      </c>
      <c r="K10" s="129">
        <v>0</v>
      </c>
      <c r="L10" s="129">
        <v>0</v>
      </c>
      <c r="M10" s="129">
        <v>0</v>
      </c>
    </row>
    <row r="11" spans="1:13">
      <c r="A11" s="3"/>
      <c r="B11" s="3" t="s">
        <v>97</v>
      </c>
      <c r="C11" s="3" t="s">
        <v>121</v>
      </c>
      <c r="D11" s="3" t="s">
        <v>122</v>
      </c>
      <c r="E11" s="3" t="s">
        <v>123</v>
      </c>
      <c r="F11" s="3" t="s">
        <v>72</v>
      </c>
      <c r="G11" s="210">
        <v>0.08</v>
      </c>
      <c r="H11" s="210">
        <v>0.08</v>
      </c>
      <c r="I11" s="129">
        <v>0.08</v>
      </c>
      <c r="J11" s="129">
        <v>0.08</v>
      </c>
      <c r="K11" s="129">
        <v>0.08</v>
      </c>
      <c r="L11" s="129">
        <v>0.08</v>
      </c>
      <c r="M11" s="129">
        <v>0.08</v>
      </c>
    </row>
    <row r="12" spans="1:13">
      <c r="A12" s="3"/>
      <c r="B12" s="3" t="s">
        <v>98</v>
      </c>
      <c r="C12" s="3" t="s">
        <v>121</v>
      </c>
      <c r="D12" s="3" t="s">
        <v>122</v>
      </c>
      <c r="E12" s="3" t="s">
        <v>123</v>
      </c>
      <c r="F12" s="3" t="s">
        <v>72</v>
      </c>
      <c r="G12" s="210">
        <v>0.05</v>
      </c>
      <c r="H12" s="210">
        <v>0.05</v>
      </c>
      <c r="I12" s="129">
        <v>0.05</v>
      </c>
      <c r="J12" s="129">
        <v>0.05</v>
      </c>
      <c r="K12" s="129">
        <v>0.05</v>
      </c>
      <c r="L12" s="129">
        <v>0.05</v>
      </c>
      <c r="M12" s="129">
        <v>0.05</v>
      </c>
    </row>
    <row r="13" spans="1:13">
      <c r="A13" s="3"/>
      <c r="B13" s="3" t="s">
        <v>99</v>
      </c>
      <c r="C13" s="3" t="s">
        <v>121</v>
      </c>
      <c r="D13" s="3" t="s">
        <v>122</v>
      </c>
      <c r="E13" s="3" t="s">
        <v>123</v>
      </c>
      <c r="F13" s="3" t="s">
        <v>72</v>
      </c>
      <c r="G13" s="210">
        <v>0.01</v>
      </c>
      <c r="H13" s="210">
        <v>0.01</v>
      </c>
      <c r="I13" s="129">
        <v>0.01</v>
      </c>
      <c r="J13" s="129">
        <v>0.01</v>
      </c>
      <c r="K13" s="129">
        <v>0.01</v>
      </c>
      <c r="L13" s="129">
        <v>0.01</v>
      </c>
      <c r="M13" s="129">
        <v>0.01</v>
      </c>
    </row>
    <row r="14" spans="1:13">
      <c r="A14" s="3"/>
      <c r="B14" s="3" t="s">
        <v>100</v>
      </c>
      <c r="C14" s="3" t="s">
        <v>121</v>
      </c>
      <c r="D14" s="3" t="s">
        <v>122</v>
      </c>
      <c r="E14" s="3" t="s">
        <v>123</v>
      </c>
      <c r="F14" s="3" t="s">
        <v>72</v>
      </c>
      <c r="G14" s="210">
        <v>0.08</v>
      </c>
      <c r="H14" s="210">
        <v>0.08</v>
      </c>
      <c r="I14" s="129">
        <v>0.08</v>
      </c>
      <c r="J14" s="129">
        <v>0.08</v>
      </c>
      <c r="K14" s="129">
        <v>0.08</v>
      </c>
      <c r="L14" s="129">
        <v>0.08</v>
      </c>
      <c r="M14" s="129">
        <v>0.08</v>
      </c>
    </row>
    <row r="15" spans="1:13">
      <c r="A15" s="3"/>
      <c r="B15" s="3" t="s">
        <v>101</v>
      </c>
      <c r="C15" s="3" t="s">
        <v>121</v>
      </c>
      <c r="D15" s="3" t="s">
        <v>122</v>
      </c>
      <c r="E15" s="3" t="s">
        <v>123</v>
      </c>
      <c r="F15" s="3" t="s">
        <v>72</v>
      </c>
      <c r="G15" s="210">
        <v>0.1</v>
      </c>
      <c r="H15" s="210">
        <v>0.1</v>
      </c>
      <c r="I15" s="129">
        <v>0.1</v>
      </c>
      <c r="J15" s="129">
        <v>0.1</v>
      </c>
      <c r="K15" s="129">
        <v>0.1</v>
      </c>
      <c r="L15" s="129">
        <v>0.1</v>
      </c>
      <c r="M15" s="129">
        <v>0.1</v>
      </c>
    </row>
    <row r="16" spans="1:13">
      <c r="A16" s="3"/>
      <c r="B16" s="3" t="s">
        <v>102</v>
      </c>
      <c r="C16" s="3" t="s">
        <v>121</v>
      </c>
      <c r="D16" s="3" t="s">
        <v>122</v>
      </c>
      <c r="E16" s="3" t="s">
        <v>123</v>
      </c>
      <c r="F16" s="3" t="s">
        <v>72</v>
      </c>
      <c r="G16" s="210">
        <v>0.1</v>
      </c>
      <c r="H16" s="210">
        <v>0.1</v>
      </c>
      <c r="I16" s="129">
        <v>0.1</v>
      </c>
      <c r="J16" s="129">
        <v>0.1</v>
      </c>
      <c r="K16" s="129">
        <v>0.1</v>
      </c>
      <c r="L16" s="129">
        <v>0.1</v>
      </c>
      <c r="M16" s="129">
        <v>0.1</v>
      </c>
    </row>
    <row r="17" spans="1:13">
      <c r="A17" s="3"/>
      <c r="B17" s="3" t="s">
        <v>103</v>
      </c>
      <c r="C17" s="3" t="s">
        <v>121</v>
      </c>
      <c r="D17" s="3" t="s">
        <v>122</v>
      </c>
      <c r="E17" s="3" t="s">
        <v>123</v>
      </c>
      <c r="F17" s="3" t="s">
        <v>72</v>
      </c>
      <c r="G17" s="210">
        <v>0.1</v>
      </c>
      <c r="H17" s="210">
        <v>0.1</v>
      </c>
      <c r="I17" s="129">
        <v>0.1</v>
      </c>
      <c r="J17" s="129">
        <v>0.1</v>
      </c>
      <c r="K17" s="129">
        <v>0.1</v>
      </c>
      <c r="L17" s="129">
        <v>0.1</v>
      </c>
      <c r="M17" s="129">
        <v>0.1</v>
      </c>
    </row>
    <row r="18" spans="1:13">
      <c r="A18" s="3"/>
      <c r="B18" s="3" t="s">
        <v>104</v>
      </c>
      <c r="C18" s="3" t="s">
        <v>121</v>
      </c>
      <c r="D18" s="3" t="s">
        <v>122</v>
      </c>
      <c r="E18" s="3" t="s">
        <v>123</v>
      </c>
      <c r="F18" s="3" t="s">
        <v>72</v>
      </c>
      <c r="G18" s="210">
        <v>0.05</v>
      </c>
      <c r="H18" s="210">
        <v>0.05</v>
      </c>
      <c r="I18" s="129">
        <v>0.05</v>
      </c>
      <c r="J18" s="129">
        <v>0.05</v>
      </c>
      <c r="K18" s="129">
        <v>0.05</v>
      </c>
      <c r="L18" s="129">
        <v>0.05</v>
      </c>
      <c r="M18" s="129">
        <v>0.05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D7910-808E-4150-8827-1C5A4E8FE8C0}">
  <sheetPr>
    <tabColor rgb="FFFFDB8E"/>
  </sheetPr>
  <dimension ref="A1:M735"/>
  <sheetViews>
    <sheetView zoomScale="80" zoomScaleNormal="80" workbookViewId="0">
      <selection sqref="A1:M1"/>
    </sheetView>
  </sheetViews>
  <sheetFormatPr defaultRowHeight="12.75"/>
  <cols>
    <col min="2" max="2" width="50" bestFit="1" customWidth="1"/>
  </cols>
  <sheetData>
    <row r="1" spans="1:13" ht="31.5">
      <c r="A1" s="223" t="str">
        <f ca="1" xml:space="preserve"> RIGHT(CELL("filename", $A$1), LEN(CELL("filename", $A$1)) - SEARCH("]", CELL("filename", $A$1)))</f>
        <v>Post Adj &amp; FS Allowances</v>
      </c>
      <c r="B1" s="223"/>
      <c r="C1" s="223"/>
      <c r="D1" s="223"/>
      <c r="E1" s="223"/>
      <c r="F1" s="223"/>
      <c r="G1" s="223"/>
      <c r="H1" s="223"/>
      <c r="I1" s="223"/>
      <c r="J1" s="223"/>
      <c r="K1" s="223"/>
      <c r="L1" s="223"/>
      <c r="M1" s="223"/>
    </row>
    <row r="2" spans="1:13" ht="15">
      <c r="C2" s="201" t="s">
        <v>124</v>
      </c>
      <c r="E2" s="201" t="s">
        <v>125</v>
      </c>
      <c r="M2" s="3"/>
    </row>
    <row r="3" spans="1:13">
      <c r="M3" s="3"/>
    </row>
    <row r="4" spans="1:13" ht="15">
      <c r="A4" s="199" t="s">
        <v>116</v>
      </c>
      <c r="B4" s="199" t="s">
        <v>117</v>
      </c>
      <c r="C4" s="199" t="s">
        <v>107</v>
      </c>
      <c r="D4" s="199" t="s">
        <v>118</v>
      </c>
      <c r="E4" s="199" t="s">
        <v>119</v>
      </c>
      <c r="F4" s="199" t="s">
        <v>64</v>
      </c>
      <c r="G4" s="199" t="s">
        <v>65</v>
      </c>
      <c r="H4" s="199" t="s">
        <v>66</v>
      </c>
      <c r="I4" s="199" t="s">
        <v>67</v>
      </c>
      <c r="J4" s="199" t="s">
        <v>68</v>
      </c>
      <c r="K4" s="199" t="s">
        <v>69</v>
      </c>
      <c r="L4" s="199" t="s">
        <v>70</v>
      </c>
      <c r="M4" s="181" t="s">
        <v>105</v>
      </c>
    </row>
    <row r="5" spans="1:13">
      <c r="A5" s="2" t="s">
        <v>75</v>
      </c>
      <c r="B5" s="2" t="s">
        <v>126</v>
      </c>
      <c r="C5" s="2" t="s">
        <v>127</v>
      </c>
      <c r="D5" s="2" t="s">
        <v>78</v>
      </c>
      <c r="E5" s="2" t="s">
        <v>72</v>
      </c>
      <c r="F5" s="212">
        <v>2.6006707295150466</v>
      </c>
      <c r="G5" s="212">
        <v>49.761716703240708</v>
      </c>
      <c r="H5" s="212">
        <v>294.71861771174355</v>
      </c>
      <c r="I5" s="212">
        <v>578.99972985522754</v>
      </c>
      <c r="J5" s="212">
        <v>672.22880136540618</v>
      </c>
      <c r="K5" s="212">
        <v>754.70198850771737</v>
      </c>
      <c r="L5" s="212">
        <v>457.11422546866174</v>
      </c>
      <c r="M5" s="180">
        <f>SUM(F5:L5)</f>
        <v>2810.1257503415118</v>
      </c>
    </row>
    <row r="6" spans="1:13">
      <c r="A6" s="2" t="s">
        <v>75</v>
      </c>
      <c r="B6" s="2" t="s">
        <v>128</v>
      </c>
      <c r="C6" s="2" t="s">
        <v>129</v>
      </c>
      <c r="D6" s="2" t="s">
        <v>78</v>
      </c>
      <c r="E6" s="2" t="s">
        <v>72</v>
      </c>
      <c r="F6" s="212">
        <v>1E-3</v>
      </c>
      <c r="G6" s="212">
        <v>8.9569029101495678E-3</v>
      </c>
      <c r="H6" s="212">
        <v>4.9857506832860743</v>
      </c>
      <c r="I6" s="212">
        <v>0.64135210860864778</v>
      </c>
      <c r="J6" s="212">
        <v>7.8330780676334512E-3</v>
      </c>
      <c r="K6" s="212">
        <v>7.7752298213024399E-3</v>
      </c>
      <c r="L6" s="212">
        <v>7.725202115265806E-3</v>
      </c>
      <c r="M6" s="180">
        <f t="shared" ref="M6:M69" si="0">SUM(F6:L6)</f>
        <v>5.6603932048090728</v>
      </c>
    </row>
    <row r="7" spans="1:13">
      <c r="A7" s="2" t="s">
        <v>75</v>
      </c>
      <c r="B7" s="2" t="s">
        <v>130</v>
      </c>
      <c r="C7" s="2" t="s">
        <v>131</v>
      </c>
      <c r="D7" s="2" t="s">
        <v>78</v>
      </c>
      <c r="E7" s="2" t="s">
        <v>72</v>
      </c>
      <c r="F7" s="212">
        <v>0.52900000000000003</v>
      </c>
      <c r="G7" s="212">
        <v>10.942349721899388</v>
      </c>
      <c r="H7" s="212">
        <v>20.023226373459384</v>
      </c>
      <c r="I7" s="212">
        <v>11.38966471217293</v>
      </c>
      <c r="J7" s="212">
        <v>0.74022587739136103</v>
      </c>
      <c r="K7" s="212">
        <v>0.87179764371353607</v>
      </c>
      <c r="L7" s="212">
        <v>0.95406246123532701</v>
      </c>
      <c r="M7" s="180">
        <f t="shared" si="0"/>
        <v>45.450326789871923</v>
      </c>
    </row>
    <row r="8" spans="1:13">
      <c r="A8" s="2" t="s">
        <v>75</v>
      </c>
      <c r="B8" s="2" t="s">
        <v>132</v>
      </c>
      <c r="C8" s="2" t="s">
        <v>133</v>
      </c>
      <c r="D8" s="2" t="s">
        <v>78</v>
      </c>
      <c r="E8" s="2" t="s">
        <v>72</v>
      </c>
      <c r="F8" s="212">
        <v>0</v>
      </c>
      <c r="G8" s="212">
        <v>0</v>
      </c>
      <c r="H8" s="212">
        <v>0</v>
      </c>
      <c r="I8" s="212">
        <v>15.359595532045594</v>
      </c>
      <c r="J8" s="212">
        <v>15.265347992533927</v>
      </c>
      <c r="K8" s="212">
        <v>22.664162525986146</v>
      </c>
      <c r="L8" s="212">
        <v>22.518335831923668</v>
      </c>
      <c r="M8" s="180">
        <f t="shared" si="0"/>
        <v>75.807441882489329</v>
      </c>
    </row>
    <row r="9" spans="1:13">
      <c r="A9" s="2" t="s">
        <v>75</v>
      </c>
      <c r="B9" s="2" t="s">
        <v>134</v>
      </c>
      <c r="C9" s="2" t="s">
        <v>135</v>
      </c>
      <c r="D9" s="2" t="s">
        <v>78</v>
      </c>
      <c r="E9" s="2" t="s">
        <v>72</v>
      </c>
      <c r="F9" s="212">
        <v>1E-3</v>
      </c>
      <c r="G9" s="212">
        <v>2.3885074427065524E-2</v>
      </c>
      <c r="H9" s="212">
        <v>2.4938657569555684</v>
      </c>
      <c r="I9" s="212">
        <v>4.4278910171145425</v>
      </c>
      <c r="J9" s="212">
        <v>5.4518223350728814</v>
      </c>
      <c r="K9" s="212">
        <v>5.6185754496186755</v>
      </c>
      <c r="L9" s="212">
        <v>5.4337140378250863</v>
      </c>
      <c r="M9" s="180">
        <f t="shared" si="0"/>
        <v>23.450753671013821</v>
      </c>
    </row>
    <row r="10" spans="1:13">
      <c r="A10" s="2" t="s">
        <v>75</v>
      </c>
      <c r="B10" s="2" t="s">
        <v>136</v>
      </c>
      <c r="C10" s="2" t="s">
        <v>137</v>
      </c>
      <c r="D10" s="2" t="s">
        <v>78</v>
      </c>
      <c r="E10" s="2" t="s">
        <v>72</v>
      </c>
      <c r="F10" s="212">
        <v>0</v>
      </c>
      <c r="G10" s="212">
        <v>0</v>
      </c>
      <c r="H10" s="212">
        <v>0</v>
      </c>
      <c r="I10" s="212">
        <v>0</v>
      </c>
      <c r="J10" s="212">
        <v>0</v>
      </c>
      <c r="K10" s="212">
        <v>0</v>
      </c>
      <c r="L10" s="212">
        <v>0</v>
      </c>
      <c r="M10" s="180">
        <f t="shared" si="0"/>
        <v>0</v>
      </c>
    </row>
    <row r="11" spans="1:13">
      <c r="A11" s="2" t="s">
        <v>75</v>
      </c>
      <c r="B11" s="2" t="s">
        <v>138</v>
      </c>
      <c r="C11" s="2" t="s">
        <v>139</v>
      </c>
      <c r="D11" s="2" t="s">
        <v>78</v>
      </c>
      <c r="E11" s="2" t="s">
        <v>72</v>
      </c>
      <c r="F11" s="212">
        <v>0.23053427813112193</v>
      </c>
      <c r="G11" s="212">
        <v>12.438863362028282</v>
      </c>
      <c r="H11" s="212">
        <v>100.07170052947899</v>
      </c>
      <c r="I11" s="212">
        <v>187.03139906285645</v>
      </c>
      <c r="J11" s="212">
        <v>147.87858064944902</v>
      </c>
      <c r="K11" s="212">
        <v>148.81867613754298</v>
      </c>
      <c r="L11" s="212">
        <v>93.191397441183824</v>
      </c>
      <c r="M11" s="180">
        <f t="shared" si="0"/>
        <v>689.66115146067068</v>
      </c>
    </row>
    <row r="12" spans="1:13">
      <c r="A12" s="2" t="s">
        <v>75</v>
      </c>
      <c r="B12" s="2" t="s">
        <v>140</v>
      </c>
      <c r="C12" s="2" t="s">
        <v>141</v>
      </c>
      <c r="D12" s="2" t="s">
        <v>78</v>
      </c>
      <c r="E12" s="2" t="s">
        <v>72</v>
      </c>
      <c r="F12" s="212">
        <v>0</v>
      </c>
      <c r="G12" s="212">
        <v>0</v>
      </c>
      <c r="H12" s="212">
        <v>2.2561660819478893</v>
      </c>
      <c r="I12" s="212">
        <v>7.8745428634545647</v>
      </c>
      <c r="J12" s="212">
        <v>13.146842401764292</v>
      </c>
      <c r="K12" s="212">
        <v>12.603647540331254</v>
      </c>
      <c r="L12" s="212">
        <v>6.4408872636028658</v>
      </c>
      <c r="M12" s="180">
        <f t="shared" si="0"/>
        <v>42.322086151100869</v>
      </c>
    </row>
    <row r="13" spans="1:13">
      <c r="A13" s="2" t="s">
        <v>75</v>
      </c>
      <c r="B13" s="2" t="s">
        <v>142</v>
      </c>
      <c r="C13" s="2" t="s">
        <v>143</v>
      </c>
      <c r="D13" s="2" t="s">
        <v>78</v>
      </c>
      <c r="E13" s="2" t="s">
        <v>72</v>
      </c>
      <c r="F13" s="212">
        <v>1.7099999999999997E-2</v>
      </c>
      <c r="G13" s="212">
        <v>1.6122425238269223E-2</v>
      </c>
      <c r="H13" s="212">
        <v>4.1422139616025717</v>
      </c>
      <c r="I13" s="212">
        <v>5.8138420868390366</v>
      </c>
      <c r="J13" s="212">
        <v>4.1135409472177065</v>
      </c>
      <c r="K13" s="212">
        <v>4.0910343608510438</v>
      </c>
      <c r="L13" s="212">
        <v>4.3723678322140049</v>
      </c>
      <c r="M13" s="180">
        <f t="shared" si="0"/>
        <v>22.566221613962632</v>
      </c>
    </row>
    <row r="14" spans="1:13">
      <c r="A14" s="2" t="s">
        <v>75</v>
      </c>
      <c r="B14" s="2" t="s">
        <v>144</v>
      </c>
      <c r="C14" s="2" t="s">
        <v>145</v>
      </c>
      <c r="D14" s="2" t="s">
        <v>78</v>
      </c>
      <c r="E14" s="2" t="s">
        <v>72</v>
      </c>
      <c r="F14" s="212">
        <v>0</v>
      </c>
      <c r="G14" s="212">
        <v>0</v>
      </c>
      <c r="H14" s="212">
        <v>6.1980190258252374</v>
      </c>
      <c r="I14" s="212">
        <v>8.6419979980262038</v>
      </c>
      <c r="J14" s="212">
        <v>16.303572863020573</v>
      </c>
      <c r="K14" s="212">
        <v>18.844241375654125</v>
      </c>
      <c r="L14" s="212">
        <v>12.80645380658189</v>
      </c>
      <c r="M14" s="180">
        <f t="shared" si="0"/>
        <v>62.794285069108035</v>
      </c>
    </row>
    <row r="15" spans="1:13">
      <c r="A15" s="2" t="s">
        <v>75</v>
      </c>
      <c r="B15" s="2" t="s">
        <v>146</v>
      </c>
      <c r="C15" s="2" t="s">
        <v>147</v>
      </c>
      <c r="D15" s="2" t="s">
        <v>78</v>
      </c>
      <c r="E15" s="2" t="s">
        <v>72</v>
      </c>
      <c r="F15" s="212">
        <v>0</v>
      </c>
      <c r="G15" s="212">
        <v>0</v>
      </c>
      <c r="H15" s="212">
        <v>1.7282747203683351</v>
      </c>
      <c r="I15" s="212">
        <v>4.0392375503770444</v>
      </c>
      <c r="J15" s="212">
        <v>0.59433479838168801</v>
      </c>
      <c r="K15" s="212">
        <v>0.25852639155830615</v>
      </c>
      <c r="L15" s="212">
        <v>0.2587942708614045</v>
      </c>
      <c r="M15" s="180">
        <f t="shared" si="0"/>
        <v>6.8791677315467785</v>
      </c>
    </row>
    <row r="16" spans="1:13">
      <c r="A16" s="2" t="s">
        <v>75</v>
      </c>
      <c r="B16" s="2" t="s">
        <v>148</v>
      </c>
      <c r="C16" s="2" t="s">
        <v>149</v>
      </c>
      <c r="D16" s="2" t="s">
        <v>78</v>
      </c>
      <c r="E16" s="2" t="s">
        <v>72</v>
      </c>
      <c r="F16" s="212">
        <v>1.1293968144251929</v>
      </c>
      <c r="G16" s="212">
        <v>18.732181380877655</v>
      </c>
      <c r="H16" s="212">
        <v>46.968527226671625</v>
      </c>
      <c r="I16" s="212">
        <v>127.48780001536285</v>
      </c>
      <c r="J16" s="212">
        <v>241.77450945740324</v>
      </c>
      <c r="K16" s="212">
        <v>318.07312139841122</v>
      </c>
      <c r="L16" s="212">
        <v>175.13466719426216</v>
      </c>
      <c r="M16" s="180">
        <f t="shared" si="0"/>
        <v>929.30020348741402</v>
      </c>
    </row>
    <row r="17" spans="1:13">
      <c r="A17" s="2" t="s">
        <v>75</v>
      </c>
      <c r="B17" s="2" t="s">
        <v>150</v>
      </c>
      <c r="C17" s="2" t="s">
        <v>151</v>
      </c>
      <c r="D17" s="2" t="s">
        <v>78</v>
      </c>
      <c r="E17" s="2" t="s">
        <v>72</v>
      </c>
      <c r="F17" s="212">
        <v>2.4713952545122691E-2</v>
      </c>
      <c r="G17" s="212">
        <v>0.35636303383754442</v>
      </c>
      <c r="H17" s="212">
        <v>3.8189679523302651</v>
      </c>
      <c r="I17" s="212">
        <v>8.7624627621568649</v>
      </c>
      <c r="J17" s="212">
        <v>4.3755885637703935</v>
      </c>
      <c r="K17" s="212">
        <v>4.658731488149348</v>
      </c>
      <c r="L17" s="212">
        <v>1.9097331188884898</v>
      </c>
      <c r="M17" s="180">
        <f t="shared" si="0"/>
        <v>23.906560871678025</v>
      </c>
    </row>
    <row r="18" spans="1:13">
      <c r="A18" s="2" t="s">
        <v>75</v>
      </c>
      <c r="B18" s="2" t="s">
        <v>152</v>
      </c>
      <c r="C18" s="2" t="s">
        <v>153</v>
      </c>
      <c r="D18" s="2" t="s">
        <v>78</v>
      </c>
      <c r="E18" s="2" t="s">
        <v>72</v>
      </c>
      <c r="F18" s="212">
        <v>0.57765472081181202</v>
      </c>
      <c r="G18" s="212">
        <v>3.2651273704442807</v>
      </c>
      <c r="H18" s="212">
        <v>1.7052720521171871</v>
      </c>
      <c r="I18" s="212">
        <v>4.0125936751283415</v>
      </c>
      <c r="J18" s="212">
        <v>8.5278511024641848</v>
      </c>
      <c r="K18" s="212">
        <v>11.515325136523812</v>
      </c>
      <c r="L18" s="212">
        <v>6.1643001168704785</v>
      </c>
      <c r="M18" s="180">
        <f t="shared" si="0"/>
        <v>35.768124174360096</v>
      </c>
    </row>
    <row r="19" spans="1:13">
      <c r="A19" s="2" t="s">
        <v>75</v>
      </c>
      <c r="B19" s="2" t="s">
        <v>154</v>
      </c>
      <c r="C19" s="2" t="s">
        <v>155</v>
      </c>
      <c r="D19" s="2" t="s">
        <v>78</v>
      </c>
      <c r="E19" s="2" t="s">
        <v>72</v>
      </c>
      <c r="F19" s="212">
        <v>0</v>
      </c>
      <c r="G19" s="212">
        <v>0</v>
      </c>
      <c r="H19" s="212">
        <v>0</v>
      </c>
      <c r="I19" s="212">
        <v>0</v>
      </c>
      <c r="J19" s="212">
        <v>0</v>
      </c>
      <c r="K19" s="212">
        <v>0</v>
      </c>
      <c r="L19" s="212">
        <v>0</v>
      </c>
      <c r="M19" s="180">
        <f t="shared" si="0"/>
        <v>0</v>
      </c>
    </row>
    <row r="20" spans="1:13">
      <c r="A20" s="2" t="s">
        <v>75</v>
      </c>
      <c r="B20" s="2" t="s">
        <v>156</v>
      </c>
      <c r="C20" s="2" t="s">
        <v>157</v>
      </c>
      <c r="D20" s="2" t="s">
        <v>78</v>
      </c>
      <c r="E20" s="2" t="s">
        <v>72</v>
      </c>
      <c r="F20" s="212">
        <v>0</v>
      </c>
      <c r="G20" s="212">
        <v>0</v>
      </c>
      <c r="H20" s="212">
        <v>0</v>
      </c>
      <c r="I20" s="212">
        <v>0</v>
      </c>
      <c r="J20" s="212">
        <v>0</v>
      </c>
      <c r="K20" s="212">
        <v>0</v>
      </c>
      <c r="L20" s="212">
        <v>0</v>
      </c>
      <c r="M20" s="180">
        <f t="shared" si="0"/>
        <v>0</v>
      </c>
    </row>
    <row r="21" spans="1:13">
      <c r="A21" s="2" t="s">
        <v>75</v>
      </c>
      <c r="B21" s="2" t="s">
        <v>158</v>
      </c>
      <c r="C21" s="2" t="s">
        <v>159</v>
      </c>
      <c r="D21" s="2" t="s">
        <v>78</v>
      </c>
      <c r="E21" s="2" t="s">
        <v>72</v>
      </c>
      <c r="F21" s="212">
        <v>0</v>
      </c>
      <c r="G21" s="212">
        <v>0</v>
      </c>
      <c r="H21" s="212">
        <v>0</v>
      </c>
      <c r="I21" s="212">
        <v>0</v>
      </c>
      <c r="J21" s="212">
        <v>0</v>
      </c>
      <c r="K21" s="212">
        <v>0</v>
      </c>
      <c r="L21" s="212">
        <v>0</v>
      </c>
      <c r="M21" s="180">
        <f t="shared" si="0"/>
        <v>0</v>
      </c>
    </row>
    <row r="22" spans="1:13">
      <c r="A22" s="2" t="s">
        <v>75</v>
      </c>
      <c r="B22" s="2" t="s">
        <v>160</v>
      </c>
      <c r="C22" s="2" t="s">
        <v>161</v>
      </c>
      <c r="D22" s="2" t="s">
        <v>78</v>
      </c>
      <c r="E22" s="2" t="s">
        <v>72</v>
      </c>
      <c r="F22" s="212">
        <v>0</v>
      </c>
      <c r="G22" s="212">
        <v>0</v>
      </c>
      <c r="H22" s="212">
        <v>0</v>
      </c>
      <c r="I22" s="212">
        <v>0.9290246365867203</v>
      </c>
      <c r="J22" s="212">
        <v>7.2455972125609419E-2</v>
      </c>
      <c r="K22" s="212">
        <v>2.2353785736244514E-2</v>
      </c>
      <c r="L22" s="212">
        <v>3.862601057632903E-3</v>
      </c>
      <c r="M22" s="180">
        <f t="shared" si="0"/>
        <v>1.0276969955062072</v>
      </c>
    </row>
    <row r="23" spans="1:13">
      <c r="A23" s="2" t="s">
        <v>75</v>
      </c>
      <c r="B23" s="2" t="s">
        <v>162</v>
      </c>
      <c r="C23" s="2" t="s">
        <v>163</v>
      </c>
      <c r="D23" s="2" t="s">
        <v>78</v>
      </c>
      <c r="E23" s="2" t="s">
        <v>72</v>
      </c>
      <c r="F23" s="212">
        <v>9.0270963601796733E-2</v>
      </c>
      <c r="G23" s="212">
        <v>8.7204681076915938E-2</v>
      </c>
      <c r="H23" s="212">
        <v>38.435108332066108</v>
      </c>
      <c r="I23" s="212">
        <v>49.111579403037133</v>
      </c>
      <c r="J23" s="212">
        <v>38.91175980932244</v>
      </c>
      <c r="K23" s="212">
        <v>37.173783615573413</v>
      </c>
      <c r="L23" s="212">
        <v>16.954828178992678</v>
      </c>
      <c r="M23" s="180">
        <f t="shared" si="0"/>
        <v>180.7645349836705</v>
      </c>
    </row>
    <row r="24" spans="1:13">
      <c r="A24" s="2" t="s">
        <v>75</v>
      </c>
      <c r="B24" s="2" t="s">
        <v>164</v>
      </c>
      <c r="C24" s="2" t="s">
        <v>165</v>
      </c>
      <c r="D24" s="2" t="s">
        <v>78</v>
      </c>
      <c r="E24" s="2" t="s">
        <v>72</v>
      </c>
      <c r="F24" s="212">
        <v>0</v>
      </c>
      <c r="G24" s="212">
        <v>0</v>
      </c>
      <c r="H24" s="212">
        <v>0</v>
      </c>
      <c r="I24" s="212">
        <v>0</v>
      </c>
      <c r="J24" s="212">
        <v>0</v>
      </c>
      <c r="K24" s="212">
        <v>0</v>
      </c>
      <c r="L24" s="212">
        <v>0</v>
      </c>
      <c r="M24" s="180">
        <f t="shared" si="0"/>
        <v>0</v>
      </c>
    </row>
    <row r="25" spans="1:13">
      <c r="A25" s="2" t="s">
        <v>75</v>
      </c>
      <c r="B25" s="2" t="s">
        <v>166</v>
      </c>
      <c r="C25" s="2" t="s">
        <v>167</v>
      </c>
      <c r="D25" s="2" t="s">
        <v>78</v>
      </c>
      <c r="E25" s="2" t="s">
        <v>72</v>
      </c>
      <c r="F25" s="212">
        <v>0</v>
      </c>
      <c r="G25" s="212">
        <v>0</v>
      </c>
      <c r="H25" s="212">
        <v>0</v>
      </c>
      <c r="I25" s="212">
        <v>0</v>
      </c>
      <c r="J25" s="212">
        <v>0</v>
      </c>
      <c r="K25" s="212">
        <v>0</v>
      </c>
      <c r="L25" s="212">
        <v>0</v>
      </c>
      <c r="M25" s="180">
        <f t="shared" si="0"/>
        <v>0</v>
      </c>
    </row>
    <row r="26" spans="1:13">
      <c r="A26" s="2" t="s">
        <v>75</v>
      </c>
      <c r="B26" s="2" t="s">
        <v>168</v>
      </c>
      <c r="C26" s="2" t="s">
        <v>169</v>
      </c>
      <c r="D26" s="2" t="s">
        <v>78</v>
      </c>
      <c r="E26" s="2" t="s">
        <v>72</v>
      </c>
      <c r="F26" s="212">
        <v>0</v>
      </c>
      <c r="G26" s="212">
        <v>0</v>
      </c>
      <c r="H26" s="212">
        <v>0</v>
      </c>
      <c r="I26" s="212">
        <v>0</v>
      </c>
      <c r="J26" s="212">
        <v>0</v>
      </c>
      <c r="K26" s="212">
        <v>0</v>
      </c>
      <c r="L26" s="212">
        <v>0</v>
      </c>
      <c r="M26" s="180">
        <f t="shared" si="0"/>
        <v>0</v>
      </c>
    </row>
    <row r="27" spans="1:13">
      <c r="A27" s="2" t="s">
        <v>75</v>
      </c>
      <c r="B27" s="2" t="s">
        <v>170</v>
      </c>
      <c r="C27" s="2" t="s">
        <v>171</v>
      </c>
      <c r="D27" s="2" t="s">
        <v>78</v>
      </c>
      <c r="E27" s="2" t="s">
        <v>72</v>
      </c>
      <c r="F27" s="212">
        <v>0</v>
      </c>
      <c r="G27" s="212">
        <v>3.8906627505011464</v>
      </c>
      <c r="H27" s="212">
        <v>12.56172350178413</v>
      </c>
      <c r="I27" s="212">
        <v>9.6529218653285138</v>
      </c>
      <c r="J27" s="212">
        <v>0.37794954517685808</v>
      </c>
      <c r="K27" s="212">
        <v>2.1315814842819214E-3</v>
      </c>
      <c r="L27" s="212">
        <v>0</v>
      </c>
      <c r="M27" s="180">
        <f t="shared" si="0"/>
        <v>26.485389244274927</v>
      </c>
    </row>
    <row r="28" spans="1:13">
      <c r="A28" s="2" t="s">
        <v>75</v>
      </c>
      <c r="B28" s="2" t="s">
        <v>172</v>
      </c>
      <c r="C28" s="2" t="s">
        <v>173</v>
      </c>
      <c r="D28" s="2" t="s">
        <v>78</v>
      </c>
      <c r="E28" s="2" t="s">
        <v>72</v>
      </c>
      <c r="F28" s="212">
        <v>0</v>
      </c>
      <c r="G28" s="212">
        <v>0</v>
      </c>
      <c r="H28" s="212">
        <v>0</v>
      </c>
      <c r="I28" s="212">
        <v>0</v>
      </c>
      <c r="J28" s="212">
        <v>0</v>
      </c>
      <c r="K28" s="212">
        <v>0</v>
      </c>
      <c r="L28" s="212">
        <v>0</v>
      </c>
      <c r="M28" s="180">
        <f t="shared" si="0"/>
        <v>0</v>
      </c>
    </row>
    <row r="29" spans="1:13">
      <c r="A29" s="2" t="s">
        <v>75</v>
      </c>
      <c r="B29" s="2" t="s">
        <v>174</v>
      </c>
      <c r="C29" s="2" t="s">
        <v>175</v>
      </c>
      <c r="D29" s="2" t="s">
        <v>78</v>
      </c>
      <c r="E29" s="2" t="s">
        <v>72</v>
      </c>
      <c r="F29" s="212">
        <v>0</v>
      </c>
      <c r="G29" s="212">
        <v>0</v>
      </c>
      <c r="H29" s="212">
        <v>0</v>
      </c>
      <c r="I29" s="212">
        <v>0</v>
      </c>
      <c r="J29" s="212">
        <v>0</v>
      </c>
      <c r="K29" s="212">
        <v>0</v>
      </c>
      <c r="L29" s="212">
        <v>0</v>
      </c>
      <c r="M29" s="180">
        <f t="shared" si="0"/>
        <v>0</v>
      </c>
    </row>
    <row r="30" spans="1:13">
      <c r="A30" s="2" t="s">
        <v>75</v>
      </c>
      <c r="B30" s="2" t="s">
        <v>176</v>
      </c>
      <c r="C30" s="2" t="s">
        <v>177</v>
      </c>
      <c r="D30" s="2" t="s">
        <v>78</v>
      </c>
      <c r="E30" s="2" t="s">
        <v>72</v>
      </c>
      <c r="F30" s="212">
        <v>0</v>
      </c>
      <c r="G30" s="212">
        <v>0</v>
      </c>
      <c r="H30" s="212">
        <v>0</v>
      </c>
      <c r="I30" s="212">
        <v>0</v>
      </c>
      <c r="J30" s="212">
        <v>0</v>
      </c>
      <c r="K30" s="212">
        <v>0</v>
      </c>
      <c r="L30" s="212">
        <v>0</v>
      </c>
      <c r="M30" s="180">
        <f t="shared" si="0"/>
        <v>0</v>
      </c>
    </row>
    <row r="31" spans="1:13">
      <c r="A31" s="2" t="s">
        <v>75</v>
      </c>
      <c r="B31" s="2" t="s">
        <v>178</v>
      </c>
      <c r="C31" s="2" t="s">
        <v>179</v>
      </c>
      <c r="D31" s="2" t="s">
        <v>78</v>
      </c>
      <c r="E31" s="2" t="s">
        <v>72</v>
      </c>
      <c r="F31" s="212">
        <v>0</v>
      </c>
      <c r="G31" s="212">
        <v>0</v>
      </c>
      <c r="H31" s="212">
        <v>0</v>
      </c>
      <c r="I31" s="212">
        <v>0</v>
      </c>
      <c r="J31" s="212">
        <v>0</v>
      </c>
      <c r="K31" s="212">
        <v>0</v>
      </c>
      <c r="L31" s="212">
        <v>0</v>
      </c>
      <c r="M31" s="180">
        <f t="shared" si="0"/>
        <v>0</v>
      </c>
    </row>
    <row r="32" spans="1:13">
      <c r="A32" s="2" t="s">
        <v>75</v>
      </c>
      <c r="B32" s="2" t="s">
        <v>180</v>
      </c>
      <c r="C32" s="2" t="s">
        <v>181</v>
      </c>
      <c r="D32" s="2" t="s">
        <v>78</v>
      </c>
      <c r="E32" s="2" t="s">
        <v>72</v>
      </c>
      <c r="F32" s="212">
        <v>0</v>
      </c>
      <c r="G32" s="212">
        <v>0</v>
      </c>
      <c r="H32" s="212">
        <v>5.2056228826681767</v>
      </c>
      <c r="I32" s="212">
        <v>5.1781055036053036</v>
      </c>
      <c r="J32" s="212">
        <v>5.1463322904351774</v>
      </c>
      <c r="K32" s="212">
        <v>5.1083259925957032</v>
      </c>
      <c r="L32" s="212">
        <v>5.0754577897296347</v>
      </c>
      <c r="M32" s="180">
        <f t="shared" si="0"/>
        <v>25.713844459033993</v>
      </c>
    </row>
    <row r="33" spans="1:13">
      <c r="A33" s="2" t="s">
        <v>75</v>
      </c>
      <c r="B33" s="2" t="s">
        <v>182</v>
      </c>
      <c r="C33" s="2" t="s">
        <v>183</v>
      </c>
      <c r="D33" s="2" t="s">
        <v>78</v>
      </c>
      <c r="E33" s="2" t="s">
        <v>72</v>
      </c>
      <c r="F33" s="212">
        <v>0</v>
      </c>
      <c r="G33" s="212">
        <v>0</v>
      </c>
      <c r="H33" s="212">
        <v>0</v>
      </c>
      <c r="I33" s="212">
        <v>0</v>
      </c>
      <c r="J33" s="212">
        <v>0</v>
      </c>
      <c r="K33" s="212">
        <v>0</v>
      </c>
      <c r="L33" s="212">
        <v>0</v>
      </c>
      <c r="M33" s="180">
        <f t="shared" si="0"/>
        <v>0</v>
      </c>
    </row>
    <row r="34" spans="1:13">
      <c r="A34" s="2" t="s">
        <v>75</v>
      </c>
      <c r="B34" s="2" t="s">
        <v>184</v>
      </c>
      <c r="C34" s="2" t="s">
        <v>185</v>
      </c>
      <c r="D34" s="2" t="s">
        <v>78</v>
      </c>
      <c r="E34" s="2" t="s">
        <v>72</v>
      </c>
      <c r="F34" s="212">
        <v>0</v>
      </c>
      <c r="G34" s="212">
        <v>0</v>
      </c>
      <c r="H34" s="212">
        <v>1.3848006925340051E-2</v>
      </c>
      <c r="I34" s="212">
        <v>7.3603075154690618</v>
      </c>
      <c r="J34" s="212">
        <v>16.255589872889942</v>
      </c>
      <c r="K34" s="212">
        <v>14.876991330320456</v>
      </c>
      <c r="L34" s="212">
        <v>2.7637664182717101</v>
      </c>
      <c r="M34" s="180">
        <f t="shared" si="0"/>
        <v>41.27050314387651</v>
      </c>
    </row>
    <row r="35" spans="1:13">
      <c r="A35" s="2" t="s">
        <v>75</v>
      </c>
      <c r="B35" s="2" t="s">
        <v>186</v>
      </c>
      <c r="C35" s="2" t="s">
        <v>187</v>
      </c>
      <c r="D35" s="2" t="s">
        <v>78</v>
      </c>
      <c r="E35" s="2" t="s">
        <v>72</v>
      </c>
      <c r="F35" s="212">
        <v>0</v>
      </c>
      <c r="G35" s="212">
        <v>0</v>
      </c>
      <c r="H35" s="212">
        <v>0</v>
      </c>
      <c r="I35" s="212">
        <v>0</v>
      </c>
      <c r="J35" s="212">
        <v>0</v>
      </c>
      <c r="K35" s="212">
        <v>0</v>
      </c>
      <c r="L35" s="212">
        <v>0</v>
      </c>
      <c r="M35" s="180">
        <f t="shared" si="0"/>
        <v>0</v>
      </c>
    </row>
    <row r="36" spans="1:13">
      <c r="A36" s="2" t="s">
        <v>75</v>
      </c>
      <c r="B36" s="2" t="s">
        <v>188</v>
      </c>
      <c r="C36" s="2" t="s">
        <v>189</v>
      </c>
      <c r="D36" s="2" t="s">
        <v>78</v>
      </c>
      <c r="E36" s="2" t="s">
        <v>72</v>
      </c>
      <c r="F36" s="212">
        <v>0</v>
      </c>
      <c r="G36" s="212">
        <v>0</v>
      </c>
      <c r="H36" s="212">
        <v>0</v>
      </c>
      <c r="I36" s="212">
        <v>1.3117769172526026</v>
      </c>
      <c r="J36" s="212">
        <v>3.6934310023073662</v>
      </c>
      <c r="K36" s="212">
        <v>6.6708010382633161</v>
      </c>
      <c r="L36" s="212">
        <v>4.8363505696262887</v>
      </c>
      <c r="M36" s="180">
        <f t="shared" si="0"/>
        <v>16.512359527449576</v>
      </c>
    </row>
    <row r="37" spans="1:13">
      <c r="A37" s="2" t="s">
        <v>75</v>
      </c>
      <c r="B37" s="2" t="s">
        <v>190</v>
      </c>
      <c r="C37" s="2" t="s">
        <v>191</v>
      </c>
      <c r="D37" s="2" t="s">
        <v>78</v>
      </c>
      <c r="E37" s="2" t="s">
        <v>72</v>
      </c>
      <c r="F37" s="212">
        <v>0</v>
      </c>
      <c r="G37" s="212">
        <v>0</v>
      </c>
      <c r="H37" s="212">
        <v>1.2364291897625044</v>
      </c>
      <c r="I37" s="212">
        <v>1.2291762717884205</v>
      </c>
      <c r="J37" s="212">
        <v>1.221049656938431</v>
      </c>
      <c r="K37" s="212">
        <v>1.2116392469963884</v>
      </c>
      <c r="L37" s="212">
        <v>1.2033117460256491</v>
      </c>
      <c r="M37" s="180">
        <f t="shared" si="0"/>
        <v>6.1016061115113924</v>
      </c>
    </row>
    <row r="38" spans="1:13">
      <c r="A38" s="2" t="s">
        <v>75</v>
      </c>
      <c r="B38" s="2" t="s">
        <v>192</v>
      </c>
      <c r="C38" s="2" t="s">
        <v>193</v>
      </c>
      <c r="D38" s="2" t="s">
        <v>78</v>
      </c>
      <c r="E38" s="2" t="s">
        <v>72</v>
      </c>
      <c r="F38" s="212">
        <v>0</v>
      </c>
      <c r="G38" s="212">
        <v>0</v>
      </c>
      <c r="H38" s="212">
        <v>0</v>
      </c>
      <c r="I38" s="212">
        <v>0</v>
      </c>
      <c r="J38" s="212">
        <v>0</v>
      </c>
      <c r="K38" s="212">
        <v>0</v>
      </c>
      <c r="L38" s="212">
        <v>0</v>
      </c>
      <c r="M38" s="180">
        <f t="shared" si="0"/>
        <v>0</v>
      </c>
    </row>
    <row r="39" spans="1:13">
      <c r="A39" s="2" t="s">
        <v>75</v>
      </c>
      <c r="B39" s="2" t="s">
        <v>194</v>
      </c>
      <c r="C39" s="2" t="s">
        <v>195</v>
      </c>
      <c r="D39" s="2" t="s">
        <v>78</v>
      </c>
      <c r="E39" s="2" t="s">
        <v>72</v>
      </c>
      <c r="F39" s="212">
        <v>0</v>
      </c>
      <c r="G39" s="212">
        <v>0</v>
      </c>
      <c r="H39" s="212">
        <v>12.649592934651391</v>
      </c>
      <c r="I39" s="212">
        <v>42.424556910624496</v>
      </c>
      <c r="J39" s="212">
        <v>72.87370097563381</v>
      </c>
      <c r="K39" s="212">
        <v>87.665139324526123</v>
      </c>
      <c r="L39" s="212">
        <v>57.658045238099142</v>
      </c>
      <c r="M39" s="180">
        <f t="shared" si="0"/>
        <v>273.27103538353498</v>
      </c>
    </row>
    <row r="40" spans="1:13">
      <c r="A40" s="2" t="s">
        <v>75</v>
      </c>
      <c r="B40" s="2" t="s">
        <v>196</v>
      </c>
      <c r="C40" s="2" t="s">
        <v>197</v>
      </c>
      <c r="D40" s="2" t="s">
        <v>78</v>
      </c>
      <c r="E40" s="2" t="s">
        <v>72</v>
      </c>
      <c r="F40" s="212">
        <v>0</v>
      </c>
      <c r="G40" s="212">
        <v>0</v>
      </c>
      <c r="H40" s="212">
        <v>4.216819013659407</v>
      </c>
      <c r="I40" s="212">
        <v>15.861027288568156</v>
      </c>
      <c r="J40" s="212">
        <v>15.953507956266543</v>
      </c>
      <c r="K40" s="212">
        <v>10.924447228076755</v>
      </c>
      <c r="L40" s="212">
        <v>11.431329135954559</v>
      </c>
      <c r="M40" s="180">
        <f t="shared" si="0"/>
        <v>58.387130622525419</v>
      </c>
    </row>
    <row r="41" spans="1:13">
      <c r="A41" s="2" t="s">
        <v>75</v>
      </c>
      <c r="B41" s="2" t="s">
        <v>198</v>
      </c>
      <c r="C41" s="2" t="s">
        <v>199</v>
      </c>
      <c r="D41" s="2" t="s">
        <v>78</v>
      </c>
      <c r="E41" s="2" t="s">
        <v>72</v>
      </c>
      <c r="F41" s="212">
        <v>0</v>
      </c>
      <c r="G41" s="212">
        <v>0</v>
      </c>
      <c r="H41" s="212">
        <v>0</v>
      </c>
      <c r="I41" s="212">
        <v>0</v>
      </c>
      <c r="J41" s="212">
        <v>0</v>
      </c>
      <c r="K41" s="212">
        <v>0</v>
      </c>
      <c r="L41" s="212">
        <v>0</v>
      </c>
      <c r="M41" s="180">
        <f t="shared" si="0"/>
        <v>0</v>
      </c>
    </row>
    <row r="42" spans="1:13">
      <c r="A42" s="2" t="s">
        <v>75</v>
      </c>
      <c r="B42" s="2" t="s">
        <v>200</v>
      </c>
      <c r="C42" s="2" t="s">
        <v>201</v>
      </c>
      <c r="D42" s="2" t="s">
        <v>78</v>
      </c>
      <c r="E42" s="2" t="s">
        <v>72</v>
      </c>
      <c r="F42" s="212">
        <v>0</v>
      </c>
      <c r="G42" s="212">
        <v>0</v>
      </c>
      <c r="H42" s="212">
        <v>3.2619501654103606</v>
      </c>
      <c r="I42" s="212">
        <v>3.244707210780541</v>
      </c>
      <c r="J42" s="212">
        <v>3.2247974631303635</v>
      </c>
      <c r="K42" s="212">
        <v>3.2009819366663019</v>
      </c>
      <c r="L42" s="212">
        <v>3.1803860459934148</v>
      </c>
      <c r="M42" s="180">
        <f t="shared" si="0"/>
        <v>16.112822821980981</v>
      </c>
    </row>
    <row r="43" spans="1:13">
      <c r="A43" s="2" t="s">
        <v>75</v>
      </c>
      <c r="B43" s="2" t="s">
        <v>202</v>
      </c>
      <c r="C43" s="2" t="s">
        <v>203</v>
      </c>
      <c r="D43" s="2" t="s">
        <v>78</v>
      </c>
      <c r="E43" s="2" t="s">
        <v>72</v>
      </c>
      <c r="F43" s="212">
        <v>0</v>
      </c>
      <c r="G43" s="212">
        <v>0</v>
      </c>
      <c r="H43" s="212">
        <v>3.2238018422916506</v>
      </c>
      <c r="I43" s="212">
        <v>5.0204767211515655</v>
      </c>
      <c r="J43" s="212">
        <v>3.3780149166669262</v>
      </c>
      <c r="K43" s="212">
        <v>0.8329214946070238</v>
      </c>
      <c r="L43" s="212">
        <v>0.44709607242100857</v>
      </c>
      <c r="M43" s="180">
        <f t="shared" si="0"/>
        <v>12.902311047138175</v>
      </c>
    </row>
    <row r="44" spans="1:13">
      <c r="A44" s="2" t="s">
        <v>75</v>
      </c>
      <c r="B44" s="2" t="s">
        <v>204</v>
      </c>
      <c r="C44" s="2" t="s">
        <v>205</v>
      </c>
      <c r="D44" s="2" t="s">
        <v>78</v>
      </c>
      <c r="E44" s="2" t="s">
        <v>72</v>
      </c>
      <c r="F44" s="212">
        <v>0</v>
      </c>
      <c r="G44" s="212">
        <v>0</v>
      </c>
      <c r="H44" s="212">
        <v>0</v>
      </c>
      <c r="I44" s="212">
        <v>0</v>
      </c>
      <c r="J44" s="212">
        <v>0</v>
      </c>
      <c r="K44" s="212">
        <v>0</v>
      </c>
      <c r="L44" s="212">
        <v>0</v>
      </c>
      <c r="M44" s="180">
        <f t="shared" si="0"/>
        <v>0</v>
      </c>
    </row>
    <row r="45" spans="1:13">
      <c r="A45" s="2" t="s">
        <v>75</v>
      </c>
      <c r="B45" s="2" t="s">
        <v>206</v>
      </c>
      <c r="C45" s="2" t="s">
        <v>207</v>
      </c>
      <c r="D45" s="2" t="s">
        <v>78</v>
      </c>
      <c r="E45" s="2" t="s">
        <v>72</v>
      </c>
      <c r="F45" s="212">
        <v>0</v>
      </c>
      <c r="G45" s="212">
        <v>0</v>
      </c>
      <c r="H45" s="212">
        <v>2.414423346334849</v>
      </c>
      <c r="I45" s="212">
        <v>8.8567848488394585</v>
      </c>
      <c r="J45" s="212">
        <v>20.853563500890441</v>
      </c>
      <c r="K45" s="212">
        <v>25.935712364538585</v>
      </c>
      <c r="L45" s="212">
        <v>15.540434267090566</v>
      </c>
      <c r="M45" s="180">
        <f t="shared" si="0"/>
        <v>73.60091832769389</v>
      </c>
    </row>
    <row r="46" spans="1:13">
      <c r="A46" s="2" t="s">
        <v>75</v>
      </c>
      <c r="B46" s="2" t="s">
        <v>208</v>
      </c>
      <c r="C46" s="2" t="s">
        <v>209</v>
      </c>
      <c r="D46" s="2" t="s">
        <v>78</v>
      </c>
      <c r="E46" s="2" t="s">
        <v>72</v>
      </c>
      <c r="F46" s="212">
        <v>0</v>
      </c>
      <c r="G46" s="212">
        <v>0</v>
      </c>
      <c r="H46" s="212">
        <v>0.67087528533639518</v>
      </c>
      <c r="I46" s="212">
        <v>1.0447131589939569</v>
      </c>
      <c r="J46" s="212">
        <v>1.0332138430488962</v>
      </c>
      <c r="K46" s="212">
        <v>0.61443059139068257</v>
      </c>
      <c r="L46" s="212">
        <v>0.15911904880786498</v>
      </c>
      <c r="M46" s="180">
        <f t="shared" si="0"/>
        <v>3.5223519275777955</v>
      </c>
    </row>
    <row r="47" spans="1:13">
      <c r="A47" s="2" t="s">
        <v>75</v>
      </c>
      <c r="B47" s="2" t="s">
        <v>210</v>
      </c>
      <c r="C47" s="2" t="s">
        <v>211</v>
      </c>
      <c r="D47" s="2" t="s">
        <v>78</v>
      </c>
      <c r="E47" s="2" t="s">
        <v>72</v>
      </c>
      <c r="F47" s="212">
        <v>0</v>
      </c>
      <c r="G47" s="212">
        <v>0</v>
      </c>
      <c r="H47" s="212">
        <v>14.718049467752078</v>
      </c>
      <c r="I47" s="212">
        <v>40.573802840000489</v>
      </c>
      <c r="J47" s="212">
        <v>29.334995114978327</v>
      </c>
      <c r="K47" s="212">
        <v>10.718324919722438</v>
      </c>
      <c r="L47" s="212">
        <v>6.949410399969187</v>
      </c>
      <c r="M47" s="180">
        <f t="shared" si="0"/>
        <v>102.29458274242251</v>
      </c>
    </row>
    <row r="48" spans="1:13">
      <c r="A48" s="2" t="s">
        <v>95</v>
      </c>
      <c r="B48" s="2" t="s">
        <v>126</v>
      </c>
      <c r="C48" s="2" t="s">
        <v>127</v>
      </c>
      <c r="D48" s="2" t="s">
        <v>78</v>
      </c>
      <c r="E48" s="2" t="s">
        <v>72</v>
      </c>
      <c r="F48" s="212">
        <v>0</v>
      </c>
      <c r="G48" s="212">
        <v>0</v>
      </c>
      <c r="H48" s="212">
        <v>245.05218233216024</v>
      </c>
      <c r="I48" s="212">
        <v>375.5950399137518</v>
      </c>
      <c r="J48" s="212">
        <v>464.10447148957854</v>
      </c>
      <c r="K48" s="212">
        <v>440.16799365815331</v>
      </c>
      <c r="L48" s="212">
        <v>296.02944640673411</v>
      </c>
      <c r="M48" s="180">
        <f t="shared" si="0"/>
        <v>1820.9491338003781</v>
      </c>
    </row>
    <row r="49" spans="1:13">
      <c r="A49" s="2" t="s">
        <v>95</v>
      </c>
      <c r="B49" s="2" t="s">
        <v>128</v>
      </c>
      <c r="C49" s="2" t="s">
        <v>129</v>
      </c>
      <c r="D49" s="2" t="s">
        <v>78</v>
      </c>
      <c r="E49" s="2" t="s">
        <v>72</v>
      </c>
      <c r="F49" s="212">
        <v>0</v>
      </c>
      <c r="G49" s="212">
        <v>0</v>
      </c>
      <c r="H49" s="212">
        <v>2.4304791769535212</v>
      </c>
      <c r="I49" s="212">
        <v>2.3565502976833876</v>
      </c>
      <c r="J49" s="212">
        <v>0</v>
      </c>
      <c r="K49" s="212">
        <v>0</v>
      </c>
      <c r="L49" s="212">
        <v>0</v>
      </c>
      <c r="M49" s="180">
        <f t="shared" si="0"/>
        <v>4.7870294746369089</v>
      </c>
    </row>
    <row r="50" spans="1:13">
      <c r="A50" s="2" t="s">
        <v>95</v>
      </c>
      <c r="B50" s="2" t="s">
        <v>130</v>
      </c>
      <c r="C50" s="2" t="s">
        <v>131</v>
      </c>
      <c r="D50" s="2" t="s">
        <v>78</v>
      </c>
      <c r="E50" s="2" t="s">
        <v>72</v>
      </c>
      <c r="F50" s="212">
        <v>0</v>
      </c>
      <c r="G50" s="212">
        <v>0</v>
      </c>
      <c r="H50" s="212">
        <v>0.18817890938107945</v>
      </c>
      <c r="I50" s="212">
        <v>0.18225827971213493</v>
      </c>
      <c r="J50" s="212">
        <v>0</v>
      </c>
      <c r="K50" s="212">
        <v>0</v>
      </c>
      <c r="L50" s="212">
        <v>0</v>
      </c>
      <c r="M50" s="180">
        <f t="shared" si="0"/>
        <v>0.37043718909321438</v>
      </c>
    </row>
    <row r="51" spans="1:13">
      <c r="A51" s="2" t="s">
        <v>95</v>
      </c>
      <c r="B51" s="2" t="s">
        <v>132</v>
      </c>
      <c r="C51" s="2" t="s">
        <v>133</v>
      </c>
      <c r="D51" s="2" t="s">
        <v>78</v>
      </c>
      <c r="E51" s="2" t="s">
        <v>72</v>
      </c>
      <c r="F51" s="212">
        <v>0</v>
      </c>
      <c r="G51" s="212">
        <v>0</v>
      </c>
      <c r="H51" s="212">
        <v>3.0069008888471429</v>
      </c>
      <c r="I51" s="212">
        <v>2.991006147059684</v>
      </c>
      <c r="J51" s="212">
        <v>0</v>
      </c>
      <c r="K51" s="212">
        <v>0</v>
      </c>
      <c r="L51" s="212">
        <v>0</v>
      </c>
      <c r="M51" s="180">
        <f t="shared" si="0"/>
        <v>5.9979070359068274</v>
      </c>
    </row>
    <row r="52" spans="1:13">
      <c r="A52" s="2" t="s">
        <v>95</v>
      </c>
      <c r="B52" s="2" t="s">
        <v>134</v>
      </c>
      <c r="C52" s="2" t="s">
        <v>135</v>
      </c>
      <c r="D52" s="2" t="s">
        <v>78</v>
      </c>
      <c r="E52" s="2" t="s">
        <v>72</v>
      </c>
      <c r="F52" s="212">
        <v>0</v>
      </c>
      <c r="G52" s="212">
        <v>0</v>
      </c>
      <c r="H52" s="212">
        <v>3.1550670196019306</v>
      </c>
      <c r="I52" s="212">
        <v>4.7036428684195526</v>
      </c>
      <c r="J52" s="212">
        <v>4.7719111588022987</v>
      </c>
      <c r="K52" s="212">
        <v>3.4490919487297624</v>
      </c>
      <c r="L52" s="212">
        <v>0.55157943102997864</v>
      </c>
      <c r="M52" s="180">
        <f t="shared" si="0"/>
        <v>16.631292426583521</v>
      </c>
    </row>
    <row r="53" spans="1:13">
      <c r="A53" s="2" t="s">
        <v>95</v>
      </c>
      <c r="B53" s="2" t="s">
        <v>136</v>
      </c>
      <c r="C53" s="2" t="s">
        <v>137</v>
      </c>
      <c r="D53" s="2" t="s">
        <v>78</v>
      </c>
      <c r="E53" s="2" t="s">
        <v>72</v>
      </c>
      <c r="F53" s="212">
        <v>0</v>
      </c>
      <c r="G53" s="212">
        <v>0</v>
      </c>
      <c r="H53" s="212">
        <v>0</v>
      </c>
      <c r="I53" s="212">
        <v>0</v>
      </c>
      <c r="J53" s="212">
        <v>0</v>
      </c>
      <c r="K53" s="212">
        <v>0</v>
      </c>
      <c r="L53" s="212">
        <v>0</v>
      </c>
      <c r="M53" s="180">
        <f t="shared" si="0"/>
        <v>0</v>
      </c>
    </row>
    <row r="54" spans="1:13">
      <c r="A54" s="2" t="s">
        <v>95</v>
      </c>
      <c r="B54" s="2" t="s">
        <v>138</v>
      </c>
      <c r="C54" s="2" t="s">
        <v>139</v>
      </c>
      <c r="D54" s="2" t="s">
        <v>78</v>
      </c>
      <c r="E54" s="2" t="s">
        <v>72</v>
      </c>
      <c r="F54" s="212">
        <v>0</v>
      </c>
      <c r="G54" s="212">
        <v>0</v>
      </c>
      <c r="H54" s="212">
        <v>109.70807744762634</v>
      </c>
      <c r="I54" s="212">
        <v>196.13912414781248</v>
      </c>
      <c r="J54" s="212">
        <v>285.23835213940322</v>
      </c>
      <c r="K54" s="212">
        <v>279.65119364014527</v>
      </c>
      <c r="L54" s="212">
        <v>201.01550305434287</v>
      </c>
      <c r="M54" s="180">
        <f t="shared" si="0"/>
        <v>1071.7522504293302</v>
      </c>
    </row>
    <row r="55" spans="1:13">
      <c r="A55" s="2" t="s">
        <v>95</v>
      </c>
      <c r="B55" s="2" t="s">
        <v>140</v>
      </c>
      <c r="C55" s="2" t="s">
        <v>141</v>
      </c>
      <c r="D55" s="2" t="s">
        <v>78</v>
      </c>
      <c r="E55" s="2" t="s">
        <v>72</v>
      </c>
      <c r="F55" s="212">
        <v>0</v>
      </c>
      <c r="G55" s="212">
        <v>0</v>
      </c>
      <c r="H55" s="212">
        <v>0</v>
      </c>
      <c r="I55" s="212">
        <v>0</v>
      </c>
      <c r="J55" s="212">
        <v>0</v>
      </c>
      <c r="K55" s="212">
        <v>0</v>
      </c>
      <c r="L55" s="212">
        <v>0</v>
      </c>
      <c r="M55" s="180">
        <f t="shared" si="0"/>
        <v>0</v>
      </c>
    </row>
    <row r="56" spans="1:13">
      <c r="A56" s="2" t="s">
        <v>95</v>
      </c>
      <c r="B56" s="2" t="s">
        <v>142</v>
      </c>
      <c r="C56" s="2" t="s">
        <v>143</v>
      </c>
      <c r="D56" s="2" t="s">
        <v>78</v>
      </c>
      <c r="E56" s="2" t="s">
        <v>72</v>
      </c>
      <c r="F56" s="212">
        <v>0</v>
      </c>
      <c r="G56" s="212">
        <v>0</v>
      </c>
      <c r="H56" s="212">
        <v>1.3802432992771263</v>
      </c>
      <c r="I56" s="212">
        <v>1.3382678460470545</v>
      </c>
      <c r="J56" s="212">
        <v>0</v>
      </c>
      <c r="K56" s="212">
        <v>0</v>
      </c>
      <c r="L56" s="212">
        <v>0</v>
      </c>
      <c r="M56" s="180">
        <f t="shared" si="0"/>
        <v>2.7185111453241806</v>
      </c>
    </row>
    <row r="57" spans="1:13">
      <c r="A57" s="2" t="s">
        <v>95</v>
      </c>
      <c r="B57" s="2" t="s">
        <v>144</v>
      </c>
      <c r="C57" s="2" t="s">
        <v>145</v>
      </c>
      <c r="D57" s="2" t="s">
        <v>78</v>
      </c>
      <c r="E57" s="2" t="s">
        <v>72</v>
      </c>
      <c r="F57" s="212">
        <v>0</v>
      </c>
      <c r="G57" s="212">
        <v>0</v>
      </c>
      <c r="H57" s="212">
        <v>0</v>
      </c>
      <c r="I57" s="212">
        <v>0</v>
      </c>
      <c r="J57" s="212">
        <v>0</v>
      </c>
      <c r="K57" s="212">
        <v>0</v>
      </c>
      <c r="L57" s="212">
        <v>0</v>
      </c>
      <c r="M57" s="180">
        <f t="shared" si="0"/>
        <v>0</v>
      </c>
    </row>
    <row r="58" spans="1:13">
      <c r="A58" s="2" t="s">
        <v>95</v>
      </c>
      <c r="B58" s="2" t="s">
        <v>146</v>
      </c>
      <c r="C58" s="2" t="s">
        <v>147</v>
      </c>
      <c r="D58" s="2" t="s">
        <v>78</v>
      </c>
      <c r="E58" s="2" t="s">
        <v>72</v>
      </c>
      <c r="F58" s="212">
        <v>0</v>
      </c>
      <c r="G58" s="212">
        <v>0</v>
      </c>
      <c r="H58" s="212">
        <v>0.12380191406649964</v>
      </c>
      <c r="I58" s="212">
        <v>0.12019194662097547</v>
      </c>
      <c r="J58" s="212">
        <v>0</v>
      </c>
      <c r="K58" s="212">
        <v>0</v>
      </c>
      <c r="L58" s="212">
        <v>0</v>
      </c>
      <c r="M58" s="180">
        <f t="shared" si="0"/>
        <v>0.24399386068747511</v>
      </c>
    </row>
    <row r="59" spans="1:13">
      <c r="A59" s="2" t="s">
        <v>95</v>
      </c>
      <c r="B59" s="2" t="s">
        <v>148</v>
      </c>
      <c r="C59" s="2" t="s">
        <v>149</v>
      </c>
      <c r="D59" s="2" t="s">
        <v>78</v>
      </c>
      <c r="E59" s="2" t="s">
        <v>72</v>
      </c>
      <c r="F59" s="212">
        <v>0</v>
      </c>
      <c r="G59" s="212">
        <v>0</v>
      </c>
      <c r="H59" s="212">
        <v>18.877809887305215</v>
      </c>
      <c r="I59" s="212">
        <v>39.483503681940682</v>
      </c>
      <c r="J59" s="212">
        <v>36.260640689081036</v>
      </c>
      <c r="K59" s="212">
        <v>39.627584436470492</v>
      </c>
      <c r="L59" s="212">
        <v>26.525259686945351</v>
      </c>
      <c r="M59" s="180">
        <f t="shared" si="0"/>
        <v>160.77479838174278</v>
      </c>
    </row>
    <row r="60" spans="1:13">
      <c r="A60" s="2" t="s">
        <v>95</v>
      </c>
      <c r="B60" s="2" t="s">
        <v>150</v>
      </c>
      <c r="C60" s="2" t="s">
        <v>151</v>
      </c>
      <c r="D60" s="2" t="s">
        <v>78</v>
      </c>
      <c r="E60" s="2" t="s">
        <v>72</v>
      </c>
      <c r="F60" s="212">
        <v>0</v>
      </c>
      <c r="G60" s="212">
        <v>0</v>
      </c>
      <c r="H60" s="212">
        <v>0</v>
      </c>
      <c r="I60" s="212">
        <v>0</v>
      </c>
      <c r="J60" s="212">
        <v>3.6619639966186384</v>
      </c>
      <c r="K60" s="212">
        <v>9.3331914967459184</v>
      </c>
      <c r="L60" s="212">
        <v>6.1840242932702782</v>
      </c>
      <c r="M60" s="180">
        <f t="shared" si="0"/>
        <v>19.179179786634833</v>
      </c>
    </row>
    <row r="61" spans="1:13">
      <c r="A61" s="2" t="s">
        <v>95</v>
      </c>
      <c r="B61" s="2" t="s">
        <v>152</v>
      </c>
      <c r="C61" s="2" t="s">
        <v>153</v>
      </c>
      <c r="D61" s="2" t="s">
        <v>78</v>
      </c>
      <c r="E61" s="2" t="s">
        <v>72</v>
      </c>
      <c r="F61" s="212">
        <v>0</v>
      </c>
      <c r="G61" s="212">
        <v>0</v>
      </c>
      <c r="H61" s="212">
        <v>45.051995821124564</v>
      </c>
      <c r="I61" s="212">
        <v>54.302942242895412</v>
      </c>
      <c r="J61" s="212">
        <v>23.219220026471437</v>
      </c>
      <c r="K61" s="212">
        <v>13.798595442530019</v>
      </c>
      <c r="L61" s="212">
        <v>11.706691440896025</v>
      </c>
      <c r="M61" s="180">
        <f t="shared" si="0"/>
        <v>148.07944497391748</v>
      </c>
    </row>
    <row r="62" spans="1:13">
      <c r="A62" s="2" t="s">
        <v>95</v>
      </c>
      <c r="B62" s="2" t="s">
        <v>154</v>
      </c>
      <c r="C62" s="2" t="s">
        <v>155</v>
      </c>
      <c r="D62" s="2" t="s">
        <v>78</v>
      </c>
      <c r="E62" s="2" t="s">
        <v>72</v>
      </c>
      <c r="F62" s="212">
        <v>0</v>
      </c>
      <c r="G62" s="212">
        <v>0</v>
      </c>
      <c r="H62" s="212">
        <v>0</v>
      </c>
      <c r="I62" s="212">
        <v>0</v>
      </c>
      <c r="J62" s="212">
        <v>0</v>
      </c>
      <c r="K62" s="212">
        <v>0</v>
      </c>
      <c r="L62" s="212">
        <v>0</v>
      </c>
      <c r="M62" s="180">
        <f t="shared" si="0"/>
        <v>0</v>
      </c>
    </row>
    <row r="63" spans="1:13">
      <c r="A63" s="2" t="s">
        <v>95</v>
      </c>
      <c r="B63" s="2" t="s">
        <v>156</v>
      </c>
      <c r="C63" s="2" t="s">
        <v>157</v>
      </c>
      <c r="D63" s="2" t="s">
        <v>78</v>
      </c>
      <c r="E63" s="2" t="s">
        <v>72</v>
      </c>
      <c r="F63" s="212">
        <v>0</v>
      </c>
      <c r="G63" s="212">
        <v>0</v>
      </c>
      <c r="H63" s="212">
        <v>0</v>
      </c>
      <c r="I63" s="212">
        <v>0</v>
      </c>
      <c r="J63" s="212">
        <v>0</v>
      </c>
      <c r="K63" s="212">
        <v>0</v>
      </c>
      <c r="L63" s="212">
        <v>0</v>
      </c>
      <c r="M63" s="180">
        <f t="shared" si="0"/>
        <v>0</v>
      </c>
    </row>
    <row r="64" spans="1:13">
      <c r="A64" s="2" t="s">
        <v>95</v>
      </c>
      <c r="B64" s="2" t="s">
        <v>158</v>
      </c>
      <c r="C64" s="2" t="s">
        <v>159</v>
      </c>
      <c r="D64" s="2" t="s">
        <v>78</v>
      </c>
      <c r="E64" s="2" t="s">
        <v>72</v>
      </c>
      <c r="F64" s="212">
        <v>0</v>
      </c>
      <c r="G64" s="212">
        <v>0</v>
      </c>
      <c r="H64" s="212">
        <v>0</v>
      </c>
      <c r="I64" s="212">
        <v>0</v>
      </c>
      <c r="J64" s="212">
        <v>0</v>
      </c>
      <c r="K64" s="212">
        <v>0</v>
      </c>
      <c r="L64" s="212">
        <v>0</v>
      </c>
      <c r="M64" s="180">
        <f t="shared" si="0"/>
        <v>0</v>
      </c>
    </row>
    <row r="65" spans="1:13">
      <c r="A65" s="2" t="s">
        <v>95</v>
      </c>
      <c r="B65" s="2" t="s">
        <v>160</v>
      </c>
      <c r="C65" s="2" t="s">
        <v>161</v>
      </c>
      <c r="D65" s="2" t="s">
        <v>78</v>
      </c>
      <c r="E65" s="2" t="s">
        <v>72</v>
      </c>
      <c r="F65" s="212">
        <v>0</v>
      </c>
      <c r="G65" s="212">
        <v>0</v>
      </c>
      <c r="H65" s="212">
        <v>4.0270286607551</v>
      </c>
      <c r="I65" s="212">
        <v>15.610175362371773</v>
      </c>
      <c r="J65" s="212">
        <v>34.398962334012296</v>
      </c>
      <c r="K65" s="212">
        <v>26.719577280905835</v>
      </c>
      <c r="L65" s="212">
        <v>3.3266651608863378</v>
      </c>
      <c r="M65" s="180">
        <f t="shared" si="0"/>
        <v>84.08240879893134</v>
      </c>
    </row>
    <row r="66" spans="1:13">
      <c r="A66" s="2" t="s">
        <v>95</v>
      </c>
      <c r="B66" s="2" t="s">
        <v>162</v>
      </c>
      <c r="C66" s="2" t="s">
        <v>163</v>
      </c>
      <c r="D66" s="2" t="s">
        <v>78</v>
      </c>
      <c r="E66" s="2" t="s">
        <v>72</v>
      </c>
      <c r="F66" s="212">
        <v>0</v>
      </c>
      <c r="G66" s="212">
        <v>0</v>
      </c>
      <c r="H66" s="212">
        <v>0</v>
      </c>
      <c r="I66" s="212">
        <v>0</v>
      </c>
      <c r="J66" s="212">
        <v>0</v>
      </c>
      <c r="K66" s="212">
        <v>0</v>
      </c>
      <c r="L66" s="212">
        <v>0</v>
      </c>
      <c r="M66" s="180">
        <f t="shared" si="0"/>
        <v>0</v>
      </c>
    </row>
    <row r="67" spans="1:13">
      <c r="A67" s="2" t="s">
        <v>95</v>
      </c>
      <c r="B67" s="2" t="s">
        <v>164</v>
      </c>
      <c r="C67" s="2" t="s">
        <v>165</v>
      </c>
      <c r="D67" s="2" t="s">
        <v>78</v>
      </c>
      <c r="E67" s="2" t="s">
        <v>72</v>
      </c>
      <c r="F67" s="212">
        <v>0</v>
      </c>
      <c r="G67" s="212">
        <v>0</v>
      </c>
      <c r="H67" s="212">
        <v>0.74886365790601039</v>
      </c>
      <c r="I67" s="212">
        <v>0.77714472736689411</v>
      </c>
      <c r="J67" s="212">
        <v>0.75045277415056644</v>
      </c>
      <c r="K67" s="212">
        <v>0.5691451683443236</v>
      </c>
      <c r="L67" s="212">
        <v>0.5893221464858871</v>
      </c>
      <c r="M67" s="180">
        <f t="shared" si="0"/>
        <v>3.4349284742536819</v>
      </c>
    </row>
    <row r="68" spans="1:13">
      <c r="A68" s="2" t="s">
        <v>95</v>
      </c>
      <c r="B68" s="2" t="s">
        <v>166</v>
      </c>
      <c r="C68" s="2" t="s">
        <v>167</v>
      </c>
      <c r="D68" s="2" t="s">
        <v>78</v>
      </c>
      <c r="E68" s="2" t="s">
        <v>72</v>
      </c>
      <c r="F68" s="212">
        <v>0</v>
      </c>
      <c r="G68" s="212">
        <v>0</v>
      </c>
      <c r="H68" s="212">
        <v>0</v>
      </c>
      <c r="I68" s="212">
        <v>0</v>
      </c>
      <c r="J68" s="212">
        <v>0</v>
      </c>
      <c r="K68" s="212">
        <v>0</v>
      </c>
      <c r="L68" s="212">
        <v>0</v>
      </c>
      <c r="M68" s="180">
        <f t="shared" si="0"/>
        <v>0</v>
      </c>
    </row>
    <row r="69" spans="1:13">
      <c r="A69" s="2" t="s">
        <v>95</v>
      </c>
      <c r="B69" s="2" t="s">
        <v>168</v>
      </c>
      <c r="C69" s="2" t="s">
        <v>169</v>
      </c>
      <c r="D69" s="2" t="s">
        <v>78</v>
      </c>
      <c r="E69" s="2" t="s">
        <v>72</v>
      </c>
      <c r="F69" s="212">
        <v>0</v>
      </c>
      <c r="G69" s="212">
        <v>0</v>
      </c>
      <c r="H69" s="212">
        <v>0</v>
      </c>
      <c r="I69" s="212">
        <v>0</v>
      </c>
      <c r="J69" s="212">
        <v>0</v>
      </c>
      <c r="K69" s="212">
        <v>0</v>
      </c>
      <c r="L69" s="212">
        <v>0</v>
      </c>
      <c r="M69" s="180">
        <f t="shared" si="0"/>
        <v>0</v>
      </c>
    </row>
    <row r="70" spans="1:13">
      <c r="A70" s="2" t="s">
        <v>95</v>
      </c>
      <c r="B70" s="2" t="s">
        <v>170</v>
      </c>
      <c r="C70" s="2" t="s">
        <v>171</v>
      </c>
      <c r="D70" s="2" t="s">
        <v>78</v>
      </c>
      <c r="E70" s="2" t="s">
        <v>72</v>
      </c>
      <c r="F70" s="212">
        <v>0</v>
      </c>
      <c r="G70" s="212">
        <v>0</v>
      </c>
      <c r="H70" s="212">
        <v>9.9797779449929482</v>
      </c>
      <c r="I70" s="212">
        <v>15.595247290374932</v>
      </c>
      <c r="J70" s="212">
        <v>6.0240150267624024</v>
      </c>
      <c r="K70" s="212">
        <v>3.4804461288447128</v>
      </c>
      <c r="L70" s="212">
        <v>2.3951499875320823</v>
      </c>
      <c r="M70" s="180">
        <f t="shared" ref="M70:M133" si="1">SUM(F70:L70)</f>
        <v>37.474636378507078</v>
      </c>
    </row>
    <row r="71" spans="1:13">
      <c r="A71" s="2" t="s">
        <v>95</v>
      </c>
      <c r="B71" s="2" t="s">
        <v>172</v>
      </c>
      <c r="C71" s="2" t="s">
        <v>173</v>
      </c>
      <c r="D71" s="2" t="s">
        <v>78</v>
      </c>
      <c r="E71" s="2" t="s">
        <v>72</v>
      </c>
      <c r="F71" s="212">
        <v>0</v>
      </c>
      <c r="G71" s="212">
        <v>0</v>
      </c>
      <c r="H71" s="212">
        <v>0</v>
      </c>
      <c r="I71" s="212">
        <v>0</v>
      </c>
      <c r="J71" s="212">
        <v>0</v>
      </c>
      <c r="K71" s="212">
        <v>0</v>
      </c>
      <c r="L71" s="212">
        <v>0</v>
      </c>
      <c r="M71" s="180">
        <f t="shared" si="1"/>
        <v>0</v>
      </c>
    </row>
    <row r="72" spans="1:13">
      <c r="A72" s="2" t="s">
        <v>95</v>
      </c>
      <c r="B72" s="2" t="s">
        <v>174</v>
      </c>
      <c r="C72" s="2" t="s">
        <v>175</v>
      </c>
      <c r="D72" s="2" t="s">
        <v>78</v>
      </c>
      <c r="E72" s="2" t="s">
        <v>72</v>
      </c>
      <c r="F72" s="212">
        <v>0</v>
      </c>
      <c r="G72" s="212">
        <v>0</v>
      </c>
      <c r="H72" s="212">
        <v>1.055782723159109</v>
      </c>
      <c r="I72" s="212">
        <v>1.0216315462782914</v>
      </c>
      <c r="J72" s="212">
        <v>0.99773831886481068</v>
      </c>
      <c r="K72" s="212">
        <v>1.0010608394926892</v>
      </c>
      <c r="L72" s="212">
        <v>1.0371083839744346</v>
      </c>
      <c r="M72" s="180">
        <f t="shared" si="1"/>
        <v>5.1133218117693344</v>
      </c>
    </row>
    <row r="73" spans="1:13">
      <c r="A73" s="2" t="s">
        <v>95</v>
      </c>
      <c r="B73" s="2" t="s">
        <v>176</v>
      </c>
      <c r="C73" s="2" t="s">
        <v>177</v>
      </c>
      <c r="D73" s="2" t="s">
        <v>78</v>
      </c>
      <c r="E73" s="2" t="s">
        <v>72</v>
      </c>
      <c r="F73" s="212">
        <v>0</v>
      </c>
      <c r="G73" s="212">
        <v>0</v>
      </c>
      <c r="H73" s="212">
        <v>0</v>
      </c>
      <c r="I73" s="212">
        <v>0</v>
      </c>
      <c r="J73" s="212">
        <v>0</v>
      </c>
      <c r="K73" s="212">
        <v>0</v>
      </c>
      <c r="L73" s="212">
        <v>0</v>
      </c>
      <c r="M73" s="180">
        <f t="shared" si="1"/>
        <v>0</v>
      </c>
    </row>
    <row r="74" spans="1:13">
      <c r="A74" s="2" t="s">
        <v>95</v>
      </c>
      <c r="B74" s="2" t="s">
        <v>178</v>
      </c>
      <c r="C74" s="2" t="s">
        <v>179</v>
      </c>
      <c r="D74" s="2" t="s">
        <v>78</v>
      </c>
      <c r="E74" s="2" t="s">
        <v>72</v>
      </c>
      <c r="F74" s="212">
        <v>0</v>
      </c>
      <c r="G74" s="212">
        <v>0</v>
      </c>
      <c r="H74" s="212">
        <v>0</v>
      </c>
      <c r="I74" s="212">
        <v>0</v>
      </c>
      <c r="J74" s="212">
        <v>0</v>
      </c>
      <c r="K74" s="212">
        <v>0</v>
      </c>
      <c r="L74" s="212">
        <v>0</v>
      </c>
      <c r="M74" s="180">
        <f t="shared" si="1"/>
        <v>0</v>
      </c>
    </row>
    <row r="75" spans="1:13">
      <c r="A75" s="2" t="s">
        <v>95</v>
      </c>
      <c r="B75" s="2" t="s">
        <v>180</v>
      </c>
      <c r="C75" s="2" t="s">
        <v>181</v>
      </c>
      <c r="D75" s="2" t="s">
        <v>78</v>
      </c>
      <c r="E75" s="2" t="s">
        <v>72</v>
      </c>
      <c r="F75" s="212">
        <v>0</v>
      </c>
      <c r="G75" s="212">
        <v>0</v>
      </c>
      <c r="H75" s="212">
        <v>0</v>
      </c>
      <c r="I75" s="212">
        <v>0</v>
      </c>
      <c r="J75" s="212">
        <v>0</v>
      </c>
      <c r="K75" s="212">
        <v>0</v>
      </c>
      <c r="L75" s="212">
        <v>0</v>
      </c>
      <c r="M75" s="180">
        <f t="shared" si="1"/>
        <v>0</v>
      </c>
    </row>
    <row r="76" spans="1:13">
      <c r="A76" s="2" t="s">
        <v>95</v>
      </c>
      <c r="B76" s="2" t="s">
        <v>182</v>
      </c>
      <c r="C76" s="2" t="s">
        <v>183</v>
      </c>
      <c r="D76" s="2" t="s">
        <v>78</v>
      </c>
      <c r="E76" s="2" t="s">
        <v>72</v>
      </c>
      <c r="F76" s="212">
        <v>0</v>
      </c>
      <c r="G76" s="212">
        <v>0</v>
      </c>
      <c r="H76" s="212">
        <v>2.935064315047931</v>
      </c>
      <c r="I76" s="212">
        <v>5.7092365474664755</v>
      </c>
      <c r="J76" s="212">
        <v>8.4325236124909537</v>
      </c>
      <c r="K76" s="212">
        <v>7.4897120289017485</v>
      </c>
      <c r="L76" s="212">
        <v>5.3623581702840983</v>
      </c>
      <c r="M76" s="180">
        <f t="shared" si="1"/>
        <v>29.928894674191206</v>
      </c>
    </row>
    <row r="77" spans="1:13">
      <c r="A77" s="2" t="s">
        <v>95</v>
      </c>
      <c r="B77" s="2" t="s">
        <v>184</v>
      </c>
      <c r="C77" s="2" t="s">
        <v>185</v>
      </c>
      <c r="D77" s="2" t="s">
        <v>78</v>
      </c>
      <c r="E77" s="2" t="s">
        <v>72</v>
      </c>
      <c r="F77" s="212">
        <v>0</v>
      </c>
      <c r="G77" s="212">
        <v>0</v>
      </c>
      <c r="H77" s="212">
        <v>2.7926174681174878</v>
      </c>
      <c r="I77" s="212">
        <v>2.7502191979313331</v>
      </c>
      <c r="J77" s="212">
        <v>2.7453755187018247</v>
      </c>
      <c r="K77" s="212">
        <v>2.8011540020943255</v>
      </c>
      <c r="L77" s="212">
        <v>2.9322527616932414</v>
      </c>
      <c r="M77" s="180">
        <f t="shared" si="1"/>
        <v>14.021618948538212</v>
      </c>
    </row>
    <row r="78" spans="1:13">
      <c r="A78" s="2" t="s">
        <v>95</v>
      </c>
      <c r="B78" s="2" t="s">
        <v>186</v>
      </c>
      <c r="C78" s="2" t="s">
        <v>187</v>
      </c>
      <c r="D78" s="2" t="s">
        <v>78</v>
      </c>
      <c r="E78" s="2" t="s">
        <v>72</v>
      </c>
      <c r="F78" s="212">
        <v>0</v>
      </c>
      <c r="G78" s="212">
        <v>0</v>
      </c>
      <c r="H78" s="212">
        <v>0</v>
      </c>
      <c r="I78" s="212">
        <v>0</v>
      </c>
      <c r="J78" s="212">
        <v>0</v>
      </c>
      <c r="K78" s="212">
        <v>0</v>
      </c>
      <c r="L78" s="212">
        <v>0</v>
      </c>
      <c r="M78" s="180">
        <f t="shared" si="1"/>
        <v>0</v>
      </c>
    </row>
    <row r="79" spans="1:13">
      <c r="A79" s="2" t="s">
        <v>95</v>
      </c>
      <c r="B79" s="2" t="s">
        <v>188</v>
      </c>
      <c r="C79" s="2" t="s">
        <v>189</v>
      </c>
      <c r="D79" s="2" t="s">
        <v>78</v>
      </c>
      <c r="E79" s="2" t="s">
        <v>72</v>
      </c>
      <c r="F79" s="212">
        <v>0</v>
      </c>
      <c r="G79" s="212">
        <v>0</v>
      </c>
      <c r="H79" s="212">
        <v>1.338409869334116</v>
      </c>
      <c r="I79" s="212">
        <v>2.6026086708339298</v>
      </c>
      <c r="J79" s="212">
        <v>3.8442550559324009</v>
      </c>
      <c r="K79" s="212">
        <v>3.4136239489177451</v>
      </c>
      <c r="L79" s="212">
        <v>2.4447444081653908</v>
      </c>
      <c r="M79" s="180">
        <f t="shared" si="1"/>
        <v>13.643641953183584</v>
      </c>
    </row>
    <row r="80" spans="1:13">
      <c r="A80" s="2" t="s">
        <v>95</v>
      </c>
      <c r="B80" s="2" t="s">
        <v>190</v>
      </c>
      <c r="C80" s="2" t="s">
        <v>191</v>
      </c>
      <c r="D80" s="2" t="s">
        <v>78</v>
      </c>
      <c r="E80" s="2" t="s">
        <v>72</v>
      </c>
      <c r="F80" s="212">
        <v>0</v>
      </c>
      <c r="G80" s="212">
        <v>0</v>
      </c>
      <c r="H80" s="212">
        <v>0</v>
      </c>
      <c r="I80" s="212">
        <v>0</v>
      </c>
      <c r="J80" s="212">
        <v>0</v>
      </c>
      <c r="K80" s="212">
        <v>0</v>
      </c>
      <c r="L80" s="212">
        <v>0</v>
      </c>
      <c r="M80" s="180">
        <f t="shared" si="1"/>
        <v>0</v>
      </c>
    </row>
    <row r="81" spans="1:13">
      <c r="A81" s="2" t="s">
        <v>95</v>
      </c>
      <c r="B81" s="2" t="s">
        <v>192</v>
      </c>
      <c r="C81" s="2" t="s">
        <v>193</v>
      </c>
      <c r="D81" s="2" t="s">
        <v>78</v>
      </c>
      <c r="E81" s="2" t="s">
        <v>72</v>
      </c>
      <c r="F81" s="212">
        <v>0</v>
      </c>
      <c r="G81" s="212">
        <v>0</v>
      </c>
      <c r="H81" s="212">
        <v>0.34362840041879528</v>
      </c>
      <c r="I81" s="212">
        <v>1.9868405257188029</v>
      </c>
      <c r="J81" s="212">
        <v>8.1119701328910523</v>
      </c>
      <c r="K81" s="212">
        <v>5.2107272800627893</v>
      </c>
      <c r="L81" s="212">
        <v>2.7828268763287576</v>
      </c>
      <c r="M81" s="180">
        <f t="shared" si="1"/>
        <v>18.435993215420197</v>
      </c>
    </row>
    <row r="82" spans="1:13">
      <c r="A82" s="2" t="s">
        <v>95</v>
      </c>
      <c r="B82" s="2" t="s">
        <v>194</v>
      </c>
      <c r="C82" s="2" t="s">
        <v>195</v>
      </c>
      <c r="D82" s="2" t="s">
        <v>78</v>
      </c>
      <c r="E82" s="2" t="s">
        <v>72</v>
      </c>
      <c r="F82" s="212">
        <v>0</v>
      </c>
      <c r="G82" s="212">
        <v>0</v>
      </c>
      <c r="H82" s="212">
        <v>12.662261687659075</v>
      </c>
      <c r="I82" s="212">
        <v>13.557651578846032</v>
      </c>
      <c r="J82" s="212">
        <v>23.81764882634965</v>
      </c>
      <c r="K82" s="212">
        <v>21.071261577220678</v>
      </c>
      <c r="L82" s="212">
        <v>14.164930598551383</v>
      </c>
      <c r="M82" s="180">
        <f t="shared" si="1"/>
        <v>85.273754268626817</v>
      </c>
    </row>
    <row r="83" spans="1:13">
      <c r="A83" s="2" t="s">
        <v>95</v>
      </c>
      <c r="B83" s="2" t="s">
        <v>196</v>
      </c>
      <c r="C83" s="2" t="s">
        <v>197</v>
      </c>
      <c r="D83" s="2" t="s">
        <v>78</v>
      </c>
      <c r="E83" s="2" t="s">
        <v>72</v>
      </c>
      <c r="F83" s="212">
        <v>0</v>
      </c>
      <c r="G83" s="212">
        <v>0</v>
      </c>
      <c r="H83" s="212">
        <v>2.007943398538492</v>
      </c>
      <c r="I83" s="212">
        <v>2.3737795795546823</v>
      </c>
      <c r="J83" s="212">
        <v>1.1175543944565245</v>
      </c>
      <c r="K83" s="212">
        <v>0.70048410256981886</v>
      </c>
      <c r="L83" s="212">
        <v>0.4067865678372814</v>
      </c>
      <c r="M83" s="180">
        <f t="shared" si="1"/>
        <v>6.6065480429567991</v>
      </c>
    </row>
    <row r="84" spans="1:13">
      <c r="A84" s="2" t="s">
        <v>95</v>
      </c>
      <c r="B84" s="2" t="s">
        <v>198</v>
      </c>
      <c r="C84" s="2" t="s">
        <v>199</v>
      </c>
      <c r="D84" s="2" t="s">
        <v>78</v>
      </c>
      <c r="E84" s="2" t="s">
        <v>72</v>
      </c>
      <c r="F84" s="212">
        <v>0</v>
      </c>
      <c r="G84" s="212">
        <v>0</v>
      </c>
      <c r="H84" s="212">
        <v>5.2690094626702245E-2</v>
      </c>
      <c r="I84" s="212">
        <v>1.6040698974448546</v>
      </c>
      <c r="J84" s="212">
        <v>7.5763489339667647</v>
      </c>
      <c r="K84" s="212">
        <v>5.9413446775754943</v>
      </c>
      <c r="L84" s="212">
        <v>0.12167193331543645</v>
      </c>
      <c r="M84" s="180">
        <f t="shared" si="1"/>
        <v>15.296125536929253</v>
      </c>
    </row>
    <row r="85" spans="1:13">
      <c r="A85" s="2" t="s">
        <v>95</v>
      </c>
      <c r="B85" s="2" t="s">
        <v>200</v>
      </c>
      <c r="C85" s="2" t="s">
        <v>201</v>
      </c>
      <c r="D85" s="2" t="s">
        <v>78</v>
      </c>
      <c r="E85" s="2" t="s">
        <v>72</v>
      </c>
      <c r="F85" s="212">
        <v>0</v>
      </c>
      <c r="G85" s="212">
        <v>0</v>
      </c>
      <c r="H85" s="212">
        <v>0.7549783488033156</v>
      </c>
      <c r="I85" s="212">
        <v>0.90591145500063719</v>
      </c>
      <c r="J85" s="212">
        <v>2.1467540499651587</v>
      </c>
      <c r="K85" s="212">
        <v>3.4996911127018455</v>
      </c>
      <c r="L85" s="212">
        <v>2.3555210681243732</v>
      </c>
      <c r="M85" s="180">
        <f t="shared" si="1"/>
        <v>9.6628560345953307</v>
      </c>
    </row>
    <row r="86" spans="1:13">
      <c r="A86" s="2" t="s">
        <v>95</v>
      </c>
      <c r="B86" s="2" t="s">
        <v>202</v>
      </c>
      <c r="C86" s="2" t="s">
        <v>203</v>
      </c>
      <c r="D86" s="2" t="s">
        <v>78</v>
      </c>
      <c r="E86" s="2" t="s">
        <v>72</v>
      </c>
      <c r="F86" s="212">
        <v>0</v>
      </c>
      <c r="G86" s="212">
        <v>0</v>
      </c>
      <c r="H86" s="212">
        <v>0</v>
      </c>
      <c r="I86" s="212">
        <v>0</v>
      </c>
      <c r="J86" s="212">
        <v>0</v>
      </c>
      <c r="K86" s="212">
        <v>0</v>
      </c>
      <c r="L86" s="212">
        <v>0</v>
      </c>
      <c r="M86" s="180">
        <f t="shared" si="1"/>
        <v>0</v>
      </c>
    </row>
    <row r="87" spans="1:13">
      <c r="A87" s="2" t="s">
        <v>95</v>
      </c>
      <c r="B87" s="2" t="s">
        <v>204</v>
      </c>
      <c r="C87" s="2" t="s">
        <v>205</v>
      </c>
      <c r="D87" s="2" t="s">
        <v>78</v>
      </c>
      <c r="E87" s="2" t="s">
        <v>72</v>
      </c>
      <c r="F87" s="212">
        <v>0</v>
      </c>
      <c r="G87" s="212">
        <v>0</v>
      </c>
      <c r="H87" s="212">
        <v>1.1003514122230487</v>
      </c>
      <c r="I87" s="212">
        <v>1.075816440246764</v>
      </c>
      <c r="J87" s="212">
        <v>1.0711734257488745</v>
      </c>
      <c r="K87" s="212">
        <v>1.0710379078844112</v>
      </c>
      <c r="L87" s="212">
        <v>1.0767000448151718</v>
      </c>
      <c r="M87" s="180">
        <f t="shared" si="1"/>
        <v>5.3950792309182694</v>
      </c>
    </row>
    <row r="88" spans="1:13">
      <c r="A88" s="2" t="s">
        <v>95</v>
      </c>
      <c r="B88" s="2" t="s">
        <v>206</v>
      </c>
      <c r="C88" s="2" t="s">
        <v>207</v>
      </c>
      <c r="D88" s="2" t="s">
        <v>78</v>
      </c>
      <c r="E88" s="2" t="s">
        <v>72</v>
      </c>
      <c r="F88" s="212">
        <v>0</v>
      </c>
      <c r="G88" s="212">
        <v>0</v>
      </c>
      <c r="H88" s="212">
        <v>6.247482523145548</v>
      </c>
      <c r="I88" s="212">
        <v>7.16797483833379</v>
      </c>
      <c r="J88" s="212">
        <v>7.1125574208660911</v>
      </c>
      <c r="K88" s="212">
        <v>7.1770234168988463</v>
      </c>
      <c r="L88" s="212">
        <v>6.8808236809783736</v>
      </c>
      <c r="M88" s="180">
        <f t="shared" si="1"/>
        <v>34.585861880222652</v>
      </c>
    </row>
    <row r="89" spans="1:13">
      <c r="A89" s="2" t="s">
        <v>95</v>
      </c>
      <c r="B89" s="2" t="s">
        <v>208</v>
      </c>
      <c r="C89" s="2" t="s">
        <v>209</v>
      </c>
      <c r="D89" s="2" t="s">
        <v>78</v>
      </c>
      <c r="E89" s="2" t="s">
        <v>72</v>
      </c>
      <c r="F89" s="212">
        <v>0</v>
      </c>
      <c r="G89" s="212">
        <v>0</v>
      </c>
      <c r="H89" s="212">
        <v>0.9379975323660722</v>
      </c>
      <c r="I89" s="212">
        <v>1.2392447977912415</v>
      </c>
      <c r="J89" s="212">
        <v>2.8050536540424909</v>
      </c>
      <c r="K89" s="212">
        <v>4.1620472211164845</v>
      </c>
      <c r="L89" s="212">
        <v>4.1695267112772747</v>
      </c>
      <c r="M89" s="180">
        <f t="shared" si="1"/>
        <v>13.313869916593564</v>
      </c>
    </row>
    <row r="90" spans="1:13">
      <c r="A90" s="2" t="s">
        <v>95</v>
      </c>
      <c r="B90" s="2" t="s">
        <v>210</v>
      </c>
      <c r="C90" s="2" t="s">
        <v>211</v>
      </c>
      <c r="D90" s="2" t="s">
        <v>78</v>
      </c>
      <c r="E90" s="2" t="s">
        <v>72</v>
      </c>
      <c r="F90" s="212">
        <v>0</v>
      </c>
      <c r="G90" s="212">
        <v>0</v>
      </c>
      <c r="H90" s="212">
        <v>14.14474993088305</v>
      </c>
      <c r="I90" s="212">
        <v>0</v>
      </c>
      <c r="J90" s="212">
        <v>0</v>
      </c>
      <c r="K90" s="212">
        <v>0</v>
      </c>
      <c r="L90" s="212">
        <v>0</v>
      </c>
      <c r="M90" s="180">
        <f t="shared" si="1"/>
        <v>14.14474993088305</v>
      </c>
    </row>
    <row r="91" spans="1:13">
      <c r="A91" s="2" t="s">
        <v>96</v>
      </c>
      <c r="B91" s="2" t="s">
        <v>126</v>
      </c>
      <c r="C91" s="2" t="s">
        <v>127</v>
      </c>
      <c r="D91" s="2" t="s">
        <v>78</v>
      </c>
      <c r="E91" s="2" t="s">
        <v>72</v>
      </c>
      <c r="F91" s="212">
        <v>0</v>
      </c>
      <c r="G91" s="212">
        <v>0</v>
      </c>
      <c r="H91" s="212">
        <v>1.7549806302281359</v>
      </c>
      <c r="I91" s="212">
        <v>3.154733808110731</v>
      </c>
      <c r="J91" s="212">
        <v>7.2597014913090323</v>
      </c>
      <c r="K91" s="212">
        <v>10.155491941599223</v>
      </c>
      <c r="L91" s="212">
        <v>1.9091424302281816</v>
      </c>
      <c r="M91" s="180">
        <f t="shared" si="1"/>
        <v>24.234050301475303</v>
      </c>
    </row>
    <row r="92" spans="1:13">
      <c r="A92" s="2" t="s">
        <v>96</v>
      </c>
      <c r="B92" s="2" t="s">
        <v>128</v>
      </c>
      <c r="C92" s="2" t="s">
        <v>129</v>
      </c>
      <c r="D92" s="2" t="s">
        <v>78</v>
      </c>
      <c r="E92" s="2" t="s">
        <v>72</v>
      </c>
      <c r="F92" s="212">
        <v>0</v>
      </c>
      <c r="G92" s="212">
        <v>0</v>
      </c>
      <c r="H92" s="212">
        <v>0</v>
      </c>
      <c r="I92" s="212">
        <v>0</v>
      </c>
      <c r="J92" s="212">
        <v>0</v>
      </c>
      <c r="K92" s="212">
        <v>0</v>
      </c>
      <c r="L92" s="212">
        <v>0</v>
      </c>
      <c r="M92" s="180">
        <f t="shared" si="1"/>
        <v>0</v>
      </c>
    </row>
    <row r="93" spans="1:13">
      <c r="A93" s="2" t="s">
        <v>96</v>
      </c>
      <c r="B93" s="2" t="s">
        <v>130</v>
      </c>
      <c r="C93" s="2" t="s">
        <v>131</v>
      </c>
      <c r="D93" s="2" t="s">
        <v>78</v>
      </c>
      <c r="E93" s="2" t="s">
        <v>72</v>
      </c>
      <c r="F93" s="212">
        <v>0</v>
      </c>
      <c r="G93" s="212">
        <v>0</v>
      </c>
      <c r="H93" s="212">
        <v>2.376996750076793E-2</v>
      </c>
      <c r="I93" s="212">
        <v>1.9703597806717292E-3</v>
      </c>
      <c r="J93" s="212">
        <v>1.9582695169083628E-3</v>
      </c>
      <c r="K93" s="212">
        <v>1.94380745532561E-3</v>
      </c>
      <c r="L93" s="212">
        <v>1.9313005288164515E-3</v>
      </c>
      <c r="M93" s="180">
        <f t="shared" si="1"/>
        <v>3.1573704782490081E-2</v>
      </c>
    </row>
    <row r="94" spans="1:13">
      <c r="A94" s="2" t="s">
        <v>96</v>
      </c>
      <c r="B94" s="2" t="s">
        <v>132</v>
      </c>
      <c r="C94" s="2" t="s">
        <v>133</v>
      </c>
      <c r="D94" s="2" t="s">
        <v>78</v>
      </c>
      <c r="E94" s="2" t="s">
        <v>72</v>
      </c>
      <c r="F94" s="212">
        <v>0</v>
      </c>
      <c r="G94" s="212">
        <v>0</v>
      </c>
      <c r="H94" s="212">
        <v>0</v>
      </c>
      <c r="I94" s="212">
        <v>0</v>
      </c>
      <c r="J94" s="212">
        <v>0</v>
      </c>
      <c r="K94" s="212">
        <v>0</v>
      </c>
      <c r="L94" s="212">
        <v>0</v>
      </c>
      <c r="M94" s="180">
        <f t="shared" si="1"/>
        <v>0</v>
      </c>
    </row>
    <row r="95" spans="1:13">
      <c r="A95" s="2" t="s">
        <v>96</v>
      </c>
      <c r="B95" s="2" t="s">
        <v>134</v>
      </c>
      <c r="C95" s="2" t="s">
        <v>135</v>
      </c>
      <c r="D95" s="2" t="s">
        <v>78</v>
      </c>
      <c r="E95" s="2" t="s">
        <v>72</v>
      </c>
      <c r="F95" s="212">
        <v>0</v>
      </c>
      <c r="G95" s="212">
        <v>0</v>
      </c>
      <c r="H95" s="212">
        <v>5.4472842189259851E-2</v>
      </c>
      <c r="I95" s="212">
        <v>5.4184893968472557E-2</v>
      </c>
      <c r="J95" s="212">
        <v>0.13609973142513121</v>
      </c>
      <c r="K95" s="212">
        <v>0.16619553743033966</v>
      </c>
      <c r="L95" s="212">
        <v>0.14098493860360095</v>
      </c>
      <c r="M95" s="180">
        <f t="shared" si="1"/>
        <v>0.55193794361680426</v>
      </c>
    </row>
    <row r="96" spans="1:13">
      <c r="A96" s="2" t="s">
        <v>96</v>
      </c>
      <c r="B96" s="2" t="s">
        <v>136</v>
      </c>
      <c r="C96" s="2" t="s">
        <v>137</v>
      </c>
      <c r="D96" s="2" t="s">
        <v>78</v>
      </c>
      <c r="E96" s="2" t="s">
        <v>72</v>
      </c>
      <c r="F96" s="212">
        <v>0</v>
      </c>
      <c r="G96" s="212">
        <v>0</v>
      </c>
      <c r="H96" s="212">
        <v>0</v>
      </c>
      <c r="I96" s="212">
        <v>0</v>
      </c>
      <c r="J96" s="212">
        <v>0</v>
      </c>
      <c r="K96" s="212">
        <v>0</v>
      </c>
      <c r="L96" s="212">
        <v>0</v>
      </c>
      <c r="M96" s="180">
        <f t="shared" si="1"/>
        <v>0</v>
      </c>
    </row>
    <row r="97" spans="1:13">
      <c r="A97" s="2" t="s">
        <v>96</v>
      </c>
      <c r="B97" s="2" t="s">
        <v>138</v>
      </c>
      <c r="C97" s="2" t="s">
        <v>139</v>
      </c>
      <c r="D97" s="2" t="s">
        <v>78</v>
      </c>
      <c r="E97" s="2" t="s">
        <v>72</v>
      </c>
      <c r="F97" s="212">
        <v>0</v>
      </c>
      <c r="G97" s="212">
        <v>0</v>
      </c>
      <c r="H97" s="212">
        <v>0.27038338032123521</v>
      </c>
      <c r="I97" s="212">
        <v>0.88075082196026278</v>
      </c>
      <c r="J97" s="212">
        <v>3.3417869306041208</v>
      </c>
      <c r="K97" s="212">
        <v>5.6409292353549212</v>
      </c>
      <c r="L97" s="212">
        <v>0.91929905171663084</v>
      </c>
      <c r="M97" s="180">
        <f t="shared" si="1"/>
        <v>11.053149419957172</v>
      </c>
    </row>
    <row r="98" spans="1:13">
      <c r="A98" s="2" t="s">
        <v>96</v>
      </c>
      <c r="B98" s="2" t="s">
        <v>140</v>
      </c>
      <c r="C98" s="2" t="s">
        <v>141</v>
      </c>
      <c r="D98" s="2" t="s">
        <v>78</v>
      </c>
      <c r="E98" s="2" t="s">
        <v>72</v>
      </c>
      <c r="F98" s="212">
        <v>0</v>
      </c>
      <c r="G98" s="212">
        <v>0</v>
      </c>
      <c r="H98" s="212">
        <v>0</v>
      </c>
      <c r="I98" s="212">
        <v>0</v>
      </c>
      <c r="J98" s="212">
        <v>0</v>
      </c>
      <c r="K98" s="212">
        <v>0</v>
      </c>
      <c r="L98" s="212">
        <v>0</v>
      </c>
      <c r="M98" s="180">
        <f t="shared" si="1"/>
        <v>0</v>
      </c>
    </row>
    <row r="99" spans="1:13">
      <c r="A99" s="2" t="s">
        <v>96</v>
      </c>
      <c r="B99" s="2" t="s">
        <v>142</v>
      </c>
      <c r="C99" s="2" t="s">
        <v>143</v>
      </c>
      <c r="D99" s="2" t="s">
        <v>78</v>
      </c>
      <c r="E99" s="2" t="s">
        <v>72</v>
      </c>
      <c r="F99" s="212">
        <v>0</v>
      </c>
      <c r="G99" s="212">
        <v>0</v>
      </c>
      <c r="H99" s="212">
        <v>0</v>
      </c>
      <c r="I99" s="212">
        <v>0</v>
      </c>
      <c r="J99" s="212">
        <v>0</v>
      </c>
      <c r="K99" s="212">
        <v>0</v>
      </c>
      <c r="L99" s="212">
        <v>0</v>
      </c>
      <c r="M99" s="180">
        <f t="shared" si="1"/>
        <v>0</v>
      </c>
    </row>
    <row r="100" spans="1:13">
      <c r="A100" s="2" t="s">
        <v>96</v>
      </c>
      <c r="B100" s="2" t="s">
        <v>144</v>
      </c>
      <c r="C100" s="2" t="s">
        <v>145</v>
      </c>
      <c r="D100" s="2" t="s">
        <v>78</v>
      </c>
      <c r="E100" s="2" t="s">
        <v>72</v>
      </c>
      <c r="F100" s="212">
        <v>0</v>
      </c>
      <c r="G100" s="212">
        <v>0</v>
      </c>
      <c r="H100" s="212">
        <v>0</v>
      </c>
      <c r="I100" s="212">
        <v>0</v>
      </c>
      <c r="J100" s="212">
        <v>0</v>
      </c>
      <c r="K100" s="212">
        <v>0</v>
      </c>
      <c r="L100" s="212">
        <v>0</v>
      </c>
      <c r="M100" s="180">
        <f t="shared" si="1"/>
        <v>0</v>
      </c>
    </row>
    <row r="101" spans="1:13">
      <c r="A101" s="2" t="s">
        <v>96</v>
      </c>
      <c r="B101" s="2" t="s">
        <v>146</v>
      </c>
      <c r="C101" s="2" t="s">
        <v>147</v>
      </c>
      <c r="D101" s="2" t="s">
        <v>78</v>
      </c>
      <c r="E101" s="2" t="s">
        <v>72</v>
      </c>
      <c r="F101" s="212">
        <v>0</v>
      </c>
      <c r="G101" s="212">
        <v>0</v>
      </c>
      <c r="H101" s="212">
        <v>0</v>
      </c>
      <c r="I101" s="212">
        <v>0</v>
      </c>
      <c r="J101" s="212">
        <v>0</v>
      </c>
      <c r="K101" s="212">
        <v>0</v>
      </c>
      <c r="L101" s="212">
        <v>0</v>
      </c>
      <c r="M101" s="180">
        <f t="shared" si="1"/>
        <v>0</v>
      </c>
    </row>
    <row r="102" spans="1:13">
      <c r="A102" s="2" t="s">
        <v>96</v>
      </c>
      <c r="B102" s="2" t="s">
        <v>148</v>
      </c>
      <c r="C102" s="2" t="s">
        <v>149</v>
      </c>
      <c r="D102" s="2" t="s">
        <v>78</v>
      </c>
      <c r="E102" s="2" t="s">
        <v>72</v>
      </c>
      <c r="F102" s="212">
        <v>0</v>
      </c>
      <c r="G102" s="212">
        <v>0</v>
      </c>
      <c r="H102" s="212">
        <v>0.13697373823951367</v>
      </c>
      <c r="I102" s="212">
        <v>0.70135082748948596</v>
      </c>
      <c r="J102" s="212">
        <v>2.4796236411481987</v>
      </c>
      <c r="K102" s="212">
        <v>3.7558685198394484</v>
      </c>
      <c r="L102" s="212">
        <v>0.74437007959491908</v>
      </c>
      <c r="M102" s="180">
        <f t="shared" si="1"/>
        <v>7.8181868063115658</v>
      </c>
    </row>
    <row r="103" spans="1:13">
      <c r="A103" s="2" t="s">
        <v>96</v>
      </c>
      <c r="B103" s="2" t="s">
        <v>150</v>
      </c>
      <c r="C103" s="2" t="s">
        <v>151</v>
      </c>
      <c r="D103" s="2" t="s">
        <v>78</v>
      </c>
      <c r="E103" s="2" t="s">
        <v>72</v>
      </c>
      <c r="F103" s="212">
        <v>0</v>
      </c>
      <c r="G103" s="212">
        <v>0</v>
      </c>
      <c r="H103" s="212">
        <v>0</v>
      </c>
      <c r="I103" s="212">
        <v>0</v>
      </c>
      <c r="J103" s="212">
        <v>0</v>
      </c>
      <c r="K103" s="212">
        <v>0</v>
      </c>
      <c r="L103" s="212">
        <v>0</v>
      </c>
      <c r="M103" s="180">
        <f t="shared" si="1"/>
        <v>0</v>
      </c>
    </row>
    <row r="104" spans="1:13">
      <c r="A104" s="2" t="s">
        <v>96</v>
      </c>
      <c r="B104" s="2" t="s">
        <v>152</v>
      </c>
      <c r="C104" s="2" t="s">
        <v>153</v>
      </c>
      <c r="D104" s="2" t="s">
        <v>78</v>
      </c>
      <c r="E104" s="2" t="s">
        <v>72</v>
      </c>
      <c r="F104" s="212">
        <v>0</v>
      </c>
      <c r="G104" s="212">
        <v>0</v>
      </c>
      <c r="H104" s="212">
        <v>0</v>
      </c>
      <c r="I104" s="212">
        <v>0</v>
      </c>
      <c r="J104" s="212">
        <v>0</v>
      </c>
      <c r="K104" s="212">
        <v>0</v>
      </c>
      <c r="L104" s="212">
        <v>0</v>
      </c>
      <c r="M104" s="180">
        <f t="shared" si="1"/>
        <v>0</v>
      </c>
    </row>
    <row r="105" spans="1:13">
      <c r="A105" s="2" t="s">
        <v>96</v>
      </c>
      <c r="B105" s="2" t="s">
        <v>154</v>
      </c>
      <c r="C105" s="2" t="s">
        <v>155</v>
      </c>
      <c r="D105" s="2" t="s">
        <v>78</v>
      </c>
      <c r="E105" s="2" t="s">
        <v>72</v>
      </c>
      <c r="F105" s="212">
        <v>0</v>
      </c>
      <c r="G105" s="212">
        <v>0</v>
      </c>
      <c r="H105" s="212">
        <v>0</v>
      </c>
      <c r="I105" s="212">
        <v>0</v>
      </c>
      <c r="J105" s="212">
        <v>0</v>
      </c>
      <c r="K105" s="212">
        <v>0</v>
      </c>
      <c r="L105" s="212">
        <v>0</v>
      </c>
      <c r="M105" s="180">
        <f t="shared" si="1"/>
        <v>0</v>
      </c>
    </row>
    <row r="106" spans="1:13">
      <c r="A106" s="2" t="s">
        <v>96</v>
      </c>
      <c r="B106" s="2" t="s">
        <v>156</v>
      </c>
      <c r="C106" s="2" t="s">
        <v>157</v>
      </c>
      <c r="D106" s="2" t="s">
        <v>78</v>
      </c>
      <c r="E106" s="2" t="s">
        <v>72</v>
      </c>
      <c r="F106" s="212">
        <v>0</v>
      </c>
      <c r="G106" s="212">
        <v>0</v>
      </c>
      <c r="H106" s="212">
        <v>0</v>
      </c>
      <c r="I106" s="212">
        <v>0</v>
      </c>
      <c r="J106" s="212">
        <v>0</v>
      </c>
      <c r="K106" s="212">
        <v>0</v>
      </c>
      <c r="L106" s="212">
        <v>0</v>
      </c>
      <c r="M106" s="180">
        <f t="shared" si="1"/>
        <v>0</v>
      </c>
    </row>
    <row r="107" spans="1:13">
      <c r="A107" s="2" t="s">
        <v>96</v>
      </c>
      <c r="B107" s="2" t="s">
        <v>158</v>
      </c>
      <c r="C107" s="2" t="s">
        <v>159</v>
      </c>
      <c r="D107" s="2" t="s">
        <v>78</v>
      </c>
      <c r="E107" s="2" t="s">
        <v>72</v>
      </c>
      <c r="F107" s="212">
        <v>0</v>
      </c>
      <c r="G107" s="212">
        <v>0</v>
      </c>
      <c r="H107" s="212">
        <v>0</v>
      </c>
      <c r="I107" s="212">
        <v>0</v>
      </c>
      <c r="J107" s="212">
        <v>0</v>
      </c>
      <c r="K107" s="212">
        <v>0</v>
      </c>
      <c r="L107" s="212">
        <v>0</v>
      </c>
      <c r="M107" s="180">
        <f t="shared" si="1"/>
        <v>0</v>
      </c>
    </row>
    <row r="108" spans="1:13">
      <c r="A108" s="2" t="s">
        <v>96</v>
      </c>
      <c r="B108" s="2" t="s">
        <v>160</v>
      </c>
      <c r="C108" s="2" t="s">
        <v>161</v>
      </c>
      <c r="D108" s="2" t="s">
        <v>78</v>
      </c>
      <c r="E108" s="2" t="s">
        <v>72</v>
      </c>
      <c r="F108" s="212">
        <v>0</v>
      </c>
      <c r="G108" s="212">
        <v>0</v>
      </c>
      <c r="H108" s="212">
        <v>0</v>
      </c>
      <c r="I108" s="212">
        <v>0</v>
      </c>
      <c r="J108" s="212">
        <v>0</v>
      </c>
      <c r="K108" s="212">
        <v>0</v>
      </c>
      <c r="L108" s="212">
        <v>0</v>
      </c>
      <c r="M108" s="180">
        <f t="shared" si="1"/>
        <v>0</v>
      </c>
    </row>
    <row r="109" spans="1:13">
      <c r="A109" s="2" t="s">
        <v>96</v>
      </c>
      <c r="B109" s="2" t="s">
        <v>162</v>
      </c>
      <c r="C109" s="2" t="s">
        <v>163</v>
      </c>
      <c r="D109" s="2" t="s">
        <v>78</v>
      </c>
      <c r="E109" s="2" t="s">
        <v>72</v>
      </c>
      <c r="F109" s="212">
        <v>0</v>
      </c>
      <c r="G109" s="212">
        <v>0</v>
      </c>
      <c r="H109" s="212">
        <v>0</v>
      </c>
      <c r="I109" s="212">
        <v>0</v>
      </c>
      <c r="J109" s="212">
        <v>0</v>
      </c>
      <c r="K109" s="212">
        <v>0</v>
      </c>
      <c r="L109" s="212">
        <v>0</v>
      </c>
      <c r="M109" s="180">
        <f t="shared" si="1"/>
        <v>0</v>
      </c>
    </row>
    <row r="110" spans="1:13">
      <c r="A110" s="2" t="s">
        <v>96</v>
      </c>
      <c r="B110" s="2" t="s">
        <v>164</v>
      </c>
      <c r="C110" s="2" t="s">
        <v>165</v>
      </c>
      <c r="D110" s="2" t="s">
        <v>78</v>
      </c>
      <c r="E110" s="2" t="s">
        <v>72</v>
      </c>
      <c r="F110" s="212">
        <v>0</v>
      </c>
      <c r="G110" s="212">
        <v>0</v>
      </c>
      <c r="H110" s="212">
        <v>0.2030351390690594</v>
      </c>
      <c r="I110" s="212">
        <v>0.59406347387252623</v>
      </c>
      <c r="J110" s="212">
        <v>0.85674291364740862</v>
      </c>
      <c r="K110" s="212">
        <v>6.8033260936396348E-2</v>
      </c>
      <c r="L110" s="212">
        <v>1.7381704759348061E-2</v>
      </c>
      <c r="M110" s="180">
        <f t="shared" si="1"/>
        <v>1.7392564922847384</v>
      </c>
    </row>
    <row r="111" spans="1:13">
      <c r="A111" s="2" t="s">
        <v>96</v>
      </c>
      <c r="B111" s="2" t="s">
        <v>166</v>
      </c>
      <c r="C111" s="2" t="s">
        <v>167</v>
      </c>
      <c r="D111" s="2" t="s">
        <v>78</v>
      </c>
      <c r="E111" s="2" t="s">
        <v>72</v>
      </c>
      <c r="F111" s="212">
        <v>0</v>
      </c>
      <c r="G111" s="212">
        <v>0</v>
      </c>
      <c r="H111" s="212">
        <v>0</v>
      </c>
      <c r="I111" s="212">
        <v>0</v>
      </c>
      <c r="J111" s="212">
        <v>0</v>
      </c>
      <c r="K111" s="212">
        <v>0</v>
      </c>
      <c r="L111" s="212">
        <v>0</v>
      </c>
      <c r="M111" s="180">
        <f t="shared" si="1"/>
        <v>0</v>
      </c>
    </row>
    <row r="112" spans="1:13">
      <c r="A112" s="2" t="s">
        <v>96</v>
      </c>
      <c r="B112" s="2" t="s">
        <v>168</v>
      </c>
      <c r="C112" s="2" t="s">
        <v>169</v>
      </c>
      <c r="D112" s="2" t="s">
        <v>78</v>
      </c>
      <c r="E112" s="2" t="s">
        <v>72</v>
      </c>
      <c r="F112" s="212">
        <v>0</v>
      </c>
      <c r="G112" s="212">
        <v>0</v>
      </c>
      <c r="H112" s="212">
        <v>0</v>
      </c>
      <c r="I112" s="212">
        <v>0</v>
      </c>
      <c r="J112" s="212">
        <v>0</v>
      </c>
      <c r="K112" s="212">
        <v>0</v>
      </c>
      <c r="L112" s="212">
        <v>0</v>
      </c>
      <c r="M112" s="180">
        <f t="shared" si="1"/>
        <v>0</v>
      </c>
    </row>
    <row r="113" spans="1:13">
      <c r="A113" s="2" t="s">
        <v>96</v>
      </c>
      <c r="B113" s="2" t="s">
        <v>170</v>
      </c>
      <c r="C113" s="2" t="s">
        <v>171</v>
      </c>
      <c r="D113" s="2" t="s">
        <v>78</v>
      </c>
      <c r="E113" s="2" t="s">
        <v>72</v>
      </c>
      <c r="F113" s="212">
        <v>0</v>
      </c>
      <c r="G113" s="212">
        <v>0</v>
      </c>
      <c r="H113" s="212">
        <v>0.38230031063735087</v>
      </c>
      <c r="I113" s="212">
        <v>0.38224979745031545</v>
      </c>
      <c r="J113" s="212">
        <v>0.3505302435265969</v>
      </c>
      <c r="K113" s="212">
        <v>0</v>
      </c>
      <c r="L113" s="212">
        <v>0</v>
      </c>
      <c r="M113" s="180">
        <f t="shared" si="1"/>
        <v>1.1150803516142633</v>
      </c>
    </row>
    <row r="114" spans="1:13">
      <c r="A114" s="2" t="s">
        <v>96</v>
      </c>
      <c r="B114" s="2" t="s">
        <v>172</v>
      </c>
      <c r="C114" s="2" t="s">
        <v>173</v>
      </c>
      <c r="D114" s="2" t="s">
        <v>78</v>
      </c>
      <c r="E114" s="2" t="s">
        <v>72</v>
      </c>
      <c r="F114" s="212">
        <v>0</v>
      </c>
      <c r="G114" s="212">
        <v>0</v>
      </c>
      <c r="H114" s="212">
        <v>0</v>
      </c>
      <c r="I114" s="212">
        <v>0</v>
      </c>
      <c r="J114" s="212">
        <v>0</v>
      </c>
      <c r="K114" s="212">
        <v>0</v>
      </c>
      <c r="L114" s="212">
        <v>0</v>
      </c>
      <c r="M114" s="180">
        <f t="shared" si="1"/>
        <v>0</v>
      </c>
    </row>
    <row r="115" spans="1:13">
      <c r="A115" s="2" t="s">
        <v>96</v>
      </c>
      <c r="B115" s="2" t="s">
        <v>174</v>
      </c>
      <c r="C115" s="2" t="s">
        <v>175</v>
      </c>
      <c r="D115" s="2" t="s">
        <v>78</v>
      </c>
      <c r="E115" s="2" t="s">
        <v>72</v>
      </c>
      <c r="F115" s="212">
        <v>0</v>
      </c>
      <c r="G115" s="212">
        <v>0</v>
      </c>
      <c r="H115" s="212">
        <v>0</v>
      </c>
      <c r="I115" s="212">
        <v>0</v>
      </c>
      <c r="J115" s="212">
        <v>0</v>
      </c>
      <c r="K115" s="212">
        <v>0</v>
      </c>
      <c r="L115" s="212">
        <v>0</v>
      </c>
      <c r="M115" s="180">
        <f t="shared" si="1"/>
        <v>0</v>
      </c>
    </row>
    <row r="116" spans="1:13">
      <c r="A116" s="2" t="s">
        <v>96</v>
      </c>
      <c r="B116" s="2" t="s">
        <v>176</v>
      </c>
      <c r="C116" s="2" t="s">
        <v>177</v>
      </c>
      <c r="D116" s="2" t="s">
        <v>78</v>
      </c>
      <c r="E116" s="2" t="s">
        <v>72</v>
      </c>
      <c r="F116" s="212">
        <v>0</v>
      </c>
      <c r="G116" s="212">
        <v>0</v>
      </c>
      <c r="H116" s="212">
        <v>0</v>
      </c>
      <c r="I116" s="212">
        <v>0</v>
      </c>
      <c r="J116" s="212">
        <v>0</v>
      </c>
      <c r="K116" s="212">
        <v>0</v>
      </c>
      <c r="L116" s="212">
        <v>0</v>
      </c>
      <c r="M116" s="180">
        <f t="shared" si="1"/>
        <v>0</v>
      </c>
    </row>
    <row r="117" spans="1:13">
      <c r="A117" s="2" t="s">
        <v>96</v>
      </c>
      <c r="B117" s="2" t="s">
        <v>178</v>
      </c>
      <c r="C117" s="2" t="s">
        <v>179</v>
      </c>
      <c r="D117" s="2" t="s">
        <v>78</v>
      </c>
      <c r="E117" s="2" t="s">
        <v>72</v>
      </c>
      <c r="F117" s="212">
        <v>0</v>
      </c>
      <c r="G117" s="212">
        <v>0</v>
      </c>
      <c r="H117" s="212">
        <v>0</v>
      </c>
      <c r="I117" s="212">
        <v>0</v>
      </c>
      <c r="J117" s="212">
        <v>0</v>
      </c>
      <c r="K117" s="212">
        <v>0</v>
      </c>
      <c r="L117" s="212">
        <v>0</v>
      </c>
      <c r="M117" s="180">
        <f t="shared" si="1"/>
        <v>0</v>
      </c>
    </row>
    <row r="118" spans="1:13">
      <c r="A118" s="2" t="s">
        <v>96</v>
      </c>
      <c r="B118" s="2" t="s">
        <v>180</v>
      </c>
      <c r="C118" s="2" t="s">
        <v>181</v>
      </c>
      <c r="D118" s="2" t="s">
        <v>78</v>
      </c>
      <c r="E118" s="2" t="s">
        <v>72</v>
      </c>
      <c r="F118" s="212">
        <v>0</v>
      </c>
      <c r="G118" s="212">
        <v>0</v>
      </c>
      <c r="H118" s="212">
        <v>0</v>
      </c>
      <c r="I118" s="212">
        <v>0</v>
      </c>
      <c r="J118" s="212">
        <v>0</v>
      </c>
      <c r="K118" s="212">
        <v>0</v>
      </c>
      <c r="L118" s="212">
        <v>0</v>
      </c>
      <c r="M118" s="180">
        <f t="shared" si="1"/>
        <v>0</v>
      </c>
    </row>
    <row r="119" spans="1:13">
      <c r="A119" s="2" t="s">
        <v>96</v>
      </c>
      <c r="B119" s="2" t="s">
        <v>182</v>
      </c>
      <c r="C119" s="2" t="s">
        <v>183</v>
      </c>
      <c r="D119" s="2" t="s">
        <v>78</v>
      </c>
      <c r="E119" s="2" t="s">
        <v>72</v>
      </c>
      <c r="F119" s="212">
        <v>0</v>
      </c>
      <c r="G119" s="212">
        <v>0</v>
      </c>
      <c r="H119" s="212">
        <v>0</v>
      </c>
      <c r="I119" s="212">
        <v>0</v>
      </c>
      <c r="J119" s="212">
        <v>0</v>
      </c>
      <c r="K119" s="212">
        <v>0</v>
      </c>
      <c r="L119" s="212">
        <v>0</v>
      </c>
      <c r="M119" s="180">
        <f t="shared" si="1"/>
        <v>0</v>
      </c>
    </row>
    <row r="120" spans="1:13">
      <c r="A120" s="2" t="s">
        <v>96</v>
      </c>
      <c r="B120" s="2" t="s">
        <v>184</v>
      </c>
      <c r="C120" s="2" t="s">
        <v>185</v>
      </c>
      <c r="D120" s="2" t="s">
        <v>78</v>
      </c>
      <c r="E120" s="2" t="s">
        <v>72</v>
      </c>
      <c r="F120" s="212">
        <v>0</v>
      </c>
      <c r="G120" s="212">
        <v>0</v>
      </c>
      <c r="H120" s="212">
        <v>0</v>
      </c>
      <c r="I120" s="212">
        <v>0</v>
      </c>
      <c r="J120" s="212">
        <v>0</v>
      </c>
      <c r="K120" s="212">
        <v>0</v>
      </c>
      <c r="L120" s="212">
        <v>0</v>
      </c>
      <c r="M120" s="180">
        <f t="shared" si="1"/>
        <v>0</v>
      </c>
    </row>
    <row r="121" spans="1:13">
      <c r="A121" s="2" t="s">
        <v>96</v>
      </c>
      <c r="B121" s="2" t="s">
        <v>186</v>
      </c>
      <c r="C121" s="2" t="s">
        <v>187</v>
      </c>
      <c r="D121" s="2" t="s">
        <v>78</v>
      </c>
      <c r="E121" s="2" t="s">
        <v>72</v>
      </c>
      <c r="F121" s="212">
        <v>0</v>
      </c>
      <c r="G121" s="212">
        <v>0</v>
      </c>
      <c r="H121" s="212">
        <v>0</v>
      </c>
      <c r="I121" s="212">
        <v>0</v>
      </c>
      <c r="J121" s="212">
        <v>0</v>
      </c>
      <c r="K121" s="212">
        <v>0</v>
      </c>
      <c r="L121" s="212">
        <v>0</v>
      </c>
      <c r="M121" s="180">
        <f t="shared" si="1"/>
        <v>0</v>
      </c>
    </row>
    <row r="122" spans="1:13">
      <c r="A122" s="2" t="s">
        <v>96</v>
      </c>
      <c r="B122" s="2" t="s">
        <v>188</v>
      </c>
      <c r="C122" s="2" t="s">
        <v>189</v>
      </c>
      <c r="D122" s="2" t="s">
        <v>78</v>
      </c>
      <c r="E122" s="2" t="s">
        <v>72</v>
      </c>
      <c r="F122" s="212">
        <v>0</v>
      </c>
      <c r="G122" s="212">
        <v>0</v>
      </c>
      <c r="H122" s="212">
        <v>0</v>
      </c>
      <c r="I122" s="212">
        <v>0</v>
      </c>
      <c r="J122" s="212">
        <v>0</v>
      </c>
      <c r="K122" s="212">
        <v>0</v>
      </c>
      <c r="L122" s="212">
        <v>0</v>
      </c>
      <c r="M122" s="180">
        <f t="shared" si="1"/>
        <v>0</v>
      </c>
    </row>
    <row r="123" spans="1:13">
      <c r="A123" s="2" t="s">
        <v>96</v>
      </c>
      <c r="B123" s="2" t="s">
        <v>190</v>
      </c>
      <c r="C123" s="2" t="s">
        <v>191</v>
      </c>
      <c r="D123" s="2" t="s">
        <v>78</v>
      </c>
      <c r="E123" s="2" t="s">
        <v>72</v>
      </c>
      <c r="F123" s="212">
        <v>0</v>
      </c>
      <c r="G123" s="212">
        <v>0</v>
      </c>
      <c r="H123" s="212">
        <v>0</v>
      </c>
      <c r="I123" s="212">
        <v>0</v>
      </c>
      <c r="J123" s="212">
        <v>0</v>
      </c>
      <c r="K123" s="212">
        <v>0</v>
      </c>
      <c r="L123" s="212">
        <v>0</v>
      </c>
      <c r="M123" s="180">
        <f t="shared" si="1"/>
        <v>0</v>
      </c>
    </row>
    <row r="124" spans="1:13">
      <c r="A124" s="2" t="s">
        <v>96</v>
      </c>
      <c r="B124" s="2" t="s">
        <v>192</v>
      </c>
      <c r="C124" s="2" t="s">
        <v>193</v>
      </c>
      <c r="D124" s="2" t="s">
        <v>78</v>
      </c>
      <c r="E124" s="2" t="s">
        <v>72</v>
      </c>
      <c r="F124" s="212">
        <v>0</v>
      </c>
      <c r="G124" s="212">
        <v>0</v>
      </c>
      <c r="H124" s="212">
        <v>0</v>
      </c>
      <c r="I124" s="212">
        <v>0</v>
      </c>
      <c r="J124" s="212">
        <v>0</v>
      </c>
      <c r="K124" s="212">
        <v>0</v>
      </c>
      <c r="L124" s="212">
        <v>0</v>
      </c>
      <c r="M124" s="180">
        <f t="shared" si="1"/>
        <v>0</v>
      </c>
    </row>
    <row r="125" spans="1:13">
      <c r="A125" s="2" t="s">
        <v>96</v>
      </c>
      <c r="B125" s="2" t="s">
        <v>194</v>
      </c>
      <c r="C125" s="2" t="s">
        <v>195</v>
      </c>
      <c r="D125" s="2" t="s">
        <v>78</v>
      </c>
      <c r="E125" s="2" t="s">
        <v>72</v>
      </c>
      <c r="F125" s="212">
        <v>0</v>
      </c>
      <c r="G125" s="212">
        <v>0</v>
      </c>
      <c r="H125" s="212">
        <v>0.19709264357221593</v>
      </c>
      <c r="I125" s="212">
        <v>0.19703597444656273</v>
      </c>
      <c r="J125" s="212">
        <v>1.4687021106933181E-2</v>
      </c>
      <c r="K125" s="212">
        <v>0.44318809167049117</v>
      </c>
      <c r="L125" s="212">
        <v>9.6565024666403904E-3</v>
      </c>
      <c r="M125" s="180">
        <f t="shared" si="1"/>
        <v>0.86166023326284336</v>
      </c>
    </row>
    <row r="126" spans="1:13">
      <c r="A126" s="2" t="s">
        <v>96</v>
      </c>
      <c r="B126" s="2" t="s">
        <v>196</v>
      </c>
      <c r="C126" s="2" t="s">
        <v>197</v>
      </c>
      <c r="D126" s="2" t="s">
        <v>78</v>
      </c>
      <c r="E126" s="2" t="s">
        <v>72</v>
      </c>
      <c r="F126" s="212">
        <v>0</v>
      </c>
      <c r="G126" s="212">
        <v>0</v>
      </c>
      <c r="H126" s="212">
        <v>0</v>
      </c>
      <c r="I126" s="212">
        <v>0</v>
      </c>
      <c r="J126" s="212">
        <v>0</v>
      </c>
      <c r="K126" s="212">
        <v>0</v>
      </c>
      <c r="L126" s="212">
        <v>0</v>
      </c>
      <c r="M126" s="180">
        <f t="shared" si="1"/>
        <v>0</v>
      </c>
    </row>
    <row r="127" spans="1:13">
      <c r="A127" s="2" t="s">
        <v>96</v>
      </c>
      <c r="B127" s="2" t="s">
        <v>198</v>
      </c>
      <c r="C127" s="2" t="s">
        <v>199</v>
      </c>
      <c r="D127" s="2" t="s">
        <v>78</v>
      </c>
      <c r="E127" s="2" t="s">
        <v>72</v>
      </c>
      <c r="F127" s="212">
        <v>0</v>
      </c>
      <c r="G127" s="212">
        <v>0</v>
      </c>
      <c r="H127" s="212">
        <v>0</v>
      </c>
      <c r="I127" s="212">
        <v>0</v>
      </c>
      <c r="J127" s="212">
        <v>0</v>
      </c>
      <c r="K127" s="212">
        <v>0</v>
      </c>
      <c r="L127" s="212">
        <v>0</v>
      </c>
      <c r="M127" s="180">
        <f t="shared" si="1"/>
        <v>0</v>
      </c>
    </row>
    <row r="128" spans="1:13">
      <c r="A128" s="2" t="s">
        <v>96</v>
      </c>
      <c r="B128" s="2" t="s">
        <v>200</v>
      </c>
      <c r="C128" s="2" t="s">
        <v>201</v>
      </c>
      <c r="D128" s="2" t="s">
        <v>78</v>
      </c>
      <c r="E128" s="2" t="s">
        <v>72</v>
      </c>
      <c r="F128" s="212">
        <v>0</v>
      </c>
      <c r="G128" s="212">
        <v>0</v>
      </c>
      <c r="H128" s="212">
        <v>0</v>
      </c>
      <c r="I128" s="212">
        <v>5.1273007180130413E-2</v>
      </c>
      <c r="J128" s="212">
        <v>5.0958392465178498E-2</v>
      </c>
      <c r="K128" s="212">
        <v>5.0582058460269419E-2</v>
      </c>
      <c r="L128" s="212">
        <v>5.0256601282856458E-2</v>
      </c>
      <c r="M128" s="180">
        <f t="shared" si="1"/>
        <v>0.20307005938843481</v>
      </c>
    </row>
    <row r="129" spans="1:13">
      <c r="A129" s="2" t="s">
        <v>96</v>
      </c>
      <c r="B129" s="2" t="s">
        <v>202</v>
      </c>
      <c r="C129" s="2" t="s">
        <v>203</v>
      </c>
      <c r="D129" s="2" t="s">
        <v>78</v>
      </c>
      <c r="E129" s="2" t="s">
        <v>72</v>
      </c>
      <c r="F129" s="212">
        <v>0</v>
      </c>
      <c r="G129" s="212">
        <v>0</v>
      </c>
      <c r="H129" s="212">
        <v>0</v>
      </c>
      <c r="I129" s="212">
        <v>0</v>
      </c>
      <c r="J129" s="212">
        <v>0</v>
      </c>
      <c r="K129" s="212">
        <v>0</v>
      </c>
      <c r="L129" s="212">
        <v>0</v>
      </c>
      <c r="M129" s="180">
        <f t="shared" si="1"/>
        <v>0</v>
      </c>
    </row>
    <row r="130" spans="1:13">
      <c r="A130" s="2" t="s">
        <v>96</v>
      </c>
      <c r="B130" s="2" t="s">
        <v>204</v>
      </c>
      <c r="C130" s="2" t="s">
        <v>205</v>
      </c>
      <c r="D130" s="2" t="s">
        <v>78</v>
      </c>
      <c r="E130" s="2" t="s">
        <v>72</v>
      </c>
      <c r="F130" s="212">
        <v>0</v>
      </c>
      <c r="G130" s="212">
        <v>0</v>
      </c>
      <c r="H130" s="212">
        <v>0</v>
      </c>
      <c r="I130" s="212">
        <v>0</v>
      </c>
      <c r="J130" s="212">
        <v>0</v>
      </c>
      <c r="K130" s="212">
        <v>0</v>
      </c>
      <c r="L130" s="212">
        <v>0</v>
      </c>
      <c r="M130" s="180">
        <f t="shared" si="1"/>
        <v>0</v>
      </c>
    </row>
    <row r="131" spans="1:13">
      <c r="A131" s="2" t="s">
        <v>96</v>
      </c>
      <c r="B131" s="2" t="s">
        <v>206</v>
      </c>
      <c r="C131" s="2" t="s">
        <v>207</v>
      </c>
      <c r="D131" s="2" t="s">
        <v>78</v>
      </c>
      <c r="E131" s="2" t="s">
        <v>72</v>
      </c>
      <c r="F131" s="212">
        <v>0</v>
      </c>
      <c r="G131" s="212">
        <v>0</v>
      </c>
      <c r="H131" s="212">
        <v>0.48676192930499446</v>
      </c>
      <c r="I131" s="212">
        <v>0.29123214055063834</v>
      </c>
      <c r="J131" s="212">
        <v>2.4956276500346174E-2</v>
      </c>
      <c r="K131" s="212">
        <v>2.4771971324522361E-2</v>
      </c>
      <c r="L131" s="212">
        <v>2.4612582479709599E-2</v>
      </c>
      <c r="M131" s="180">
        <f t="shared" si="1"/>
        <v>0.85233490016021096</v>
      </c>
    </row>
    <row r="132" spans="1:13">
      <c r="A132" s="2" t="s">
        <v>96</v>
      </c>
      <c r="B132" s="2" t="s">
        <v>208</v>
      </c>
      <c r="C132" s="2" t="s">
        <v>209</v>
      </c>
      <c r="D132" s="2" t="s">
        <v>78</v>
      </c>
      <c r="E132" s="2" t="s">
        <v>72</v>
      </c>
      <c r="F132" s="212">
        <v>0</v>
      </c>
      <c r="G132" s="212">
        <v>0</v>
      </c>
      <c r="H132" s="212">
        <v>1.9067939373852979E-4</v>
      </c>
      <c r="I132" s="212">
        <v>6.2251141166497486E-4</v>
      </c>
      <c r="J132" s="212">
        <v>2.3580713682094701E-3</v>
      </c>
      <c r="K132" s="212">
        <v>3.9794591275107505E-3</v>
      </c>
      <c r="L132" s="212">
        <v>6.4966879565969498E-4</v>
      </c>
      <c r="M132" s="180">
        <f t="shared" si="1"/>
        <v>7.8003900967834206E-3</v>
      </c>
    </row>
    <row r="133" spans="1:13">
      <c r="A133" s="2" t="s">
        <v>96</v>
      </c>
      <c r="B133" s="2" t="s">
        <v>210</v>
      </c>
      <c r="C133" s="2" t="s">
        <v>211</v>
      </c>
      <c r="D133" s="2" t="s">
        <v>78</v>
      </c>
      <c r="E133" s="2" t="s">
        <v>72</v>
      </c>
      <c r="F133" s="212">
        <v>0</v>
      </c>
      <c r="G133" s="212">
        <v>0</v>
      </c>
      <c r="H133" s="212">
        <v>0</v>
      </c>
      <c r="I133" s="212">
        <v>0</v>
      </c>
      <c r="J133" s="212">
        <v>0</v>
      </c>
      <c r="K133" s="212">
        <v>0</v>
      </c>
      <c r="L133" s="212">
        <v>0</v>
      </c>
      <c r="M133" s="180">
        <f t="shared" si="1"/>
        <v>0</v>
      </c>
    </row>
    <row r="134" spans="1:13">
      <c r="A134" s="2" t="s">
        <v>97</v>
      </c>
      <c r="B134" s="2" t="s">
        <v>126</v>
      </c>
      <c r="C134" s="2" t="s">
        <v>127</v>
      </c>
      <c r="D134" s="2" t="s">
        <v>78</v>
      </c>
      <c r="E134" s="2" t="s">
        <v>72</v>
      </c>
      <c r="F134" s="212">
        <v>15.506465679780835</v>
      </c>
      <c r="G134" s="212">
        <v>56.41881575232479</v>
      </c>
      <c r="H134" s="212">
        <v>317.75380839797759</v>
      </c>
      <c r="I134" s="212">
        <v>332.9282271584446</v>
      </c>
      <c r="J134" s="212">
        <v>313.93844729332881</v>
      </c>
      <c r="K134" s="212">
        <v>287.57163675957304</v>
      </c>
      <c r="L134" s="212">
        <v>264.97398607341546</v>
      </c>
      <c r="M134" s="180">
        <f t="shared" ref="M134:M197" si="2">SUM(F134:L134)</f>
        <v>1589.0913871148452</v>
      </c>
    </row>
    <row r="135" spans="1:13">
      <c r="A135" s="2" t="s">
        <v>97</v>
      </c>
      <c r="B135" s="2" t="s">
        <v>128</v>
      </c>
      <c r="C135" s="2" t="s">
        <v>129</v>
      </c>
      <c r="D135" s="2" t="s">
        <v>78</v>
      </c>
      <c r="E135" s="2" t="s">
        <v>72</v>
      </c>
      <c r="F135" s="212">
        <v>0</v>
      </c>
      <c r="G135" s="212">
        <v>0</v>
      </c>
      <c r="H135" s="212">
        <v>0</v>
      </c>
      <c r="I135" s="212">
        <v>0</v>
      </c>
      <c r="J135" s="212">
        <v>0</v>
      </c>
      <c r="K135" s="212">
        <v>0</v>
      </c>
      <c r="L135" s="212">
        <v>0</v>
      </c>
      <c r="M135" s="180">
        <f t="shared" si="2"/>
        <v>0</v>
      </c>
    </row>
    <row r="136" spans="1:13">
      <c r="A136" s="2" t="s">
        <v>97</v>
      </c>
      <c r="B136" s="2" t="s">
        <v>130</v>
      </c>
      <c r="C136" s="2" t="s">
        <v>131</v>
      </c>
      <c r="D136" s="2" t="s">
        <v>78</v>
      </c>
      <c r="E136" s="2" t="s">
        <v>72</v>
      </c>
      <c r="F136" s="212">
        <v>0</v>
      </c>
      <c r="G136" s="212">
        <v>4.321208048429936</v>
      </c>
      <c r="H136" s="212">
        <v>2.5631948288328088</v>
      </c>
      <c r="I136" s="212">
        <v>0.10245870859492991</v>
      </c>
      <c r="J136" s="212">
        <v>0.10183001487923485</v>
      </c>
      <c r="K136" s="212">
        <v>0.10107798767693171</v>
      </c>
      <c r="L136" s="212">
        <v>0.10042762749845548</v>
      </c>
      <c r="M136" s="180">
        <f t="shared" si="2"/>
        <v>7.290197215912297</v>
      </c>
    </row>
    <row r="137" spans="1:13">
      <c r="A137" s="2" t="s">
        <v>97</v>
      </c>
      <c r="B137" s="2" t="s">
        <v>132</v>
      </c>
      <c r="C137" s="2" t="s">
        <v>133</v>
      </c>
      <c r="D137" s="2" t="s">
        <v>78</v>
      </c>
      <c r="E137" s="2" t="s">
        <v>72</v>
      </c>
      <c r="F137" s="212">
        <v>0</v>
      </c>
      <c r="G137" s="212">
        <v>0</v>
      </c>
      <c r="H137" s="212">
        <v>0</v>
      </c>
      <c r="I137" s="212">
        <v>12.734023646225836</v>
      </c>
      <c r="J137" s="212">
        <v>12.786359856994229</v>
      </c>
      <c r="K137" s="212">
        <v>12.562421514403752</v>
      </c>
      <c r="L137" s="212">
        <v>12.610268065877255</v>
      </c>
      <c r="M137" s="180">
        <f t="shared" si="2"/>
        <v>50.693073083501076</v>
      </c>
    </row>
    <row r="138" spans="1:13">
      <c r="A138" s="2" t="s">
        <v>97</v>
      </c>
      <c r="B138" s="2" t="s">
        <v>134</v>
      </c>
      <c r="C138" s="2" t="s">
        <v>135</v>
      </c>
      <c r="D138" s="2" t="s">
        <v>78</v>
      </c>
      <c r="E138" s="2" t="s">
        <v>72</v>
      </c>
      <c r="F138" s="212">
        <v>0</v>
      </c>
      <c r="G138" s="212">
        <v>0</v>
      </c>
      <c r="H138" s="212">
        <v>5.3201941260218781</v>
      </c>
      <c r="I138" s="212">
        <v>6.3775423164914127</v>
      </c>
      <c r="J138" s="212">
        <v>6.3384092761579742</v>
      </c>
      <c r="K138" s="212">
        <v>6.2915993429506152</v>
      </c>
      <c r="L138" s="212">
        <v>6.2511176736413621</v>
      </c>
      <c r="M138" s="180">
        <f t="shared" si="2"/>
        <v>30.578862735263243</v>
      </c>
    </row>
    <row r="139" spans="1:13">
      <c r="A139" s="2" t="s">
        <v>97</v>
      </c>
      <c r="B139" s="2" t="s">
        <v>136</v>
      </c>
      <c r="C139" s="2" t="s">
        <v>137</v>
      </c>
      <c r="D139" s="2" t="s">
        <v>78</v>
      </c>
      <c r="E139" s="2" t="s">
        <v>72</v>
      </c>
      <c r="F139" s="212">
        <v>0</v>
      </c>
      <c r="G139" s="212">
        <v>0</v>
      </c>
      <c r="H139" s="212">
        <v>0</v>
      </c>
      <c r="I139" s="212">
        <v>0</v>
      </c>
      <c r="J139" s="212">
        <v>0</v>
      </c>
      <c r="K139" s="212">
        <v>0</v>
      </c>
      <c r="L139" s="212">
        <v>0</v>
      </c>
      <c r="M139" s="180">
        <f t="shared" si="2"/>
        <v>0</v>
      </c>
    </row>
    <row r="140" spans="1:13">
      <c r="A140" s="2" t="s">
        <v>97</v>
      </c>
      <c r="B140" s="2" t="s">
        <v>138</v>
      </c>
      <c r="C140" s="2" t="s">
        <v>139</v>
      </c>
      <c r="D140" s="2" t="s">
        <v>78</v>
      </c>
      <c r="E140" s="2" t="s">
        <v>72</v>
      </c>
      <c r="F140" s="212">
        <v>3.755354193612789</v>
      </c>
      <c r="G140" s="212">
        <v>19.683856244879522</v>
      </c>
      <c r="H140" s="212">
        <v>189.58322645517202</v>
      </c>
      <c r="I140" s="212">
        <v>198.76537945225843</v>
      </c>
      <c r="J140" s="212">
        <v>197.5838644091088</v>
      </c>
      <c r="K140" s="212">
        <v>196.16252475010438</v>
      </c>
      <c r="L140" s="212">
        <v>195.60836604065662</v>
      </c>
      <c r="M140" s="180">
        <f t="shared" si="2"/>
        <v>1001.1425715457925</v>
      </c>
    </row>
    <row r="141" spans="1:13">
      <c r="A141" s="2" t="s">
        <v>97</v>
      </c>
      <c r="B141" s="2" t="s">
        <v>140</v>
      </c>
      <c r="C141" s="2" t="s">
        <v>141</v>
      </c>
      <c r="D141" s="2" t="s">
        <v>78</v>
      </c>
      <c r="E141" s="2" t="s">
        <v>72</v>
      </c>
      <c r="F141" s="212">
        <v>0.17078875880087238</v>
      </c>
      <c r="G141" s="212">
        <v>7.0669100248053356</v>
      </c>
      <c r="H141" s="212">
        <v>7.3648527563897854</v>
      </c>
      <c r="I141" s="212">
        <v>7.551969010166812</v>
      </c>
      <c r="J141" s="212">
        <v>1.106210760616458</v>
      </c>
      <c r="K141" s="212">
        <v>1.0910552420612705</v>
      </c>
      <c r="L141" s="212">
        <v>1.2536252282719373</v>
      </c>
      <c r="M141" s="180">
        <f t="shared" si="2"/>
        <v>25.605411781112469</v>
      </c>
    </row>
    <row r="142" spans="1:13">
      <c r="A142" s="2" t="s">
        <v>97</v>
      </c>
      <c r="B142" s="2" t="s">
        <v>142</v>
      </c>
      <c r="C142" s="2" t="s">
        <v>143</v>
      </c>
      <c r="D142" s="2" t="s">
        <v>78</v>
      </c>
      <c r="E142" s="2" t="s">
        <v>72</v>
      </c>
      <c r="F142" s="212">
        <v>0.03</v>
      </c>
      <c r="G142" s="212">
        <v>2.9856343033831896E-2</v>
      </c>
      <c r="H142" s="212">
        <v>2.5770606432082563</v>
      </c>
      <c r="I142" s="212">
        <v>2.5634380746539192</v>
      </c>
      <c r="J142" s="212">
        <v>0</v>
      </c>
      <c r="K142" s="212">
        <v>0</v>
      </c>
      <c r="L142" s="212">
        <v>0</v>
      </c>
      <c r="M142" s="180">
        <f t="shared" si="2"/>
        <v>5.2003550608960074</v>
      </c>
    </row>
    <row r="143" spans="1:13">
      <c r="A143" s="2" t="s">
        <v>97</v>
      </c>
      <c r="B143" s="2" t="s">
        <v>144</v>
      </c>
      <c r="C143" s="2" t="s">
        <v>145</v>
      </c>
      <c r="D143" s="2" t="s">
        <v>78</v>
      </c>
      <c r="E143" s="2" t="s">
        <v>72</v>
      </c>
      <c r="F143" s="212">
        <v>2.3999999999999997E-2</v>
      </c>
      <c r="G143" s="212">
        <v>0.49537644361733868</v>
      </c>
      <c r="H143" s="212">
        <v>5.7285621676850704</v>
      </c>
      <c r="I143" s="212">
        <v>5.6982804857026395</v>
      </c>
      <c r="J143" s="212">
        <v>5.6633154428989831</v>
      </c>
      <c r="K143" s="212">
        <v>5.6214911608016633</v>
      </c>
      <c r="L143" s="212">
        <v>5.7665543709613125</v>
      </c>
      <c r="M143" s="180">
        <f t="shared" si="2"/>
        <v>28.997580071667009</v>
      </c>
    </row>
    <row r="144" spans="1:13">
      <c r="A144" s="2" t="s">
        <v>97</v>
      </c>
      <c r="B144" s="2" t="s">
        <v>146</v>
      </c>
      <c r="C144" s="2" t="s">
        <v>147</v>
      </c>
      <c r="D144" s="2" t="s">
        <v>78</v>
      </c>
      <c r="E144" s="2" t="s">
        <v>72</v>
      </c>
      <c r="F144" s="212">
        <v>0</v>
      </c>
      <c r="G144" s="212">
        <v>2.7467835591125342</v>
      </c>
      <c r="H144" s="212">
        <v>0.50347366246439051</v>
      </c>
      <c r="I144" s="212">
        <v>0.50081225653267536</v>
      </c>
      <c r="J144" s="212">
        <v>0</v>
      </c>
      <c r="K144" s="212">
        <v>0</v>
      </c>
      <c r="L144" s="212">
        <v>0</v>
      </c>
      <c r="M144" s="180">
        <f t="shared" si="2"/>
        <v>3.7510694781096001</v>
      </c>
    </row>
    <row r="145" spans="1:13">
      <c r="A145" s="2" t="s">
        <v>97</v>
      </c>
      <c r="B145" s="2" t="s">
        <v>148</v>
      </c>
      <c r="C145" s="2" t="s">
        <v>149</v>
      </c>
      <c r="D145" s="2" t="s">
        <v>78</v>
      </c>
      <c r="E145" s="2" t="s">
        <v>72</v>
      </c>
      <c r="F145" s="212">
        <v>0.25263804854826688</v>
      </c>
      <c r="G145" s="212">
        <v>1.0559987537196904</v>
      </c>
      <c r="H145" s="212">
        <v>7.3163331445362578</v>
      </c>
      <c r="I145" s="212">
        <v>7.2776583659312291</v>
      </c>
      <c r="J145" s="212">
        <v>7.2330021513216405</v>
      </c>
      <c r="K145" s="212">
        <v>0.81421017951874319</v>
      </c>
      <c r="L145" s="212">
        <v>0.80897135462878322</v>
      </c>
      <c r="M145" s="180">
        <f t="shared" si="2"/>
        <v>24.758811998204614</v>
      </c>
    </row>
    <row r="146" spans="1:13">
      <c r="A146" s="2" t="s">
        <v>97</v>
      </c>
      <c r="B146" s="2" t="s">
        <v>150</v>
      </c>
      <c r="C146" s="2" t="s">
        <v>151</v>
      </c>
      <c r="D146" s="2" t="s">
        <v>78</v>
      </c>
      <c r="E146" s="2" t="s">
        <v>72</v>
      </c>
      <c r="F146" s="212">
        <v>1.0561599999999998</v>
      </c>
      <c r="G146" s="212">
        <v>2.3329348362062459</v>
      </c>
      <c r="H146" s="212">
        <v>1.5590325517628671</v>
      </c>
      <c r="I146" s="212">
        <v>1.5507913689754911</v>
      </c>
      <c r="J146" s="212">
        <v>1.5412756059778958</v>
      </c>
      <c r="K146" s="212">
        <v>0.47926516618508241</v>
      </c>
      <c r="L146" s="212">
        <v>0.47618145838498427</v>
      </c>
      <c r="M146" s="180">
        <f t="shared" si="2"/>
        <v>8.9956409874925658</v>
      </c>
    </row>
    <row r="147" spans="1:13">
      <c r="A147" s="2" t="s">
        <v>97</v>
      </c>
      <c r="B147" s="2" t="s">
        <v>152</v>
      </c>
      <c r="C147" s="2" t="s">
        <v>153</v>
      </c>
      <c r="D147" s="2" t="s">
        <v>78</v>
      </c>
      <c r="E147" s="2" t="s">
        <v>72</v>
      </c>
      <c r="F147" s="212">
        <v>0.31076903476680912</v>
      </c>
      <c r="G147" s="212">
        <v>1.2371235875054245</v>
      </c>
      <c r="H147" s="212">
        <v>7.6609033221695855</v>
      </c>
      <c r="I147" s="212">
        <v>7.6142838473168117</v>
      </c>
      <c r="J147" s="212">
        <v>7.5675620754930808</v>
      </c>
      <c r="K147" s="212">
        <v>2.1172834591575556</v>
      </c>
      <c r="L147" s="212">
        <v>2.1036603461531329</v>
      </c>
      <c r="M147" s="180">
        <f t="shared" si="2"/>
        <v>28.611585672562398</v>
      </c>
    </row>
    <row r="148" spans="1:13">
      <c r="A148" s="2" t="s">
        <v>97</v>
      </c>
      <c r="B148" s="2" t="s">
        <v>154</v>
      </c>
      <c r="C148" s="2" t="s">
        <v>155</v>
      </c>
      <c r="D148" s="2" t="s">
        <v>78</v>
      </c>
      <c r="E148" s="2" t="s">
        <v>72</v>
      </c>
      <c r="F148" s="212">
        <v>0</v>
      </c>
      <c r="G148" s="212">
        <v>0</v>
      </c>
      <c r="H148" s="212">
        <v>0</v>
      </c>
      <c r="I148" s="212">
        <v>0</v>
      </c>
      <c r="J148" s="212">
        <v>0</v>
      </c>
      <c r="K148" s="212">
        <v>0</v>
      </c>
      <c r="L148" s="212">
        <v>0</v>
      </c>
      <c r="M148" s="180">
        <f t="shared" si="2"/>
        <v>0</v>
      </c>
    </row>
    <row r="149" spans="1:13">
      <c r="A149" s="2" t="s">
        <v>97</v>
      </c>
      <c r="B149" s="2" t="s">
        <v>156</v>
      </c>
      <c r="C149" s="2" t="s">
        <v>157</v>
      </c>
      <c r="D149" s="2" t="s">
        <v>78</v>
      </c>
      <c r="E149" s="2" t="s">
        <v>72</v>
      </c>
      <c r="F149" s="212">
        <v>4.2229519287234059</v>
      </c>
      <c r="G149" s="212">
        <v>6.2936921603106173</v>
      </c>
      <c r="H149" s="212">
        <v>14.470909198740976</v>
      </c>
      <c r="I149" s="212">
        <v>14.394414703695636</v>
      </c>
      <c r="J149" s="212">
        <v>14.3060895804394</v>
      </c>
      <c r="K149" s="212">
        <v>14.200437346804405</v>
      </c>
      <c r="L149" s="212">
        <v>14.109068304151648</v>
      </c>
      <c r="M149" s="180">
        <f t="shared" si="2"/>
        <v>81.997563222866091</v>
      </c>
    </row>
    <row r="150" spans="1:13">
      <c r="A150" s="2" t="s">
        <v>97</v>
      </c>
      <c r="B150" s="2" t="s">
        <v>158</v>
      </c>
      <c r="C150" s="2" t="s">
        <v>159</v>
      </c>
      <c r="D150" s="2" t="s">
        <v>78</v>
      </c>
      <c r="E150" s="2" t="s">
        <v>72</v>
      </c>
      <c r="F150" s="212">
        <v>0.18000000000000002</v>
      </c>
      <c r="G150" s="212">
        <v>0.62698320371046978</v>
      </c>
      <c r="H150" s="212">
        <v>5.4892380293284226</v>
      </c>
      <c r="I150" s="212">
        <v>5.4602214357287826</v>
      </c>
      <c r="J150" s="212">
        <v>5.4267171397053211</v>
      </c>
      <c r="K150" s="212">
        <v>0.54933895940768518</v>
      </c>
      <c r="L150" s="212">
        <v>0.54580437990234076</v>
      </c>
      <c r="M150" s="180">
        <f t="shared" si="2"/>
        <v>18.278303147783021</v>
      </c>
    </row>
    <row r="151" spans="1:13">
      <c r="A151" s="2" t="s">
        <v>97</v>
      </c>
      <c r="B151" s="2" t="s">
        <v>160</v>
      </c>
      <c r="C151" s="2" t="s">
        <v>161</v>
      </c>
      <c r="D151" s="2" t="s">
        <v>78</v>
      </c>
      <c r="E151" s="2" t="s">
        <v>72</v>
      </c>
      <c r="F151" s="212">
        <v>9.0160000000000004E-2</v>
      </c>
      <c r="G151" s="212">
        <v>8.9728262931009467E-2</v>
      </c>
      <c r="H151" s="212">
        <v>1.2829443792414479</v>
      </c>
      <c r="I151" s="212">
        <v>0.53928747196985227</v>
      </c>
      <c r="J151" s="212">
        <v>0.53597836677781885</v>
      </c>
      <c r="K151" s="212">
        <v>0.53202010052261939</v>
      </c>
      <c r="L151" s="212">
        <v>0.52859695473706281</v>
      </c>
      <c r="M151" s="180">
        <f t="shared" si="2"/>
        <v>3.5987155361798102</v>
      </c>
    </row>
    <row r="152" spans="1:13">
      <c r="A152" s="2" t="s">
        <v>97</v>
      </c>
      <c r="B152" s="2" t="s">
        <v>162</v>
      </c>
      <c r="C152" s="2" t="s">
        <v>163</v>
      </c>
      <c r="D152" s="2" t="s">
        <v>78</v>
      </c>
      <c r="E152" s="2" t="s">
        <v>72</v>
      </c>
      <c r="F152" s="212">
        <v>0</v>
      </c>
      <c r="G152" s="212">
        <v>0</v>
      </c>
      <c r="H152" s="212">
        <v>0.36546325032430693</v>
      </c>
      <c r="I152" s="212">
        <v>0.363531379533934</v>
      </c>
      <c r="J152" s="212">
        <v>0.36130072586959289</v>
      </c>
      <c r="K152" s="212">
        <v>0.35863247550757504</v>
      </c>
      <c r="L152" s="212">
        <v>0.3563249475666353</v>
      </c>
      <c r="M152" s="180">
        <f t="shared" si="2"/>
        <v>1.805252778802044</v>
      </c>
    </row>
    <row r="153" spans="1:13">
      <c r="A153" s="2" t="s">
        <v>97</v>
      </c>
      <c r="B153" s="2" t="s">
        <v>164</v>
      </c>
      <c r="C153" s="2" t="s">
        <v>165</v>
      </c>
      <c r="D153" s="2" t="s">
        <v>78</v>
      </c>
      <c r="E153" s="2" t="s">
        <v>72</v>
      </c>
      <c r="F153" s="212">
        <v>3.184156103005948</v>
      </c>
      <c r="G153" s="212">
        <v>1.5342460941409213E-2</v>
      </c>
      <c r="H153" s="212">
        <v>7.1019904382197492</v>
      </c>
      <c r="I153" s="212">
        <v>6.8968450520171523</v>
      </c>
      <c r="J153" s="212">
        <v>4.4610089506628743</v>
      </c>
      <c r="K153" s="212">
        <v>9.018820141974819E-2</v>
      </c>
      <c r="L153" s="212">
        <v>2.9869302918480528E-2</v>
      </c>
      <c r="M153" s="180">
        <f t="shared" si="2"/>
        <v>21.779400509185361</v>
      </c>
    </row>
    <row r="154" spans="1:13">
      <c r="A154" s="2" t="s">
        <v>97</v>
      </c>
      <c r="B154" s="2" t="s">
        <v>166</v>
      </c>
      <c r="C154" s="2" t="s">
        <v>167</v>
      </c>
      <c r="D154" s="2" t="s">
        <v>78</v>
      </c>
      <c r="E154" s="2" t="s">
        <v>72</v>
      </c>
      <c r="F154" s="212">
        <v>0</v>
      </c>
      <c r="G154" s="212">
        <v>0</v>
      </c>
      <c r="H154" s="212">
        <v>0</v>
      </c>
      <c r="I154" s="212">
        <v>0</v>
      </c>
      <c r="J154" s="212">
        <v>0</v>
      </c>
      <c r="K154" s="212">
        <v>0</v>
      </c>
      <c r="L154" s="212">
        <v>0</v>
      </c>
      <c r="M154" s="180">
        <f t="shared" si="2"/>
        <v>0</v>
      </c>
    </row>
    <row r="155" spans="1:13">
      <c r="A155" s="2" t="s">
        <v>97</v>
      </c>
      <c r="B155" s="2" t="s">
        <v>168</v>
      </c>
      <c r="C155" s="2" t="s">
        <v>169</v>
      </c>
      <c r="D155" s="2" t="s">
        <v>78</v>
      </c>
      <c r="E155" s="2" t="s">
        <v>72</v>
      </c>
      <c r="F155" s="212">
        <v>0</v>
      </c>
      <c r="G155" s="212">
        <v>0</v>
      </c>
      <c r="H155" s="212">
        <v>12.885303216041281</v>
      </c>
      <c r="I155" s="212">
        <v>12.817190373269597</v>
      </c>
      <c r="J155" s="212">
        <v>12.738543207488899</v>
      </c>
      <c r="K155" s="212">
        <v>12.644467496893093</v>
      </c>
      <c r="L155" s="212">
        <v>12.563109939951017</v>
      </c>
      <c r="M155" s="180">
        <f t="shared" si="2"/>
        <v>63.64861423364389</v>
      </c>
    </row>
    <row r="156" spans="1:13">
      <c r="A156" s="2" t="s">
        <v>97</v>
      </c>
      <c r="B156" s="2" t="s">
        <v>170</v>
      </c>
      <c r="C156" s="2" t="s">
        <v>171</v>
      </c>
      <c r="D156" s="2" t="s">
        <v>78</v>
      </c>
      <c r="E156" s="2" t="s">
        <v>72</v>
      </c>
      <c r="F156" s="212">
        <v>1.2374095272163597</v>
      </c>
      <c r="G156" s="212">
        <v>2.9265155519997776</v>
      </c>
      <c r="H156" s="212">
        <v>14.535331997165452</v>
      </c>
      <c r="I156" s="212">
        <v>14.458496957558108</v>
      </c>
      <c r="J156" s="212">
        <v>0</v>
      </c>
      <c r="K156" s="212">
        <v>0</v>
      </c>
      <c r="L156" s="212">
        <v>0</v>
      </c>
      <c r="M156" s="180">
        <f t="shared" si="2"/>
        <v>33.157754033939696</v>
      </c>
    </row>
    <row r="157" spans="1:13">
      <c r="A157" s="2" t="s">
        <v>97</v>
      </c>
      <c r="B157" s="2" t="s">
        <v>172</v>
      </c>
      <c r="C157" s="2" t="s">
        <v>173</v>
      </c>
      <c r="D157" s="2" t="s">
        <v>78</v>
      </c>
      <c r="E157" s="2" t="s">
        <v>72</v>
      </c>
      <c r="F157" s="212">
        <v>3.2518085106382981E-2</v>
      </c>
      <c r="G157" s="212">
        <v>3.236237012465034E-2</v>
      </c>
      <c r="H157" s="212">
        <v>0</v>
      </c>
      <c r="I157" s="212">
        <v>0</v>
      </c>
      <c r="J157" s="212">
        <v>0</v>
      </c>
      <c r="K157" s="212">
        <v>0</v>
      </c>
      <c r="L157" s="212">
        <v>0</v>
      </c>
      <c r="M157" s="180">
        <f t="shared" si="2"/>
        <v>6.4880455231033321E-2</v>
      </c>
    </row>
    <row r="158" spans="1:13">
      <c r="A158" s="2" t="s">
        <v>97</v>
      </c>
      <c r="B158" s="2" t="s">
        <v>174</v>
      </c>
      <c r="C158" s="2" t="s">
        <v>175</v>
      </c>
      <c r="D158" s="2" t="s">
        <v>78</v>
      </c>
      <c r="E158" s="2" t="s">
        <v>72</v>
      </c>
      <c r="F158" s="212">
        <v>0</v>
      </c>
      <c r="G158" s="212">
        <v>0</v>
      </c>
      <c r="H158" s="212">
        <v>0</v>
      </c>
      <c r="I158" s="212">
        <v>0</v>
      </c>
      <c r="J158" s="212">
        <v>0</v>
      </c>
      <c r="K158" s="212">
        <v>0</v>
      </c>
      <c r="L158" s="212">
        <v>0</v>
      </c>
      <c r="M158" s="180">
        <f t="shared" si="2"/>
        <v>0</v>
      </c>
    </row>
    <row r="159" spans="1:13">
      <c r="A159" s="2" t="s">
        <v>97</v>
      </c>
      <c r="B159" s="2" t="s">
        <v>176</v>
      </c>
      <c r="C159" s="2" t="s">
        <v>177</v>
      </c>
      <c r="D159" s="2" t="s">
        <v>78</v>
      </c>
      <c r="E159" s="2" t="s">
        <v>72</v>
      </c>
      <c r="F159" s="212">
        <v>0.95956000000000008</v>
      </c>
      <c r="G159" s="212">
        <v>0.95496508405145786</v>
      </c>
      <c r="H159" s="212">
        <v>0.92120509049226096</v>
      </c>
      <c r="I159" s="212">
        <v>0.91633551959919413</v>
      </c>
      <c r="J159" s="212">
        <v>0.91071282153340294</v>
      </c>
      <c r="K159" s="212">
        <v>0.90398709517372799</v>
      </c>
      <c r="L159" s="212">
        <v>0.89817062393137881</v>
      </c>
      <c r="M159" s="180">
        <f t="shared" si="2"/>
        <v>6.4649362347814234</v>
      </c>
    </row>
    <row r="160" spans="1:13">
      <c r="A160" s="2" t="s">
        <v>97</v>
      </c>
      <c r="B160" s="2" t="s">
        <v>178</v>
      </c>
      <c r="C160" s="2" t="s">
        <v>179</v>
      </c>
      <c r="D160" s="2" t="s">
        <v>78</v>
      </c>
      <c r="E160" s="2" t="s">
        <v>72</v>
      </c>
      <c r="F160" s="212">
        <v>0</v>
      </c>
      <c r="G160" s="212">
        <v>0</v>
      </c>
      <c r="H160" s="212">
        <v>0</v>
      </c>
      <c r="I160" s="212">
        <v>0</v>
      </c>
      <c r="J160" s="212">
        <v>0</v>
      </c>
      <c r="K160" s="212">
        <v>0</v>
      </c>
      <c r="L160" s="212">
        <v>0</v>
      </c>
      <c r="M160" s="180">
        <f t="shared" si="2"/>
        <v>0</v>
      </c>
    </row>
    <row r="161" spans="1:13">
      <c r="A161" s="2" t="s">
        <v>97</v>
      </c>
      <c r="B161" s="2" t="s">
        <v>180</v>
      </c>
      <c r="C161" s="2" t="s">
        <v>181</v>
      </c>
      <c r="D161" s="2" t="s">
        <v>78</v>
      </c>
      <c r="E161" s="2" t="s">
        <v>72</v>
      </c>
      <c r="F161" s="212">
        <v>0</v>
      </c>
      <c r="G161" s="212">
        <v>0</v>
      </c>
      <c r="H161" s="212">
        <v>0</v>
      </c>
      <c r="I161" s="212">
        <v>0</v>
      </c>
      <c r="J161" s="212">
        <v>0</v>
      </c>
      <c r="K161" s="212">
        <v>0</v>
      </c>
      <c r="L161" s="212">
        <v>0</v>
      </c>
      <c r="M161" s="180">
        <f t="shared" si="2"/>
        <v>0</v>
      </c>
    </row>
    <row r="162" spans="1:13">
      <c r="A162" s="2" t="s">
        <v>97</v>
      </c>
      <c r="B162" s="2" t="s">
        <v>182</v>
      </c>
      <c r="C162" s="2" t="s">
        <v>183</v>
      </c>
      <c r="D162" s="2" t="s">
        <v>78</v>
      </c>
      <c r="E162" s="2" t="s">
        <v>72</v>
      </c>
      <c r="F162" s="212">
        <v>0</v>
      </c>
      <c r="G162" s="212">
        <v>0</v>
      </c>
      <c r="H162" s="212">
        <v>0</v>
      </c>
      <c r="I162" s="212">
        <v>0</v>
      </c>
      <c r="J162" s="212">
        <v>0</v>
      </c>
      <c r="K162" s="212">
        <v>0</v>
      </c>
      <c r="L162" s="212">
        <v>0</v>
      </c>
      <c r="M162" s="180">
        <f t="shared" si="2"/>
        <v>0</v>
      </c>
    </row>
    <row r="163" spans="1:13">
      <c r="A163" s="2" t="s">
        <v>97</v>
      </c>
      <c r="B163" s="2" t="s">
        <v>184</v>
      </c>
      <c r="C163" s="2" t="s">
        <v>185</v>
      </c>
      <c r="D163" s="2" t="s">
        <v>78</v>
      </c>
      <c r="E163" s="2" t="s">
        <v>72</v>
      </c>
      <c r="F163" s="212">
        <v>0</v>
      </c>
      <c r="G163" s="212">
        <v>0</v>
      </c>
      <c r="H163" s="212">
        <v>7.306075714724809</v>
      </c>
      <c r="I163" s="212">
        <v>14.528265787409257</v>
      </c>
      <c r="J163" s="212">
        <v>14.431304436737603</v>
      </c>
      <c r="K163" s="212">
        <v>4.5085589606396045E-3</v>
      </c>
      <c r="L163" s="212">
        <v>4.4775719905373774E-3</v>
      </c>
      <c r="M163" s="180">
        <f t="shared" si="2"/>
        <v>36.274632069822843</v>
      </c>
    </row>
    <row r="164" spans="1:13">
      <c r="A164" s="2" t="s">
        <v>97</v>
      </c>
      <c r="B164" s="2" t="s">
        <v>186</v>
      </c>
      <c r="C164" s="2" t="s">
        <v>187</v>
      </c>
      <c r="D164" s="2" t="s">
        <v>78</v>
      </c>
      <c r="E164" s="2" t="s">
        <v>72</v>
      </c>
      <c r="F164" s="212">
        <v>0</v>
      </c>
      <c r="G164" s="212">
        <v>0</v>
      </c>
      <c r="H164" s="212">
        <v>0</v>
      </c>
      <c r="I164" s="212">
        <v>0</v>
      </c>
      <c r="J164" s="212">
        <v>0</v>
      </c>
      <c r="K164" s="212">
        <v>0</v>
      </c>
      <c r="L164" s="212">
        <v>0</v>
      </c>
      <c r="M164" s="180">
        <f t="shared" si="2"/>
        <v>0</v>
      </c>
    </row>
    <row r="165" spans="1:13">
      <c r="A165" s="2" t="s">
        <v>97</v>
      </c>
      <c r="B165" s="2" t="s">
        <v>188</v>
      </c>
      <c r="C165" s="2" t="s">
        <v>189</v>
      </c>
      <c r="D165" s="2" t="s">
        <v>78</v>
      </c>
      <c r="E165" s="2" t="s">
        <v>72</v>
      </c>
      <c r="F165" s="212">
        <v>0</v>
      </c>
      <c r="G165" s="212">
        <v>0</v>
      </c>
      <c r="H165" s="212">
        <v>0.65338853247161599</v>
      </c>
      <c r="I165" s="212">
        <v>0.64955574247404724</v>
      </c>
      <c r="J165" s="212">
        <v>7.9839845920493921</v>
      </c>
      <c r="K165" s="212">
        <v>7.8475450749462103</v>
      </c>
      <c r="L165" s="212">
        <v>0.48710059479118284</v>
      </c>
      <c r="M165" s="180">
        <f t="shared" si="2"/>
        <v>17.621574536732449</v>
      </c>
    </row>
    <row r="166" spans="1:13">
      <c r="A166" s="2" t="s">
        <v>97</v>
      </c>
      <c r="B166" s="2" t="s">
        <v>190</v>
      </c>
      <c r="C166" s="2" t="s">
        <v>191</v>
      </c>
      <c r="D166" s="2" t="s">
        <v>78</v>
      </c>
      <c r="E166" s="2" t="s">
        <v>72</v>
      </c>
      <c r="F166" s="212">
        <v>0</v>
      </c>
      <c r="G166" s="212">
        <v>0</v>
      </c>
      <c r="H166" s="212">
        <v>0</v>
      </c>
      <c r="I166" s="212">
        <v>0</v>
      </c>
      <c r="J166" s="212">
        <v>0</v>
      </c>
      <c r="K166" s="212">
        <v>0</v>
      </c>
      <c r="L166" s="212">
        <v>0</v>
      </c>
      <c r="M166" s="180">
        <f t="shared" si="2"/>
        <v>0</v>
      </c>
    </row>
    <row r="167" spans="1:13">
      <c r="A167" s="2" t="s">
        <v>97</v>
      </c>
      <c r="B167" s="2" t="s">
        <v>192</v>
      </c>
      <c r="C167" s="2" t="s">
        <v>193</v>
      </c>
      <c r="D167" s="2" t="s">
        <v>78</v>
      </c>
      <c r="E167" s="2" t="s">
        <v>72</v>
      </c>
      <c r="F167" s="212">
        <v>0</v>
      </c>
      <c r="G167" s="212">
        <v>0</v>
      </c>
      <c r="H167" s="212">
        <v>0</v>
      </c>
      <c r="I167" s="212">
        <v>0</v>
      </c>
      <c r="J167" s="212">
        <v>0</v>
      </c>
      <c r="K167" s="212">
        <v>0</v>
      </c>
      <c r="L167" s="212">
        <v>0</v>
      </c>
      <c r="M167" s="180">
        <f t="shared" si="2"/>
        <v>0</v>
      </c>
    </row>
    <row r="168" spans="1:13">
      <c r="A168" s="2" t="s">
        <v>97</v>
      </c>
      <c r="B168" s="2" t="s">
        <v>194</v>
      </c>
      <c r="C168" s="2" t="s">
        <v>195</v>
      </c>
      <c r="D168" s="2" t="s">
        <v>78</v>
      </c>
      <c r="E168" s="2" t="s">
        <v>72</v>
      </c>
      <c r="F168" s="212">
        <v>0</v>
      </c>
      <c r="G168" s="212">
        <v>6.5091788169455285</v>
      </c>
      <c r="H168" s="212">
        <v>7.4186552825511178</v>
      </c>
      <c r="I168" s="212">
        <v>1.5779889493091013</v>
      </c>
      <c r="J168" s="212">
        <v>2.6215419009803305</v>
      </c>
      <c r="K168" s="212">
        <v>16.723843940025624</v>
      </c>
      <c r="L168" s="212">
        <v>2.5854384271226549</v>
      </c>
      <c r="M168" s="180">
        <f t="shared" si="2"/>
        <v>37.436647316934355</v>
      </c>
    </row>
    <row r="169" spans="1:13">
      <c r="A169" s="2" t="s">
        <v>97</v>
      </c>
      <c r="B169" s="2" t="s">
        <v>196</v>
      </c>
      <c r="C169" s="2" t="s">
        <v>197</v>
      </c>
      <c r="D169" s="2" t="s">
        <v>78</v>
      </c>
      <c r="E169" s="2" t="s">
        <v>72</v>
      </c>
      <c r="F169" s="212">
        <v>0</v>
      </c>
      <c r="G169" s="212">
        <v>0</v>
      </c>
      <c r="H169" s="212">
        <v>6.3268196828420065</v>
      </c>
      <c r="I169" s="212">
        <v>6.8073733854132332E-2</v>
      </c>
      <c r="J169" s="212">
        <v>6.7656028719401518E-2</v>
      </c>
      <c r="K169" s="212">
        <v>6.7156380614104338E-2</v>
      </c>
      <c r="L169" s="212">
        <v>6.6724280246004367E-2</v>
      </c>
      <c r="M169" s="180">
        <f t="shared" si="2"/>
        <v>6.5964301062756485</v>
      </c>
    </row>
    <row r="170" spans="1:13">
      <c r="A170" s="2" t="s">
        <v>97</v>
      </c>
      <c r="B170" s="2" t="s">
        <v>198</v>
      </c>
      <c r="C170" s="2" t="s">
        <v>199</v>
      </c>
      <c r="D170" s="2" t="s">
        <v>78</v>
      </c>
      <c r="E170" s="2" t="s">
        <v>72</v>
      </c>
      <c r="F170" s="212">
        <v>0</v>
      </c>
      <c r="G170" s="212">
        <v>0</v>
      </c>
      <c r="H170" s="212">
        <v>0</v>
      </c>
      <c r="I170" s="212">
        <v>0</v>
      </c>
      <c r="J170" s="212">
        <v>0</v>
      </c>
      <c r="K170" s="212">
        <v>0</v>
      </c>
      <c r="L170" s="212">
        <v>0</v>
      </c>
      <c r="M170" s="180">
        <f t="shared" si="2"/>
        <v>0</v>
      </c>
    </row>
    <row r="171" spans="1:13">
      <c r="A171" s="2" t="s">
        <v>97</v>
      </c>
      <c r="B171" s="2" t="s">
        <v>200</v>
      </c>
      <c r="C171" s="2" t="s">
        <v>201</v>
      </c>
      <c r="D171" s="2" t="s">
        <v>78</v>
      </c>
      <c r="E171" s="2" t="s">
        <v>72</v>
      </c>
      <c r="F171" s="212">
        <v>0</v>
      </c>
      <c r="G171" s="212">
        <v>0</v>
      </c>
      <c r="H171" s="212">
        <v>4.6594814862757907</v>
      </c>
      <c r="I171" s="212">
        <v>4.6898133874385746</v>
      </c>
      <c r="J171" s="212">
        <v>4.6610363684335629</v>
      </c>
      <c r="K171" s="212">
        <v>4.6266140407520515</v>
      </c>
      <c r="L171" s="212">
        <v>4.5968452888957962</v>
      </c>
      <c r="M171" s="180">
        <f t="shared" si="2"/>
        <v>23.233790571795776</v>
      </c>
    </row>
    <row r="172" spans="1:13">
      <c r="A172" s="2" t="s">
        <v>97</v>
      </c>
      <c r="B172" s="2" t="s">
        <v>202</v>
      </c>
      <c r="C172" s="2" t="s">
        <v>203</v>
      </c>
      <c r="D172" s="2" t="s">
        <v>78</v>
      </c>
      <c r="E172" s="2" t="s">
        <v>72</v>
      </c>
      <c r="F172" s="212">
        <v>0</v>
      </c>
      <c r="G172" s="212">
        <v>0</v>
      </c>
      <c r="H172" s="212">
        <v>2.4578547105944519</v>
      </c>
      <c r="I172" s="212">
        <v>3.1292554010161062</v>
      </c>
      <c r="J172" s="212">
        <v>3.8084298497620561</v>
      </c>
      <c r="K172" s="212">
        <v>2.0796545549645651</v>
      </c>
      <c r="L172" s="212">
        <v>1.5209695604159303</v>
      </c>
      <c r="M172" s="180">
        <f t="shared" si="2"/>
        <v>12.996164076753109</v>
      </c>
    </row>
    <row r="173" spans="1:13">
      <c r="A173" s="2" t="s">
        <v>97</v>
      </c>
      <c r="B173" s="2" t="s">
        <v>204</v>
      </c>
      <c r="C173" s="2" t="s">
        <v>205</v>
      </c>
      <c r="D173" s="2" t="s">
        <v>78</v>
      </c>
      <c r="E173" s="2" t="s">
        <v>72</v>
      </c>
      <c r="F173" s="212">
        <v>0</v>
      </c>
      <c r="G173" s="212">
        <v>0</v>
      </c>
      <c r="H173" s="212">
        <v>0</v>
      </c>
      <c r="I173" s="212">
        <v>0</v>
      </c>
      <c r="J173" s="212">
        <v>0</v>
      </c>
      <c r="K173" s="212">
        <v>0</v>
      </c>
      <c r="L173" s="212">
        <v>0</v>
      </c>
      <c r="M173" s="180">
        <f t="shared" si="2"/>
        <v>0</v>
      </c>
    </row>
    <row r="174" spans="1:13">
      <c r="A174" s="2" t="s">
        <v>97</v>
      </c>
      <c r="B174" s="2" t="s">
        <v>206</v>
      </c>
      <c r="C174" s="2" t="s">
        <v>207</v>
      </c>
      <c r="D174" s="2" t="s">
        <v>78</v>
      </c>
      <c r="E174" s="2" t="s">
        <v>72</v>
      </c>
      <c r="F174" s="212">
        <v>0</v>
      </c>
      <c r="G174" s="212">
        <v>0</v>
      </c>
      <c r="H174" s="212">
        <v>0</v>
      </c>
      <c r="I174" s="212">
        <v>0</v>
      </c>
      <c r="J174" s="212">
        <v>0</v>
      </c>
      <c r="K174" s="212">
        <v>0</v>
      </c>
      <c r="L174" s="212">
        <v>0</v>
      </c>
      <c r="M174" s="180">
        <f t="shared" si="2"/>
        <v>0</v>
      </c>
    </row>
    <row r="175" spans="1:13">
      <c r="A175" s="2" t="s">
        <v>97</v>
      </c>
      <c r="B175" s="2" t="s">
        <v>208</v>
      </c>
      <c r="C175" s="2" t="s">
        <v>209</v>
      </c>
      <c r="D175" s="2" t="s">
        <v>78</v>
      </c>
      <c r="E175" s="2" t="s">
        <v>72</v>
      </c>
      <c r="F175" s="212">
        <v>0</v>
      </c>
      <c r="G175" s="212">
        <v>0</v>
      </c>
      <c r="H175" s="212">
        <v>0</v>
      </c>
      <c r="I175" s="212">
        <v>0</v>
      </c>
      <c r="J175" s="212">
        <v>0</v>
      </c>
      <c r="K175" s="212">
        <v>0</v>
      </c>
      <c r="L175" s="212">
        <v>0</v>
      </c>
      <c r="M175" s="180">
        <f t="shared" si="2"/>
        <v>0</v>
      </c>
    </row>
    <row r="176" spans="1:13">
      <c r="A176" s="2" t="s">
        <v>97</v>
      </c>
      <c r="B176" s="2" t="s">
        <v>210</v>
      </c>
      <c r="C176" s="2" t="s">
        <v>211</v>
      </c>
      <c r="D176" s="2" t="s">
        <v>78</v>
      </c>
      <c r="E176" s="2" t="s">
        <v>72</v>
      </c>
      <c r="F176" s="212">
        <v>0</v>
      </c>
      <c r="G176" s="212">
        <v>0</v>
      </c>
      <c r="H176" s="212">
        <v>0</v>
      </c>
      <c r="I176" s="212">
        <v>0</v>
      </c>
      <c r="J176" s="212">
        <v>0</v>
      </c>
      <c r="K176" s="212">
        <v>0</v>
      </c>
      <c r="L176" s="212">
        <v>0</v>
      </c>
      <c r="M176" s="180">
        <f t="shared" si="2"/>
        <v>0</v>
      </c>
    </row>
    <row r="177" spans="1:13">
      <c r="A177" s="2" t="s">
        <v>98</v>
      </c>
      <c r="B177" s="2" t="s">
        <v>126</v>
      </c>
      <c r="C177" s="2" t="s">
        <v>127</v>
      </c>
      <c r="D177" s="2" t="s">
        <v>78</v>
      </c>
      <c r="E177" s="2" t="s">
        <v>72</v>
      </c>
      <c r="F177" s="212">
        <v>32.992826950947837</v>
      </c>
      <c r="G177" s="212">
        <v>173.74463615386605</v>
      </c>
      <c r="H177" s="212">
        <v>768.45111532944156</v>
      </c>
      <c r="I177" s="212">
        <v>987.61290727349387</v>
      </c>
      <c r="J177" s="212">
        <v>844.60569645384396</v>
      </c>
      <c r="K177" s="212">
        <v>817.71745658196096</v>
      </c>
      <c r="L177" s="212">
        <v>656.08431310673063</v>
      </c>
      <c r="M177" s="180">
        <f t="shared" si="2"/>
        <v>4281.2089518502844</v>
      </c>
    </row>
    <row r="178" spans="1:13">
      <c r="A178" s="2" t="s">
        <v>98</v>
      </c>
      <c r="B178" s="2" t="s">
        <v>128</v>
      </c>
      <c r="C178" s="2" t="s">
        <v>129</v>
      </c>
      <c r="D178" s="2" t="s">
        <v>78</v>
      </c>
      <c r="E178" s="2" t="s">
        <v>72</v>
      </c>
      <c r="F178" s="212">
        <v>0</v>
      </c>
      <c r="G178" s="212">
        <v>0</v>
      </c>
      <c r="H178" s="212">
        <v>0.42642426318553334</v>
      </c>
      <c r="I178" s="212">
        <v>0</v>
      </c>
      <c r="J178" s="212">
        <v>0</v>
      </c>
      <c r="K178" s="212">
        <v>0</v>
      </c>
      <c r="L178" s="212">
        <v>0</v>
      </c>
      <c r="M178" s="180">
        <f t="shared" si="2"/>
        <v>0.42642426318553334</v>
      </c>
    </row>
    <row r="179" spans="1:13">
      <c r="A179" s="2" t="s">
        <v>98</v>
      </c>
      <c r="B179" s="2" t="s">
        <v>130</v>
      </c>
      <c r="C179" s="2" t="s">
        <v>131</v>
      </c>
      <c r="D179" s="2" t="s">
        <v>78</v>
      </c>
      <c r="E179" s="2" t="s">
        <v>72</v>
      </c>
      <c r="F179" s="212">
        <v>0.76770000000000005</v>
      </c>
      <c r="G179" s="212">
        <v>8.9380934140382529</v>
      </c>
      <c r="H179" s="212">
        <v>25.073453093591301</v>
      </c>
      <c r="I179" s="212">
        <v>8.9703584554751465</v>
      </c>
      <c r="J179" s="212">
        <v>6.5210374913048472E-2</v>
      </c>
      <c r="K179" s="212">
        <v>6.472878826234281E-2</v>
      </c>
      <c r="L179" s="212">
        <v>6.4312307609587824E-2</v>
      </c>
      <c r="M179" s="180">
        <f t="shared" si="2"/>
        <v>43.943856433889685</v>
      </c>
    </row>
    <row r="180" spans="1:13">
      <c r="A180" s="2" t="s">
        <v>98</v>
      </c>
      <c r="B180" s="2" t="s">
        <v>132</v>
      </c>
      <c r="C180" s="2" t="s">
        <v>133</v>
      </c>
      <c r="D180" s="2" t="s">
        <v>78</v>
      </c>
      <c r="E180" s="2" t="s">
        <v>72</v>
      </c>
      <c r="F180" s="212">
        <v>0</v>
      </c>
      <c r="G180" s="212">
        <v>0</v>
      </c>
      <c r="H180" s="212">
        <v>0</v>
      </c>
      <c r="I180" s="212">
        <v>32.819648572746992</v>
      </c>
      <c r="J180" s="212">
        <v>32.618264941311814</v>
      </c>
      <c r="K180" s="212">
        <v>32.377375037123066</v>
      </c>
      <c r="L180" s="212">
        <v>32.169051188462383</v>
      </c>
      <c r="M180" s="180">
        <f t="shared" si="2"/>
        <v>129.98433973964427</v>
      </c>
    </row>
    <row r="181" spans="1:13">
      <c r="A181" s="2" t="s">
        <v>98</v>
      </c>
      <c r="B181" s="2" t="s">
        <v>134</v>
      </c>
      <c r="C181" s="2" t="s">
        <v>135</v>
      </c>
      <c r="D181" s="2" t="s">
        <v>78</v>
      </c>
      <c r="E181" s="2" t="s">
        <v>72</v>
      </c>
      <c r="F181" s="212">
        <v>0</v>
      </c>
      <c r="G181" s="212">
        <v>5.6161036151982889E-2</v>
      </c>
      <c r="H181" s="212">
        <v>2.4221989896254192</v>
      </c>
      <c r="I181" s="212">
        <v>2.5572098117761235</v>
      </c>
      <c r="J181" s="212">
        <v>3.9281902667948509</v>
      </c>
      <c r="K181" s="212">
        <v>6.9788500070614123</v>
      </c>
      <c r="L181" s="212">
        <v>9.6210781061272677</v>
      </c>
      <c r="M181" s="180">
        <f t="shared" si="2"/>
        <v>25.563688217537056</v>
      </c>
    </row>
    <row r="182" spans="1:13">
      <c r="A182" s="2" t="s">
        <v>98</v>
      </c>
      <c r="B182" s="2" t="s">
        <v>136</v>
      </c>
      <c r="C182" s="2" t="s">
        <v>137</v>
      </c>
      <c r="D182" s="2" t="s">
        <v>78</v>
      </c>
      <c r="E182" s="2" t="s">
        <v>72</v>
      </c>
      <c r="F182" s="212">
        <v>0</v>
      </c>
      <c r="G182" s="212">
        <v>0</v>
      </c>
      <c r="H182" s="212">
        <v>0</v>
      </c>
      <c r="I182" s="212">
        <v>0</v>
      </c>
      <c r="J182" s="212">
        <v>0</v>
      </c>
      <c r="K182" s="212">
        <v>0</v>
      </c>
      <c r="L182" s="212">
        <v>0</v>
      </c>
      <c r="M182" s="180">
        <f t="shared" si="2"/>
        <v>0</v>
      </c>
    </row>
    <row r="183" spans="1:13">
      <c r="A183" s="2" t="s">
        <v>98</v>
      </c>
      <c r="B183" s="2" t="s">
        <v>138</v>
      </c>
      <c r="C183" s="2" t="s">
        <v>139</v>
      </c>
      <c r="D183" s="2" t="s">
        <v>78</v>
      </c>
      <c r="E183" s="2" t="s">
        <v>72</v>
      </c>
      <c r="F183" s="212">
        <v>12.371919595674161</v>
      </c>
      <c r="G183" s="212">
        <v>85.807696625975382</v>
      </c>
      <c r="H183" s="212">
        <v>196.4693887812337</v>
      </c>
      <c r="I183" s="212">
        <v>329.80822272684389</v>
      </c>
      <c r="J183" s="212">
        <v>325.70197896555896</v>
      </c>
      <c r="K183" s="212">
        <v>295.50287616499583</v>
      </c>
      <c r="L183" s="212">
        <v>295.5908998703369</v>
      </c>
      <c r="M183" s="180">
        <f t="shared" si="2"/>
        <v>1541.2529827306189</v>
      </c>
    </row>
    <row r="184" spans="1:13">
      <c r="A184" s="2" t="s">
        <v>98</v>
      </c>
      <c r="B184" s="2" t="s">
        <v>140</v>
      </c>
      <c r="C184" s="2" t="s">
        <v>141</v>
      </c>
      <c r="D184" s="2" t="s">
        <v>78</v>
      </c>
      <c r="E184" s="2" t="s">
        <v>72</v>
      </c>
      <c r="F184" s="212">
        <v>0</v>
      </c>
      <c r="G184" s="212">
        <v>0</v>
      </c>
      <c r="H184" s="212">
        <v>1.3726124038857015</v>
      </c>
      <c r="I184" s="212">
        <v>5.6708088225230622</v>
      </c>
      <c r="J184" s="212">
        <v>31.806366462534466</v>
      </c>
      <c r="K184" s="212">
        <v>29.969424776491749</v>
      </c>
      <c r="L184" s="212">
        <v>5.148883151673175</v>
      </c>
      <c r="M184" s="180">
        <f t="shared" si="2"/>
        <v>73.968095617108162</v>
      </c>
    </row>
    <row r="185" spans="1:13">
      <c r="A185" s="2" t="s">
        <v>98</v>
      </c>
      <c r="B185" s="2" t="s">
        <v>142</v>
      </c>
      <c r="C185" s="2" t="s">
        <v>143</v>
      </c>
      <c r="D185" s="2" t="s">
        <v>78</v>
      </c>
      <c r="E185" s="2" t="s">
        <v>72</v>
      </c>
      <c r="F185" s="212">
        <v>0</v>
      </c>
      <c r="G185" s="212">
        <v>1.5005251657780787</v>
      </c>
      <c r="H185" s="212">
        <v>1.0846899167874835</v>
      </c>
      <c r="I185" s="212">
        <v>2.5885918829955896</v>
      </c>
      <c r="J185" s="212">
        <v>0.18167562051590294</v>
      </c>
      <c r="K185" s="212">
        <v>0.18143194744351565</v>
      </c>
      <c r="L185" s="212">
        <v>0.18154224970874644</v>
      </c>
      <c r="M185" s="180">
        <f t="shared" si="2"/>
        <v>5.7184567832293167</v>
      </c>
    </row>
    <row r="186" spans="1:13">
      <c r="A186" s="2" t="s">
        <v>98</v>
      </c>
      <c r="B186" s="2" t="s">
        <v>144</v>
      </c>
      <c r="C186" s="2" t="s">
        <v>145</v>
      </c>
      <c r="D186" s="2" t="s">
        <v>78</v>
      </c>
      <c r="E186" s="2" t="s">
        <v>72</v>
      </c>
      <c r="F186" s="212">
        <v>0</v>
      </c>
      <c r="G186" s="212">
        <v>0</v>
      </c>
      <c r="H186" s="212">
        <v>0</v>
      </c>
      <c r="I186" s="212">
        <v>0</v>
      </c>
      <c r="J186" s="212">
        <v>0</v>
      </c>
      <c r="K186" s="212">
        <v>0</v>
      </c>
      <c r="L186" s="212">
        <v>0</v>
      </c>
      <c r="M186" s="180">
        <f t="shared" si="2"/>
        <v>0</v>
      </c>
    </row>
    <row r="187" spans="1:13">
      <c r="A187" s="2" t="s">
        <v>98</v>
      </c>
      <c r="B187" s="2" t="s">
        <v>146</v>
      </c>
      <c r="C187" s="2" t="s">
        <v>147</v>
      </c>
      <c r="D187" s="2" t="s">
        <v>78</v>
      </c>
      <c r="E187" s="2" t="s">
        <v>72</v>
      </c>
      <c r="F187" s="212">
        <v>0</v>
      </c>
      <c r="G187" s="212">
        <v>3.5577315964831309</v>
      </c>
      <c r="H187" s="212">
        <v>21.450636575820848</v>
      </c>
      <c r="I187" s="212">
        <v>2.9342494390171301</v>
      </c>
      <c r="J187" s="212">
        <v>1.773990512233744</v>
      </c>
      <c r="K187" s="212">
        <v>0.46518112183588678</v>
      </c>
      <c r="L187" s="212">
        <v>0.34372475139373704</v>
      </c>
      <c r="M187" s="180">
        <f t="shared" si="2"/>
        <v>30.525513996784476</v>
      </c>
    </row>
    <row r="188" spans="1:13">
      <c r="A188" s="2" t="s">
        <v>98</v>
      </c>
      <c r="B188" s="2" t="s">
        <v>148</v>
      </c>
      <c r="C188" s="2" t="s">
        <v>149</v>
      </c>
      <c r="D188" s="2" t="s">
        <v>78</v>
      </c>
      <c r="E188" s="2" t="s">
        <v>72</v>
      </c>
      <c r="F188" s="212">
        <v>2.2770172035677088</v>
      </c>
      <c r="G188" s="212">
        <v>14.419354796656547</v>
      </c>
      <c r="H188" s="212">
        <v>64.486867701769611</v>
      </c>
      <c r="I188" s="212">
        <v>61.502827937158095</v>
      </c>
      <c r="J188" s="212">
        <v>110.34747485481884</v>
      </c>
      <c r="K188" s="212">
        <v>166.25041222475855</v>
      </c>
      <c r="L188" s="212">
        <v>112.11786346258727</v>
      </c>
      <c r="M188" s="180">
        <f t="shared" si="2"/>
        <v>531.40181818131657</v>
      </c>
    </row>
    <row r="189" spans="1:13">
      <c r="A189" s="2" t="s">
        <v>98</v>
      </c>
      <c r="B189" s="2" t="s">
        <v>150</v>
      </c>
      <c r="C189" s="2" t="s">
        <v>151</v>
      </c>
      <c r="D189" s="2" t="s">
        <v>78</v>
      </c>
      <c r="E189" s="2" t="s">
        <v>72</v>
      </c>
      <c r="F189" s="212">
        <v>0</v>
      </c>
      <c r="G189" s="212">
        <v>0</v>
      </c>
      <c r="H189" s="212">
        <v>1.3130247124620795</v>
      </c>
      <c r="I189" s="212">
        <v>3.1406899777994535</v>
      </c>
      <c r="J189" s="212">
        <v>3.1288667462635913</v>
      </c>
      <c r="K189" s="212">
        <v>0.23934843384680562</v>
      </c>
      <c r="L189" s="212">
        <v>5.7642144432944582E-2</v>
      </c>
      <c r="M189" s="180">
        <f t="shared" si="2"/>
        <v>7.8795720148048742</v>
      </c>
    </row>
    <row r="190" spans="1:13">
      <c r="A190" s="2" t="s">
        <v>98</v>
      </c>
      <c r="B190" s="2" t="s">
        <v>152</v>
      </c>
      <c r="C190" s="2" t="s">
        <v>153</v>
      </c>
      <c r="D190" s="2" t="s">
        <v>78</v>
      </c>
      <c r="E190" s="2" t="s">
        <v>72</v>
      </c>
      <c r="F190" s="212">
        <v>0</v>
      </c>
      <c r="G190" s="212">
        <v>9.9300378172442798</v>
      </c>
      <c r="H190" s="212">
        <v>3.259864064618196</v>
      </c>
      <c r="I190" s="212">
        <v>15.156548023089913</v>
      </c>
      <c r="J190" s="212">
        <v>51.494262233442704</v>
      </c>
      <c r="K190" s="212">
        <v>75.022604027051685</v>
      </c>
      <c r="L190" s="212">
        <v>31.880780672760579</v>
      </c>
      <c r="M190" s="180">
        <f t="shared" si="2"/>
        <v>186.74409683820735</v>
      </c>
    </row>
    <row r="191" spans="1:13">
      <c r="A191" s="2" t="s">
        <v>98</v>
      </c>
      <c r="B191" s="2" t="s">
        <v>154</v>
      </c>
      <c r="C191" s="2" t="s">
        <v>155</v>
      </c>
      <c r="D191" s="2" t="s">
        <v>78</v>
      </c>
      <c r="E191" s="2" t="s">
        <v>72</v>
      </c>
      <c r="F191" s="212">
        <v>0</v>
      </c>
      <c r="G191" s="212">
        <v>0</v>
      </c>
      <c r="H191" s="212">
        <v>0</v>
      </c>
      <c r="I191" s="212">
        <v>0</v>
      </c>
      <c r="J191" s="212">
        <v>0</v>
      </c>
      <c r="K191" s="212">
        <v>0</v>
      </c>
      <c r="L191" s="212">
        <v>0</v>
      </c>
      <c r="M191" s="180">
        <f t="shared" si="2"/>
        <v>0</v>
      </c>
    </row>
    <row r="192" spans="1:13">
      <c r="A192" s="2" t="s">
        <v>98</v>
      </c>
      <c r="B192" s="2" t="s">
        <v>156</v>
      </c>
      <c r="C192" s="2" t="s">
        <v>157</v>
      </c>
      <c r="D192" s="2" t="s">
        <v>78</v>
      </c>
      <c r="E192" s="2" t="s">
        <v>72</v>
      </c>
      <c r="F192" s="212">
        <v>0</v>
      </c>
      <c r="G192" s="212">
        <v>0</v>
      </c>
      <c r="H192" s="212">
        <v>4.3655975803470062</v>
      </c>
      <c r="I192" s="212">
        <v>4.3547838927659024</v>
      </c>
      <c r="J192" s="212">
        <v>4.2986252825047311</v>
      </c>
      <c r="K192" s="212">
        <v>4.2928597360508114</v>
      </c>
      <c r="L192" s="212">
        <v>4.2912088935742707</v>
      </c>
      <c r="M192" s="180">
        <f t="shared" si="2"/>
        <v>21.603075385242722</v>
      </c>
    </row>
    <row r="193" spans="1:13">
      <c r="A193" s="2" t="s">
        <v>98</v>
      </c>
      <c r="B193" s="2" t="s">
        <v>158</v>
      </c>
      <c r="C193" s="2" t="s">
        <v>159</v>
      </c>
      <c r="D193" s="2" t="s">
        <v>78</v>
      </c>
      <c r="E193" s="2" t="s">
        <v>72</v>
      </c>
      <c r="F193" s="212">
        <v>0</v>
      </c>
      <c r="G193" s="212">
        <v>0</v>
      </c>
      <c r="H193" s="212">
        <v>0</v>
      </c>
      <c r="I193" s="212">
        <v>0</v>
      </c>
      <c r="J193" s="212">
        <v>0</v>
      </c>
      <c r="K193" s="212">
        <v>0</v>
      </c>
      <c r="L193" s="212">
        <v>0</v>
      </c>
      <c r="M193" s="180">
        <f t="shared" si="2"/>
        <v>0</v>
      </c>
    </row>
    <row r="194" spans="1:13">
      <c r="A194" s="2" t="s">
        <v>98</v>
      </c>
      <c r="B194" s="2" t="s">
        <v>160</v>
      </c>
      <c r="C194" s="2" t="s">
        <v>161</v>
      </c>
      <c r="D194" s="2" t="s">
        <v>78</v>
      </c>
      <c r="E194" s="2" t="s">
        <v>72</v>
      </c>
      <c r="F194" s="212">
        <v>0</v>
      </c>
      <c r="G194" s="212">
        <v>0</v>
      </c>
      <c r="H194" s="212">
        <v>0</v>
      </c>
      <c r="I194" s="212">
        <v>0</v>
      </c>
      <c r="J194" s="212">
        <v>0</v>
      </c>
      <c r="K194" s="212">
        <v>0</v>
      </c>
      <c r="L194" s="212">
        <v>0</v>
      </c>
      <c r="M194" s="180">
        <f t="shared" si="2"/>
        <v>0</v>
      </c>
    </row>
    <row r="195" spans="1:13">
      <c r="A195" s="2" t="s">
        <v>98</v>
      </c>
      <c r="B195" s="2" t="s">
        <v>162</v>
      </c>
      <c r="C195" s="2" t="s">
        <v>163</v>
      </c>
      <c r="D195" s="2" t="s">
        <v>78</v>
      </c>
      <c r="E195" s="2" t="s">
        <v>72</v>
      </c>
      <c r="F195" s="212">
        <v>0</v>
      </c>
      <c r="G195" s="212">
        <v>8.8665621639698884</v>
      </c>
      <c r="H195" s="212">
        <v>46.784550853048479</v>
      </c>
      <c r="I195" s="212">
        <v>24.269824281432832</v>
      </c>
      <c r="J195" s="212">
        <v>0</v>
      </c>
      <c r="K195" s="212">
        <v>0</v>
      </c>
      <c r="L195" s="212">
        <v>0</v>
      </c>
      <c r="M195" s="180">
        <f t="shared" si="2"/>
        <v>79.920937298451207</v>
      </c>
    </row>
    <row r="196" spans="1:13">
      <c r="A196" s="2" t="s">
        <v>98</v>
      </c>
      <c r="B196" s="2" t="s">
        <v>164</v>
      </c>
      <c r="C196" s="2" t="s">
        <v>165</v>
      </c>
      <c r="D196" s="2" t="s">
        <v>78</v>
      </c>
      <c r="E196" s="2" t="s">
        <v>72</v>
      </c>
      <c r="F196" s="212">
        <v>0</v>
      </c>
      <c r="G196" s="212">
        <v>0.38175871190220445</v>
      </c>
      <c r="H196" s="212">
        <v>1.4019313872485208</v>
      </c>
      <c r="I196" s="212">
        <v>2.4187516998213505</v>
      </c>
      <c r="J196" s="212">
        <v>1.3580846227491721</v>
      </c>
      <c r="K196" s="212">
        <v>0.11360057168220516</v>
      </c>
      <c r="L196" s="212">
        <v>3.96069634486622E-2</v>
      </c>
      <c r="M196" s="180">
        <f t="shared" si="2"/>
        <v>5.7137339568521162</v>
      </c>
    </row>
    <row r="197" spans="1:13">
      <c r="A197" s="2" t="s">
        <v>98</v>
      </c>
      <c r="B197" s="2" t="s">
        <v>166</v>
      </c>
      <c r="C197" s="2" t="s">
        <v>167</v>
      </c>
      <c r="D197" s="2" t="s">
        <v>78</v>
      </c>
      <c r="E197" s="2" t="s">
        <v>72</v>
      </c>
      <c r="F197" s="212">
        <v>0</v>
      </c>
      <c r="G197" s="212">
        <v>0</v>
      </c>
      <c r="H197" s="212">
        <v>0</v>
      </c>
      <c r="I197" s="212">
        <v>0</v>
      </c>
      <c r="J197" s="212">
        <v>0</v>
      </c>
      <c r="K197" s="212">
        <v>0</v>
      </c>
      <c r="L197" s="212">
        <v>0</v>
      </c>
      <c r="M197" s="180">
        <f t="shared" si="2"/>
        <v>0</v>
      </c>
    </row>
    <row r="198" spans="1:13">
      <c r="A198" s="2" t="s">
        <v>98</v>
      </c>
      <c r="B198" s="2" t="s">
        <v>168</v>
      </c>
      <c r="C198" s="2" t="s">
        <v>169</v>
      </c>
      <c r="D198" s="2" t="s">
        <v>78</v>
      </c>
      <c r="E198" s="2" t="s">
        <v>72</v>
      </c>
      <c r="F198" s="212">
        <v>0</v>
      </c>
      <c r="G198" s="212">
        <v>0</v>
      </c>
      <c r="H198" s="212">
        <v>0</v>
      </c>
      <c r="I198" s="212">
        <v>0</v>
      </c>
      <c r="J198" s="212">
        <v>0</v>
      </c>
      <c r="K198" s="212">
        <v>0</v>
      </c>
      <c r="L198" s="212">
        <v>0</v>
      </c>
      <c r="M198" s="180">
        <f t="shared" ref="M198:M261" si="3">SUM(F198:L198)</f>
        <v>0</v>
      </c>
    </row>
    <row r="199" spans="1:13">
      <c r="A199" s="2" t="s">
        <v>98</v>
      </c>
      <c r="B199" s="2" t="s">
        <v>170</v>
      </c>
      <c r="C199" s="2" t="s">
        <v>171</v>
      </c>
      <c r="D199" s="2" t="s">
        <v>78</v>
      </c>
      <c r="E199" s="2" t="s">
        <v>72</v>
      </c>
      <c r="F199" s="212">
        <v>0</v>
      </c>
      <c r="G199" s="212">
        <v>4.7238387872458434</v>
      </c>
      <c r="H199" s="212">
        <v>22.120241374313526</v>
      </c>
      <c r="I199" s="212">
        <v>22.498674546687347</v>
      </c>
      <c r="J199" s="212">
        <v>0</v>
      </c>
      <c r="K199" s="212">
        <v>0</v>
      </c>
      <c r="L199" s="212">
        <v>0</v>
      </c>
      <c r="M199" s="180">
        <f t="shared" si="3"/>
        <v>49.342754708246716</v>
      </c>
    </row>
    <row r="200" spans="1:13">
      <c r="A200" s="2" t="s">
        <v>98</v>
      </c>
      <c r="B200" s="2" t="s">
        <v>172</v>
      </c>
      <c r="C200" s="2" t="s">
        <v>173</v>
      </c>
      <c r="D200" s="2" t="s">
        <v>78</v>
      </c>
      <c r="E200" s="2" t="s">
        <v>72</v>
      </c>
      <c r="F200" s="212">
        <v>0</v>
      </c>
      <c r="G200" s="212">
        <v>0</v>
      </c>
      <c r="H200" s="212">
        <v>0</v>
      </c>
      <c r="I200" s="212">
        <v>0</v>
      </c>
      <c r="J200" s="212">
        <v>0</v>
      </c>
      <c r="K200" s="212">
        <v>0</v>
      </c>
      <c r="L200" s="212">
        <v>0</v>
      </c>
      <c r="M200" s="180">
        <f t="shared" si="3"/>
        <v>0</v>
      </c>
    </row>
    <row r="201" spans="1:13">
      <c r="A201" s="2" t="s">
        <v>98</v>
      </c>
      <c r="B201" s="2" t="s">
        <v>174</v>
      </c>
      <c r="C201" s="2" t="s">
        <v>175</v>
      </c>
      <c r="D201" s="2" t="s">
        <v>78</v>
      </c>
      <c r="E201" s="2" t="s">
        <v>72</v>
      </c>
      <c r="F201" s="212">
        <v>0</v>
      </c>
      <c r="G201" s="212">
        <v>0</v>
      </c>
      <c r="H201" s="212">
        <v>0</v>
      </c>
      <c r="I201" s="212">
        <v>0</v>
      </c>
      <c r="J201" s="212">
        <v>0</v>
      </c>
      <c r="K201" s="212">
        <v>0</v>
      </c>
      <c r="L201" s="212">
        <v>0</v>
      </c>
      <c r="M201" s="180">
        <f t="shared" si="3"/>
        <v>0</v>
      </c>
    </row>
    <row r="202" spans="1:13">
      <c r="A202" s="2" t="s">
        <v>98</v>
      </c>
      <c r="B202" s="2" t="s">
        <v>176</v>
      </c>
      <c r="C202" s="2" t="s">
        <v>177</v>
      </c>
      <c r="D202" s="2" t="s">
        <v>78</v>
      </c>
      <c r="E202" s="2" t="s">
        <v>72</v>
      </c>
      <c r="F202" s="212">
        <v>0</v>
      </c>
      <c r="G202" s="212">
        <v>0</v>
      </c>
      <c r="H202" s="212">
        <v>0</v>
      </c>
      <c r="I202" s="212">
        <v>0</v>
      </c>
      <c r="J202" s="212">
        <v>0</v>
      </c>
      <c r="K202" s="212">
        <v>0</v>
      </c>
      <c r="L202" s="212">
        <v>0</v>
      </c>
      <c r="M202" s="180">
        <f t="shared" si="3"/>
        <v>0</v>
      </c>
    </row>
    <row r="203" spans="1:13">
      <c r="A203" s="2" t="s">
        <v>98</v>
      </c>
      <c r="B203" s="2" t="s">
        <v>178</v>
      </c>
      <c r="C203" s="2" t="s">
        <v>179</v>
      </c>
      <c r="D203" s="2" t="s">
        <v>78</v>
      </c>
      <c r="E203" s="2" t="s">
        <v>72</v>
      </c>
      <c r="F203" s="212">
        <v>0</v>
      </c>
      <c r="G203" s="212">
        <v>0</v>
      </c>
      <c r="H203" s="212">
        <v>0</v>
      </c>
      <c r="I203" s="212">
        <v>0</v>
      </c>
      <c r="J203" s="212">
        <v>0</v>
      </c>
      <c r="K203" s="212">
        <v>0</v>
      </c>
      <c r="L203" s="212">
        <v>0</v>
      </c>
      <c r="M203" s="180">
        <f t="shared" si="3"/>
        <v>0</v>
      </c>
    </row>
    <row r="204" spans="1:13">
      <c r="A204" s="2" t="s">
        <v>98</v>
      </c>
      <c r="B204" s="2" t="s">
        <v>180</v>
      </c>
      <c r="C204" s="2" t="s">
        <v>181</v>
      </c>
      <c r="D204" s="2" t="s">
        <v>78</v>
      </c>
      <c r="E204" s="2" t="s">
        <v>72</v>
      </c>
      <c r="F204" s="212">
        <v>0</v>
      </c>
      <c r="G204" s="212">
        <v>0</v>
      </c>
      <c r="H204" s="212">
        <v>0</v>
      </c>
      <c r="I204" s="212">
        <v>0</v>
      </c>
      <c r="J204" s="212">
        <v>0</v>
      </c>
      <c r="K204" s="212">
        <v>0</v>
      </c>
      <c r="L204" s="212">
        <v>0</v>
      </c>
      <c r="M204" s="180">
        <f t="shared" si="3"/>
        <v>0</v>
      </c>
    </row>
    <row r="205" spans="1:13">
      <c r="A205" s="2" t="s">
        <v>98</v>
      </c>
      <c r="B205" s="2" t="s">
        <v>182</v>
      </c>
      <c r="C205" s="2" t="s">
        <v>183</v>
      </c>
      <c r="D205" s="2" t="s">
        <v>78</v>
      </c>
      <c r="E205" s="2" t="s">
        <v>72</v>
      </c>
      <c r="F205" s="212">
        <v>0</v>
      </c>
      <c r="G205" s="212">
        <v>0</v>
      </c>
      <c r="H205" s="212">
        <v>0</v>
      </c>
      <c r="I205" s="212">
        <v>0</v>
      </c>
      <c r="J205" s="212">
        <v>0</v>
      </c>
      <c r="K205" s="212">
        <v>0</v>
      </c>
      <c r="L205" s="212">
        <v>0</v>
      </c>
      <c r="M205" s="180">
        <f t="shared" si="3"/>
        <v>0</v>
      </c>
    </row>
    <row r="206" spans="1:13">
      <c r="A206" s="2" t="s">
        <v>98</v>
      </c>
      <c r="B206" s="2" t="s">
        <v>184</v>
      </c>
      <c r="C206" s="2" t="s">
        <v>185</v>
      </c>
      <c r="D206" s="2" t="s">
        <v>78</v>
      </c>
      <c r="E206" s="2" t="s">
        <v>72</v>
      </c>
      <c r="F206" s="212">
        <v>0</v>
      </c>
      <c r="G206" s="212">
        <v>0</v>
      </c>
      <c r="H206" s="212">
        <v>3.2194557791539129</v>
      </c>
      <c r="I206" s="212">
        <v>3.3236801482929383</v>
      </c>
      <c r="J206" s="212">
        <v>3.4254455325760622</v>
      </c>
      <c r="K206" s="212">
        <v>3.5232779077258538</v>
      </c>
      <c r="L206" s="212">
        <v>3.6238892581663005</v>
      </c>
      <c r="M206" s="180">
        <f t="shared" si="3"/>
        <v>17.115748625915067</v>
      </c>
    </row>
    <row r="207" spans="1:13">
      <c r="A207" s="2" t="s">
        <v>98</v>
      </c>
      <c r="B207" s="2" t="s">
        <v>186</v>
      </c>
      <c r="C207" s="2" t="s">
        <v>187</v>
      </c>
      <c r="D207" s="2" t="s">
        <v>78</v>
      </c>
      <c r="E207" s="2" t="s">
        <v>72</v>
      </c>
      <c r="F207" s="212">
        <v>0</v>
      </c>
      <c r="G207" s="212">
        <v>0</v>
      </c>
      <c r="H207" s="212">
        <v>0</v>
      </c>
      <c r="I207" s="212">
        <v>0</v>
      </c>
      <c r="J207" s="212">
        <v>0</v>
      </c>
      <c r="K207" s="212">
        <v>0</v>
      </c>
      <c r="L207" s="212">
        <v>0</v>
      </c>
      <c r="M207" s="180">
        <f t="shared" si="3"/>
        <v>0</v>
      </c>
    </row>
    <row r="208" spans="1:13">
      <c r="A208" s="2" t="s">
        <v>98</v>
      </c>
      <c r="B208" s="2" t="s">
        <v>188</v>
      </c>
      <c r="C208" s="2" t="s">
        <v>189</v>
      </c>
      <c r="D208" s="2" t="s">
        <v>78</v>
      </c>
      <c r="E208" s="2" t="s">
        <v>72</v>
      </c>
      <c r="F208" s="212">
        <v>0</v>
      </c>
      <c r="G208" s="212">
        <v>4.0279037535470295</v>
      </c>
      <c r="H208" s="212">
        <v>27.969073254744877</v>
      </c>
      <c r="I208" s="212">
        <v>-0.16715438560697032</v>
      </c>
      <c r="J208" s="212">
        <v>-0.16706030481606873</v>
      </c>
      <c r="K208" s="212">
        <v>-0.16678216458303935</v>
      </c>
      <c r="L208" s="212">
        <v>-0.16664441816836909</v>
      </c>
      <c r="M208" s="180">
        <f t="shared" si="3"/>
        <v>31.329335735117457</v>
      </c>
    </row>
    <row r="209" spans="1:13">
      <c r="A209" s="2" t="s">
        <v>98</v>
      </c>
      <c r="B209" s="2" t="s">
        <v>190</v>
      </c>
      <c r="C209" s="2" t="s">
        <v>191</v>
      </c>
      <c r="D209" s="2" t="s">
        <v>78</v>
      </c>
      <c r="E209" s="2" t="s">
        <v>72</v>
      </c>
      <c r="F209" s="212">
        <v>0</v>
      </c>
      <c r="G209" s="212">
        <v>0</v>
      </c>
      <c r="H209" s="212">
        <v>14.69866300057207</v>
      </c>
      <c r="I209" s="212">
        <v>49.750830844386307</v>
      </c>
      <c r="J209" s="212">
        <v>44.889501632809299</v>
      </c>
      <c r="K209" s="212">
        <v>38.086786691444509</v>
      </c>
      <c r="L209" s="212">
        <v>35.577014183087833</v>
      </c>
      <c r="M209" s="180">
        <f t="shared" si="3"/>
        <v>183.00279635230004</v>
      </c>
    </row>
    <row r="210" spans="1:13">
      <c r="A210" s="2" t="s">
        <v>98</v>
      </c>
      <c r="B210" s="2" t="s">
        <v>192</v>
      </c>
      <c r="C210" s="2" t="s">
        <v>193</v>
      </c>
      <c r="D210" s="2" t="s">
        <v>78</v>
      </c>
      <c r="E210" s="2" t="s">
        <v>72</v>
      </c>
      <c r="F210" s="212">
        <v>0</v>
      </c>
      <c r="G210" s="212">
        <v>0</v>
      </c>
      <c r="H210" s="212">
        <v>0</v>
      </c>
      <c r="I210" s="212">
        <v>0</v>
      </c>
      <c r="J210" s="212">
        <v>0</v>
      </c>
      <c r="K210" s="212">
        <v>0</v>
      </c>
      <c r="L210" s="212">
        <v>0</v>
      </c>
      <c r="M210" s="180">
        <f t="shared" si="3"/>
        <v>0</v>
      </c>
    </row>
    <row r="211" spans="1:13">
      <c r="A211" s="2" t="s">
        <v>98</v>
      </c>
      <c r="B211" s="2" t="s">
        <v>194</v>
      </c>
      <c r="C211" s="2" t="s">
        <v>195</v>
      </c>
      <c r="D211" s="2" t="s">
        <v>78</v>
      </c>
      <c r="E211" s="2" t="s">
        <v>72</v>
      </c>
      <c r="F211" s="212">
        <v>17.576190151705969</v>
      </c>
      <c r="G211" s="212">
        <v>29.624207072858116</v>
      </c>
      <c r="H211" s="212">
        <v>203.32894012287099</v>
      </c>
      <c r="I211" s="212">
        <v>215.07087858464351</v>
      </c>
      <c r="J211" s="212">
        <v>146.30046070039401</v>
      </c>
      <c r="K211" s="212">
        <v>60.23870596773984</v>
      </c>
      <c r="L211" s="212">
        <v>18.604319075218637</v>
      </c>
      <c r="M211" s="180">
        <f t="shared" si="3"/>
        <v>690.74370167543111</v>
      </c>
    </row>
    <row r="212" spans="1:13">
      <c r="A212" s="2" t="s">
        <v>98</v>
      </c>
      <c r="B212" s="2" t="s">
        <v>196</v>
      </c>
      <c r="C212" s="2" t="s">
        <v>197</v>
      </c>
      <c r="D212" s="2" t="s">
        <v>78</v>
      </c>
      <c r="E212" s="2" t="s">
        <v>72</v>
      </c>
      <c r="F212" s="212">
        <v>0</v>
      </c>
      <c r="G212" s="212">
        <v>0</v>
      </c>
      <c r="H212" s="212">
        <v>4.6761204809857091</v>
      </c>
      <c r="I212" s="212">
        <v>4.6797237841333565</v>
      </c>
      <c r="J212" s="212">
        <v>4.6793279694005907</v>
      </c>
      <c r="K212" s="212">
        <v>4.673051804113399</v>
      </c>
      <c r="L212" s="212">
        <v>4.6712547567166425</v>
      </c>
      <c r="M212" s="180">
        <f t="shared" si="3"/>
        <v>23.379478795349698</v>
      </c>
    </row>
    <row r="213" spans="1:13">
      <c r="A213" s="2" t="s">
        <v>98</v>
      </c>
      <c r="B213" s="2" t="s">
        <v>198</v>
      </c>
      <c r="C213" s="2" t="s">
        <v>199</v>
      </c>
      <c r="D213" s="2" t="s">
        <v>78</v>
      </c>
      <c r="E213" s="2" t="s">
        <v>72</v>
      </c>
      <c r="F213" s="212">
        <v>0</v>
      </c>
      <c r="G213" s="212">
        <v>0</v>
      </c>
      <c r="H213" s="212">
        <v>0</v>
      </c>
      <c r="I213" s="212">
        <v>0</v>
      </c>
      <c r="J213" s="212">
        <v>0</v>
      </c>
      <c r="K213" s="212">
        <v>0</v>
      </c>
      <c r="L213" s="212">
        <v>0</v>
      </c>
      <c r="M213" s="180">
        <f t="shared" si="3"/>
        <v>0</v>
      </c>
    </row>
    <row r="214" spans="1:13">
      <c r="A214" s="2" t="s">
        <v>98</v>
      </c>
      <c r="B214" s="2" t="s">
        <v>200</v>
      </c>
      <c r="C214" s="2" t="s">
        <v>201</v>
      </c>
      <c r="D214" s="2" t="s">
        <v>78</v>
      </c>
      <c r="E214" s="2" t="s">
        <v>72</v>
      </c>
      <c r="F214" s="212">
        <v>0</v>
      </c>
      <c r="G214" s="212">
        <v>0</v>
      </c>
      <c r="H214" s="212">
        <v>3.0451918963768381</v>
      </c>
      <c r="I214" s="212">
        <v>4.5746737427856647</v>
      </c>
      <c r="J214" s="212">
        <v>4.572608597485198</v>
      </c>
      <c r="K214" s="212">
        <v>9.1426119294801431</v>
      </c>
      <c r="L214" s="212">
        <v>9.1397699174627096</v>
      </c>
      <c r="M214" s="180">
        <f t="shared" si="3"/>
        <v>30.474856083590552</v>
      </c>
    </row>
    <row r="215" spans="1:13">
      <c r="A215" s="2" t="s">
        <v>98</v>
      </c>
      <c r="B215" s="2" t="s">
        <v>202</v>
      </c>
      <c r="C215" s="2" t="s">
        <v>203</v>
      </c>
      <c r="D215" s="2" t="s">
        <v>78</v>
      </c>
      <c r="E215" s="2" t="s">
        <v>72</v>
      </c>
      <c r="F215" s="212">
        <v>0</v>
      </c>
      <c r="G215" s="212">
        <v>0</v>
      </c>
      <c r="H215" s="212">
        <v>0</v>
      </c>
      <c r="I215" s="212">
        <v>0</v>
      </c>
      <c r="J215" s="212">
        <v>0</v>
      </c>
      <c r="K215" s="212">
        <v>0</v>
      </c>
      <c r="L215" s="212">
        <v>0</v>
      </c>
      <c r="M215" s="180">
        <f t="shared" si="3"/>
        <v>0</v>
      </c>
    </row>
    <row r="216" spans="1:13">
      <c r="A216" s="2" t="s">
        <v>98</v>
      </c>
      <c r="B216" s="2" t="s">
        <v>204</v>
      </c>
      <c r="C216" s="2" t="s">
        <v>205</v>
      </c>
      <c r="D216" s="2" t="s">
        <v>78</v>
      </c>
      <c r="E216" s="2" t="s">
        <v>72</v>
      </c>
      <c r="F216" s="212">
        <v>0</v>
      </c>
      <c r="G216" s="212">
        <v>1.903192586691614</v>
      </c>
      <c r="H216" s="212">
        <v>1.1676501327095978</v>
      </c>
      <c r="I216" s="212">
        <v>2.9010865537956088</v>
      </c>
      <c r="J216" s="212">
        <v>2.8480785098910961</v>
      </c>
      <c r="K216" s="212">
        <v>2.1121719078682268</v>
      </c>
      <c r="L216" s="212">
        <v>2.0447882958583183</v>
      </c>
      <c r="M216" s="180">
        <f t="shared" si="3"/>
        <v>12.976967986814461</v>
      </c>
    </row>
    <row r="217" spans="1:13">
      <c r="A217" s="2" t="s">
        <v>98</v>
      </c>
      <c r="B217" s="2" t="s">
        <v>206</v>
      </c>
      <c r="C217" s="2" t="s">
        <v>207</v>
      </c>
      <c r="D217" s="2" t="s">
        <v>78</v>
      </c>
      <c r="E217" s="2" t="s">
        <v>72</v>
      </c>
      <c r="F217" s="212">
        <v>0</v>
      </c>
      <c r="G217" s="212">
        <v>0</v>
      </c>
      <c r="H217" s="212">
        <v>41.088369655702436</v>
      </c>
      <c r="I217" s="212">
        <v>71.633415006211052</v>
      </c>
      <c r="J217" s="212">
        <v>54.868753594255416</v>
      </c>
      <c r="K217" s="212">
        <v>59.179217977388198</v>
      </c>
      <c r="L217" s="212">
        <v>61.618143371888891</v>
      </c>
      <c r="M217" s="180">
        <f t="shared" si="3"/>
        <v>288.38789960544602</v>
      </c>
    </row>
    <row r="218" spans="1:13">
      <c r="A218" s="2" t="s">
        <v>98</v>
      </c>
      <c r="B218" s="2" t="s">
        <v>208</v>
      </c>
      <c r="C218" s="2" t="s">
        <v>209</v>
      </c>
      <c r="D218" s="2" t="s">
        <v>78</v>
      </c>
      <c r="E218" s="2" t="s">
        <v>72</v>
      </c>
      <c r="F218" s="212">
        <v>0</v>
      </c>
      <c r="G218" s="212">
        <v>7.5726253236969906E-3</v>
      </c>
      <c r="H218" s="212">
        <v>0.20734670048375853</v>
      </c>
      <c r="I218" s="212">
        <v>0.3199892467310062</v>
      </c>
      <c r="J218" s="212">
        <v>5.5885911640394373E-2</v>
      </c>
      <c r="K218" s="212">
        <v>8.7107906090438475E-2</v>
      </c>
      <c r="L218" s="212">
        <v>8.8324140827855432E-2</v>
      </c>
      <c r="M218" s="180">
        <f t="shared" si="3"/>
        <v>0.76622653109715</v>
      </c>
    </row>
    <row r="219" spans="1:13">
      <c r="A219" s="2" t="s">
        <v>98</v>
      </c>
      <c r="B219" s="2" t="s">
        <v>210</v>
      </c>
      <c r="C219" s="2" t="s">
        <v>211</v>
      </c>
      <c r="D219" s="2" t="s">
        <v>78</v>
      </c>
      <c r="E219" s="2" t="s">
        <v>72</v>
      </c>
      <c r="F219" s="212">
        <v>0</v>
      </c>
      <c r="G219" s="212">
        <v>0</v>
      </c>
      <c r="H219" s="212">
        <v>77.018822607903957</v>
      </c>
      <c r="I219" s="212">
        <v>116.83459367798849</v>
      </c>
      <c r="J219" s="212">
        <v>16.429703426565979</v>
      </c>
      <c r="K219" s="212">
        <v>29.382613818089649</v>
      </c>
      <c r="L219" s="212">
        <v>29.376860763556426</v>
      </c>
      <c r="M219" s="180">
        <f t="shared" si="3"/>
        <v>269.0425942941045</v>
      </c>
    </row>
    <row r="220" spans="1:13">
      <c r="A220" s="2" t="s">
        <v>99</v>
      </c>
      <c r="B220" s="2" t="s">
        <v>126</v>
      </c>
      <c r="C220" s="2" t="s">
        <v>127</v>
      </c>
      <c r="D220" s="2" t="s">
        <v>78</v>
      </c>
      <c r="E220" s="2" t="s">
        <v>72</v>
      </c>
      <c r="F220" s="212">
        <v>0.12509812423909708</v>
      </c>
      <c r="G220" s="212">
        <v>93.080914078793171</v>
      </c>
      <c r="H220" s="212">
        <v>215.40604296837205</v>
      </c>
      <c r="I220" s="212">
        <v>234.94815942875411</v>
      </c>
      <c r="J220" s="212">
        <v>211.72758016083591</v>
      </c>
      <c r="K220" s="212">
        <v>219.98043770088822</v>
      </c>
      <c r="L220" s="212">
        <v>148.65369168873443</v>
      </c>
      <c r="M220" s="180">
        <f t="shared" si="3"/>
        <v>1123.9219241506171</v>
      </c>
    </row>
    <row r="221" spans="1:13">
      <c r="A221" s="2" t="s">
        <v>99</v>
      </c>
      <c r="B221" s="2" t="s">
        <v>128</v>
      </c>
      <c r="C221" s="2" t="s">
        <v>129</v>
      </c>
      <c r="D221" s="2" t="s">
        <v>78</v>
      </c>
      <c r="E221" s="2" t="s">
        <v>72</v>
      </c>
      <c r="F221" s="212">
        <v>0</v>
      </c>
      <c r="G221" s="212">
        <v>0</v>
      </c>
      <c r="H221" s="212">
        <v>0.31964663796657666</v>
      </c>
      <c r="I221" s="212">
        <v>0.31795695780699684</v>
      </c>
      <c r="J221" s="212">
        <v>0.15897231938262085</v>
      </c>
      <c r="K221" s="212">
        <v>0.157798289223333</v>
      </c>
      <c r="L221" s="212">
        <v>0.1567829769293195</v>
      </c>
      <c r="M221" s="180">
        <f t="shared" si="3"/>
        <v>1.1111571813088468</v>
      </c>
    </row>
    <row r="222" spans="1:13">
      <c r="A222" s="2" t="s">
        <v>99</v>
      </c>
      <c r="B222" s="2" t="s">
        <v>130</v>
      </c>
      <c r="C222" s="2" t="s">
        <v>131</v>
      </c>
      <c r="D222" s="2" t="s">
        <v>78</v>
      </c>
      <c r="E222" s="2" t="s">
        <v>72</v>
      </c>
      <c r="F222" s="212">
        <v>0</v>
      </c>
      <c r="G222" s="212">
        <v>0</v>
      </c>
      <c r="H222" s="212">
        <v>6.9863896146007063</v>
      </c>
      <c r="I222" s="212">
        <v>6.0352120081975054</v>
      </c>
      <c r="J222" s="212">
        <v>5.2873276956525793E-2</v>
      </c>
      <c r="K222" s="212">
        <v>5.2482801293791466E-2</v>
      </c>
      <c r="L222" s="212">
        <v>5.2145114278044184E-2</v>
      </c>
      <c r="M222" s="180">
        <f t="shared" si="3"/>
        <v>13.179102815326573</v>
      </c>
    </row>
    <row r="223" spans="1:13">
      <c r="A223" s="2" t="s">
        <v>99</v>
      </c>
      <c r="B223" s="2" t="s">
        <v>132</v>
      </c>
      <c r="C223" s="2" t="s">
        <v>133</v>
      </c>
      <c r="D223" s="2" t="s">
        <v>78</v>
      </c>
      <c r="E223" s="2" t="s">
        <v>72</v>
      </c>
      <c r="F223" s="212">
        <v>0</v>
      </c>
      <c r="G223" s="212">
        <v>0</v>
      </c>
      <c r="H223" s="212">
        <v>10.822051042708358</v>
      </c>
      <c r="I223" s="212">
        <v>10.764844731861013</v>
      </c>
      <c r="J223" s="212">
        <v>10.698790900750273</v>
      </c>
      <c r="K223" s="212">
        <v>10.619779012176364</v>
      </c>
      <c r="L223" s="212">
        <v>10.422772585061812</v>
      </c>
      <c r="M223" s="180">
        <f t="shared" si="3"/>
        <v>53.328238272557826</v>
      </c>
    </row>
    <row r="224" spans="1:13">
      <c r="A224" s="2" t="s">
        <v>99</v>
      </c>
      <c r="B224" s="2" t="s">
        <v>134</v>
      </c>
      <c r="C224" s="2" t="s">
        <v>135</v>
      </c>
      <c r="D224" s="2" t="s">
        <v>78</v>
      </c>
      <c r="E224" s="2" t="s">
        <v>72</v>
      </c>
      <c r="F224" s="212">
        <v>0</v>
      </c>
      <c r="G224" s="212">
        <v>0</v>
      </c>
      <c r="H224" s="212">
        <v>2.0002427651896211</v>
      </c>
      <c r="I224" s="212">
        <v>1.9896693065223117</v>
      </c>
      <c r="J224" s="212">
        <v>1.9774605581740641</v>
      </c>
      <c r="K224" s="212">
        <v>1.9628567683878007</v>
      </c>
      <c r="L224" s="212">
        <v>1.9502272739988524</v>
      </c>
      <c r="M224" s="180">
        <f t="shared" si="3"/>
        <v>9.8804566722726506</v>
      </c>
    </row>
    <row r="225" spans="1:13">
      <c r="A225" s="2" t="s">
        <v>99</v>
      </c>
      <c r="B225" s="2" t="s">
        <v>136</v>
      </c>
      <c r="C225" s="2" t="s">
        <v>137</v>
      </c>
      <c r="D225" s="2" t="s">
        <v>78</v>
      </c>
      <c r="E225" s="2" t="s">
        <v>72</v>
      </c>
      <c r="F225" s="212">
        <v>0</v>
      </c>
      <c r="G225" s="212">
        <v>0</v>
      </c>
      <c r="H225" s="212">
        <v>0</v>
      </c>
      <c r="I225" s="212">
        <v>0</v>
      </c>
      <c r="J225" s="212">
        <v>0</v>
      </c>
      <c r="K225" s="212">
        <v>0</v>
      </c>
      <c r="L225" s="212">
        <v>0</v>
      </c>
      <c r="M225" s="180">
        <f t="shared" si="3"/>
        <v>0</v>
      </c>
    </row>
    <row r="226" spans="1:13">
      <c r="A226" s="2" t="s">
        <v>99</v>
      </c>
      <c r="B226" s="2" t="s">
        <v>138</v>
      </c>
      <c r="C226" s="2" t="s">
        <v>139</v>
      </c>
      <c r="D226" s="2" t="s">
        <v>78</v>
      </c>
      <c r="E226" s="2" t="s">
        <v>72</v>
      </c>
      <c r="F226" s="212">
        <v>0.12509812423909708</v>
      </c>
      <c r="G226" s="212">
        <v>82.283468031023688</v>
      </c>
      <c r="H226" s="212">
        <v>118.07482916443055</v>
      </c>
      <c r="I226" s="212">
        <v>122.88270130838355</v>
      </c>
      <c r="J226" s="212">
        <v>121.19763086401296</v>
      </c>
      <c r="K226" s="212">
        <v>154.92375987432877</v>
      </c>
      <c r="L226" s="212">
        <v>95.367089688566878</v>
      </c>
      <c r="M226" s="180">
        <f t="shared" si="3"/>
        <v>694.85457705498561</v>
      </c>
    </row>
    <row r="227" spans="1:13">
      <c r="A227" s="2" t="s">
        <v>99</v>
      </c>
      <c r="B227" s="2" t="s">
        <v>140</v>
      </c>
      <c r="C227" s="2" t="s">
        <v>141</v>
      </c>
      <c r="D227" s="2" t="s">
        <v>78</v>
      </c>
      <c r="E227" s="2" t="s">
        <v>72</v>
      </c>
      <c r="F227" s="212">
        <v>0</v>
      </c>
      <c r="G227" s="212">
        <v>0</v>
      </c>
      <c r="H227" s="212">
        <v>7.6469697532625611</v>
      </c>
      <c r="I227" s="212">
        <v>6.8116127806001874</v>
      </c>
      <c r="J227" s="212">
        <v>0.13020760112355823</v>
      </c>
      <c r="K227" s="212">
        <v>0.12924600195156871</v>
      </c>
      <c r="L227" s="212">
        <v>0.12841440196794787</v>
      </c>
      <c r="M227" s="180">
        <f t="shared" si="3"/>
        <v>14.846450538905824</v>
      </c>
    </row>
    <row r="228" spans="1:13">
      <c r="A228" s="2" t="s">
        <v>99</v>
      </c>
      <c r="B228" s="2" t="s">
        <v>142</v>
      </c>
      <c r="C228" s="2" t="s">
        <v>143</v>
      </c>
      <c r="D228" s="2" t="s">
        <v>78</v>
      </c>
      <c r="E228" s="2" t="s">
        <v>72</v>
      </c>
      <c r="F228" s="212">
        <v>0</v>
      </c>
      <c r="G228" s="212">
        <v>0</v>
      </c>
      <c r="H228" s="212">
        <v>0.56453672814323819</v>
      </c>
      <c r="I228" s="212">
        <v>0.6620408863057009</v>
      </c>
      <c r="J228" s="212">
        <v>0.69126913946865187</v>
      </c>
      <c r="K228" s="212">
        <v>0.16522363370267684</v>
      </c>
      <c r="L228" s="212">
        <v>6.566421797975934E-2</v>
      </c>
      <c r="M228" s="180">
        <f t="shared" si="3"/>
        <v>2.1487346056000272</v>
      </c>
    </row>
    <row r="229" spans="1:13">
      <c r="A229" s="2" t="s">
        <v>99</v>
      </c>
      <c r="B229" s="2" t="s">
        <v>144</v>
      </c>
      <c r="C229" s="2" t="s">
        <v>145</v>
      </c>
      <c r="D229" s="2" t="s">
        <v>78</v>
      </c>
      <c r="E229" s="2" t="s">
        <v>72</v>
      </c>
      <c r="F229" s="212">
        <v>0</v>
      </c>
      <c r="G229" s="212">
        <v>0</v>
      </c>
      <c r="H229" s="212">
        <v>0</v>
      </c>
      <c r="I229" s="212">
        <v>0</v>
      </c>
      <c r="J229" s="212">
        <v>0</v>
      </c>
      <c r="K229" s="212">
        <v>0</v>
      </c>
      <c r="L229" s="212">
        <v>0</v>
      </c>
      <c r="M229" s="180">
        <f t="shared" si="3"/>
        <v>0</v>
      </c>
    </row>
    <row r="230" spans="1:13">
      <c r="A230" s="2" t="s">
        <v>99</v>
      </c>
      <c r="B230" s="2" t="s">
        <v>146</v>
      </c>
      <c r="C230" s="2" t="s">
        <v>147</v>
      </c>
      <c r="D230" s="2" t="s">
        <v>78</v>
      </c>
      <c r="E230" s="2" t="s">
        <v>72</v>
      </c>
      <c r="F230" s="212">
        <v>0</v>
      </c>
      <c r="G230" s="212">
        <v>0</v>
      </c>
      <c r="H230" s="212">
        <v>0.64027378709256</v>
      </c>
      <c r="I230" s="212">
        <v>0.63688924370542621</v>
      </c>
      <c r="J230" s="212">
        <v>0.63298124729787442</v>
      </c>
      <c r="K230" s="212">
        <v>0</v>
      </c>
      <c r="L230" s="212">
        <v>0</v>
      </c>
      <c r="M230" s="180">
        <f t="shared" si="3"/>
        <v>1.9101442780958606</v>
      </c>
    </row>
    <row r="231" spans="1:13">
      <c r="A231" s="2" t="s">
        <v>99</v>
      </c>
      <c r="B231" s="2" t="s">
        <v>148</v>
      </c>
      <c r="C231" s="2" t="s">
        <v>149</v>
      </c>
      <c r="D231" s="2" t="s">
        <v>78</v>
      </c>
      <c r="E231" s="2" t="s">
        <v>72</v>
      </c>
      <c r="F231" s="212">
        <v>0</v>
      </c>
      <c r="G231" s="212">
        <v>10.79744604776948</v>
      </c>
      <c r="H231" s="212">
        <v>34.609972729982026</v>
      </c>
      <c r="I231" s="212">
        <v>30.624915767047643</v>
      </c>
      <c r="J231" s="212">
        <v>22.451283843329335</v>
      </c>
      <c r="K231" s="212">
        <v>6.913969058217492</v>
      </c>
      <c r="L231" s="212">
        <v>3.694391019314089</v>
      </c>
      <c r="M231" s="180">
        <f t="shared" si="3"/>
        <v>109.09197846566005</v>
      </c>
    </row>
    <row r="232" spans="1:13">
      <c r="A232" s="2" t="s">
        <v>99</v>
      </c>
      <c r="B232" s="2" t="s">
        <v>150</v>
      </c>
      <c r="C232" s="2" t="s">
        <v>151</v>
      </c>
      <c r="D232" s="2" t="s">
        <v>78</v>
      </c>
      <c r="E232" s="2" t="s">
        <v>72</v>
      </c>
      <c r="F232" s="212">
        <v>0</v>
      </c>
      <c r="G232" s="212">
        <v>0</v>
      </c>
      <c r="H232" s="212">
        <v>1.5679264812694043</v>
      </c>
      <c r="I232" s="212">
        <v>8.977451750685562</v>
      </c>
      <c r="J232" s="212">
        <v>10.057378498413811</v>
      </c>
      <c r="K232" s="212">
        <v>8.8564727183273071</v>
      </c>
      <c r="L232" s="212">
        <v>7.1603932756134334</v>
      </c>
      <c r="M232" s="180">
        <f t="shared" si="3"/>
        <v>36.619622724309522</v>
      </c>
    </row>
    <row r="233" spans="1:13">
      <c r="A233" s="2" t="s">
        <v>99</v>
      </c>
      <c r="B233" s="2" t="s">
        <v>152</v>
      </c>
      <c r="C233" s="2" t="s">
        <v>153</v>
      </c>
      <c r="D233" s="2" t="s">
        <v>78</v>
      </c>
      <c r="E233" s="2" t="s">
        <v>72</v>
      </c>
      <c r="F233" s="212">
        <v>0</v>
      </c>
      <c r="G233" s="212">
        <v>0</v>
      </c>
      <c r="H233" s="212">
        <v>2.7880677103786365E-3</v>
      </c>
      <c r="I233" s="212">
        <v>9.3285568019890555</v>
      </c>
      <c r="J233" s="212">
        <v>10.559432793080735</v>
      </c>
      <c r="K233" s="212">
        <v>9.201934335707298</v>
      </c>
      <c r="L233" s="212">
        <v>7.872349953631427</v>
      </c>
      <c r="M233" s="180">
        <f t="shared" si="3"/>
        <v>36.965061952118894</v>
      </c>
    </row>
    <row r="234" spans="1:13">
      <c r="A234" s="2" t="s">
        <v>99</v>
      </c>
      <c r="B234" s="2" t="s">
        <v>154</v>
      </c>
      <c r="C234" s="2" t="s">
        <v>155</v>
      </c>
      <c r="D234" s="2" t="s">
        <v>78</v>
      </c>
      <c r="E234" s="2" t="s">
        <v>72</v>
      </c>
      <c r="F234" s="212">
        <v>0</v>
      </c>
      <c r="G234" s="212">
        <v>0</v>
      </c>
      <c r="H234" s="212">
        <v>0</v>
      </c>
      <c r="I234" s="212">
        <v>0</v>
      </c>
      <c r="J234" s="212">
        <v>0</v>
      </c>
      <c r="K234" s="212">
        <v>0</v>
      </c>
      <c r="L234" s="212">
        <v>0</v>
      </c>
      <c r="M234" s="180">
        <f t="shared" si="3"/>
        <v>0</v>
      </c>
    </row>
    <row r="235" spans="1:13">
      <c r="A235" s="2" t="s">
        <v>99</v>
      </c>
      <c r="B235" s="2" t="s">
        <v>156</v>
      </c>
      <c r="C235" s="2" t="s">
        <v>157</v>
      </c>
      <c r="D235" s="2" t="s">
        <v>78</v>
      </c>
      <c r="E235" s="2" t="s">
        <v>72</v>
      </c>
      <c r="F235" s="212">
        <v>0</v>
      </c>
      <c r="G235" s="212">
        <v>0</v>
      </c>
      <c r="H235" s="212">
        <v>0</v>
      </c>
      <c r="I235" s="212">
        <v>0</v>
      </c>
      <c r="J235" s="212">
        <v>0</v>
      </c>
      <c r="K235" s="212">
        <v>0</v>
      </c>
      <c r="L235" s="212">
        <v>0</v>
      </c>
      <c r="M235" s="180">
        <f t="shared" si="3"/>
        <v>0</v>
      </c>
    </row>
    <row r="236" spans="1:13">
      <c r="A236" s="2" t="s">
        <v>99</v>
      </c>
      <c r="B236" s="2" t="s">
        <v>158</v>
      </c>
      <c r="C236" s="2" t="s">
        <v>159</v>
      </c>
      <c r="D236" s="2" t="s">
        <v>78</v>
      </c>
      <c r="E236" s="2" t="s">
        <v>72</v>
      </c>
      <c r="F236" s="212">
        <v>0</v>
      </c>
      <c r="G236" s="212">
        <v>0</v>
      </c>
      <c r="H236" s="212">
        <v>0</v>
      </c>
      <c r="I236" s="212">
        <v>0</v>
      </c>
      <c r="J236" s="212">
        <v>0</v>
      </c>
      <c r="K236" s="212">
        <v>0</v>
      </c>
      <c r="L236" s="212">
        <v>0</v>
      </c>
      <c r="M236" s="180">
        <f t="shared" si="3"/>
        <v>0</v>
      </c>
    </row>
    <row r="237" spans="1:13">
      <c r="A237" s="2" t="s">
        <v>99</v>
      </c>
      <c r="B237" s="2" t="s">
        <v>160</v>
      </c>
      <c r="C237" s="2" t="s">
        <v>161</v>
      </c>
      <c r="D237" s="2" t="s">
        <v>78</v>
      </c>
      <c r="E237" s="2" t="s">
        <v>72</v>
      </c>
      <c r="F237" s="212">
        <v>0</v>
      </c>
      <c r="G237" s="212">
        <v>0</v>
      </c>
      <c r="H237" s="212">
        <v>0</v>
      </c>
      <c r="I237" s="212">
        <v>0</v>
      </c>
      <c r="J237" s="212">
        <v>0</v>
      </c>
      <c r="K237" s="212">
        <v>0</v>
      </c>
      <c r="L237" s="212">
        <v>0</v>
      </c>
      <c r="M237" s="180">
        <f t="shared" si="3"/>
        <v>0</v>
      </c>
    </row>
    <row r="238" spans="1:13">
      <c r="A238" s="2" t="s">
        <v>99</v>
      </c>
      <c r="B238" s="2" t="s">
        <v>162</v>
      </c>
      <c r="C238" s="2" t="s">
        <v>163</v>
      </c>
      <c r="D238" s="2" t="s">
        <v>78</v>
      </c>
      <c r="E238" s="2" t="s">
        <v>72</v>
      </c>
      <c r="F238" s="212">
        <v>0</v>
      </c>
      <c r="G238" s="212">
        <v>0</v>
      </c>
      <c r="H238" s="212">
        <v>0.73440285839560115</v>
      </c>
      <c r="I238" s="212">
        <v>0.68663097636848425</v>
      </c>
      <c r="J238" s="212">
        <v>1.5267158721196821</v>
      </c>
      <c r="K238" s="212">
        <v>1.506781225144753</v>
      </c>
      <c r="L238" s="212">
        <v>1.8259480849695138</v>
      </c>
      <c r="M238" s="180">
        <f t="shared" si="3"/>
        <v>6.2804790169980338</v>
      </c>
    </row>
    <row r="239" spans="1:13">
      <c r="A239" s="2" t="s">
        <v>99</v>
      </c>
      <c r="B239" s="2" t="s">
        <v>164</v>
      </c>
      <c r="C239" s="2" t="s">
        <v>165</v>
      </c>
      <c r="D239" s="2" t="s">
        <v>78</v>
      </c>
      <c r="E239" s="2" t="s">
        <v>72</v>
      </c>
      <c r="F239" s="212">
        <v>0</v>
      </c>
      <c r="G239" s="212">
        <v>0</v>
      </c>
      <c r="H239" s="212">
        <v>4.5611519481151372</v>
      </c>
      <c r="I239" s="212">
        <v>4.5367533949966576</v>
      </c>
      <c r="J239" s="212">
        <v>4.5088568145959984</v>
      </c>
      <c r="K239" s="212">
        <v>0.28185208102221343</v>
      </c>
      <c r="L239" s="212">
        <v>0.2819698772072019</v>
      </c>
      <c r="M239" s="180">
        <f t="shared" si="3"/>
        <v>14.170584115937206</v>
      </c>
    </row>
    <row r="240" spans="1:13">
      <c r="A240" s="2" t="s">
        <v>99</v>
      </c>
      <c r="B240" s="2" t="s">
        <v>166</v>
      </c>
      <c r="C240" s="2" t="s">
        <v>167</v>
      </c>
      <c r="D240" s="2" t="s">
        <v>78</v>
      </c>
      <c r="E240" s="2" t="s">
        <v>72</v>
      </c>
      <c r="F240" s="212">
        <v>0</v>
      </c>
      <c r="G240" s="212">
        <v>0</v>
      </c>
      <c r="H240" s="212">
        <v>0</v>
      </c>
      <c r="I240" s="212">
        <v>0</v>
      </c>
      <c r="J240" s="212">
        <v>0</v>
      </c>
      <c r="K240" s="212">
        <v>0</v>
      </c>
      <c r="L240" s="212">
        <v>0</v>
      </c>
      <c r="M240" s="180">
        <f t="shared" si="3"/>
        <v>0</v>
      </c>
    </row>
    <row r="241" spans="1:13">
      <c r="A241" s="2" t="s">
        <v>99</v>
      </c>
      <c r="B241" s="2" t="s">
        <v>168</v>
      </c>
      <c r="C241" s="2" t="s">
        <v>169</v>
      </c>
      <c r="D241" s="2" t="s">
        <v>78</v>
      </c>
      <c r="E241" s="2" t="s">
        <v>72</v>
      </c>
      <c r="F241" s="212">
        <v>0</v>
      </c>
      <c r="G241" s="212">
        <v>0</v>
      </c>
      <c r="H241" s="212">
        <v>0</v>
      </c>
      <c r="I241" s="212">
        <v>0</v>
      </c>
      <c r="J241" s="212">
        <v>0</v>
      </c>
      <c r="K241" s="212">
        <v>0</v>
      </c>
      <c r="L241" s="212">
        <v>0</v>
      </c>
      <c r="M241" s="180">
        <f t="shared" si="3"/>
        <v>0</v>
      </c>
    </row>
    <row r="242" spans="1:13">
      <c r="A242" s="2" t="s">
        <v>99</v>
      </c>
      <c r="B242" s="2" t="s">
        <v>170</v>
      </c>
      <c r="C242" s="2" t="s">
        <v>171</v>
      </c>
      <c r="D242" s="2" t="s">
        <v>78</v>
      </c>
      <c r="E242" s="2" t="s">
        <v>72</v>
      </c>
      <c r="F242" s="212">
        <v>0</v>
      </c>
      <c r="G242" s="212">
        <v>0</v>
      </c>
      <c r="H242" s="212">
        <v>3.5392151932489164</v>
      </c>
      <c r="I242" s="212">
        <v>3.5205065913672926</v>
      </c>
      <c r="J242" s="212">
        <v>3.4989045196604747</v>
      </c>
      <c r="K242" s="212">
        <v>2.5345318837840392</v>
      </c>
      <c r="L242" s="212">
        <v>2.5182240936689451</v>
      </c>
      <c r="M242" s="180">
        <f t="shared" si="3"/>
        <v>15.611382281729668</v>
      </c>
    </row>
    <row r="243" spans="1:13">
      <c r="A243" s="2" t="s">
        <v>99</v>
      </c>
      <c r="B243" s="2" t="s">
        <v>172</v>
      </c>
      <c r="C243" s="2" t="s">
        <v>173</v>
      </c>
      <c r="D243" s="2" t="s">
        <v>78</v>
      </c>
      <c r="E243" s="2" t="s">
        <v>72</v>
      </c>
      <c r="F243" s="212">
        <v>0</v>
      </c>
      <c r="G243" s="212">
        <v>0</v>
      </c>
      <c r="H243" s="212">
        <v>0</v>
      </c>
      <c r="I243" s="212">
        <v>0</v>
      </c>
      <c r="J243" s="212">
        <v>0</v>
      </c>
      <c r="K243" s="212">
        <v>0</v>
      </c>
      <c r="L243" s="212">
        <v>0</v>
      </c>
      <c r="M243" s="180">
        <f t="shared" si="3"/>
        <v>0</v>
      </c>
    </row>
    <row r="244" spans="1:13">
      <c r="A244" s="2" t="s">
        <v>99</v>
      </c>
      <c r="B244" s="2" t="s">
        <v>174</v>
      </c>
      <c r="C244" s="2" t="s">
        <v>175</v>
      </c>
      <c r="D244" s="2" t="s">
        <v>78</v>
      </c>
      <c r="E244" s="2" t="s">
        <v>72</v>
      </c>
      <c r="F244" s="212">
        <v>0</v>
      </c>
      <c r="G244" s="212">
        <v>0</v>
      </c>
      <c r="H244" s="212">
        <v>0</v>
      </c>
      <c r="I244" s="212">
        <v>0</v>
      </c>
      <c r="J244" s="212">
        <v>0</v>
      </c>
      <c r="K244" s="212">
        <v>0</v>
      </c>
      <c r="L244" s="212">
        <v>0</v>
      </c>
      <c r="M244" s="180">
        <f t="shared" si="3"/>
        <v>0</v>
      </c>
    </row>
    <row r="245" spans="1:13">
      <c r="A245" s="2" t="s">
        <v>99</v>
      </c>
      <c r="B245" s="2" t="s">
        <v>176</v>
      </c>
      <c r="C245" s="2" t="s">
        <v>177</v>
      </c>
      <c r="D245" s="2" t="s">
        <v>78</v>
      </c>
      <c r="E245" s="2" t="s">
        <v>72</v>
      </c>
      <c r="F245" s="212">
        <v>0</v>
      </c>
      <c r="G245" s="212">
        <v>0</v>
      </c>
      <c r="H245" s="212">
        <v>0</v>
      </c>
      <c r="I245" s="212">
        <v>0</v>
      </c>
      <c r="J245" s="212">
        <v>0</v>
      </c>
      <c r="K245" s="212">
        <v>0</v>
      </c>
      <c r="L245" s="212">
        <v>0</v>
      </c>
      <c r="M245" s="180">
        <f t="shared" si="3"/>
        <v>0</v>
      </c>
    </row>
    <row r="246" spans="1:13">
      <c r="A246" s="2" t="s">
        <v>99</v>
      </c>
      <c r="B246" s="2" t="s">
        <v>178</v>
      </c>
      <c r="C246" s="2" t="s">
        <v>179</v>
      </c>
      <c r="D246" s="2" t="s">
        <v>78</v>
      </c>
      <c r="E246" s="2" t="s">
        <v>72</v>
      </c>
      <c r="F246" s="212">
        <v>0</v>
      </c>
      <c r="G246" s="212">
        <v>0</v>
      </c>
      <c r="H246" s="212">
        <v>0</v>
      </c>
      <c r="I246" s="212">
        <v>0</v>
      </c>
      <c r="J246" s="212">
        <v>0</v>
      </c>
      <c r="K246" s="212">
        <v>0</v>
      </c>
      <c r="L246" s="212">
        <v>0</v>
      </c>
      <c r="M246" s="180">
        <f t="shared" si="3"/>
        <v>0</v>
      </c>
    </row>
    <row r="247" spans="1:13">
      <c r="A247" s="2" t="s">
        <v>99</v>
      </c>
      <c r="B247" s="2" t="s">
        <v>180</v>
      </c>
      <c r="C247" s="2" t="s">
        <v>181</v>
      </c>
      <c r="D247" s="2" t="s">
        <v>78</v>
      </c>
      <c r="E247" s="2" t="s">
        <v>72</v>
      </c>
      <c r="F247" s="212">
        <v>0</v>
      </c>
      <c r="G247" s="212">
        <v>0</v>
      </c>
      <c r="H247" s="212">
        <v>0</v>
      </c>
      <c r="I247" s="212">
        <v>0</v>
      </c>
      <c r="J247" s="212">
        <v>0</v>
      </c>
      <c r="K247" s="212">
        <v>0</v>
      </c>
      <c r="L247" s="212">
        <v>0</v>
      </c>
      <c r="M247" s="180">
        <f t="shared" si="3"/>
        <v>0</v>
      </c>
    </row>
    <row r="248" spans="1:13">
      <c r="A248" s="2" t="s">
        <v>99</v>
      </c>
      <c r="B248" s="2" t="s">
        <v>182</v>
      </c>
      <c r="C248" s="2" t="s">
        <v>183</v>
      </c>
      <c r="D248" s="2" t="s">
        <v>78</v>
      </c>
      <c r="E248" s="2" t="s">
        <v>72</v>
      </c>
      <c r="F248" s="212">
        <v>0</v>
      </c>
      <c r="G248" s="212">
        <v>0</v>
      </c>
      <c r="H248" s="212">
        <v>0</v>
      </c>
      <c r="I248" s="212">
        <v>0</v>
      </c>
      <c r="J248" s="212">
        <v>0</v>
      </c>
      <c r="K248" s="212">
        <v>0</v>
      </c>
      <c r="L248" s="212">
        <v>0</v>
      </c>
      <c r="M248" s="180">
        <f t="shared" si="3"/>
        <v>0</v>
      </c>
    </row>
    <row r="249" spans="1:13">
      <c r="A249" s="2" t="s">
        <v>99</v>
      </c>
      <c r="B249" s="2" t="s">
        <v>184</v>
      </c>
      <c r="C249" s="2" t="s">
        <v>185</v>
      </c>
      <c r="D249" s="2" t="s">
        <v>78</v>
      </c>
      <c r="E249" s="2" t="s">
        <v>72</v>
      </c>
      <c r="F249" s="212">
        <v>0</v>
      </c>
      <c r="G249" s="212">
        <v>0</v>
      </c>
      <c r="H249" s="212">
        <v>1.8299152008485065</v>
      </c>
      <c r="I249" s="212">
        <v>2.458352543576841</v>
      </c>
      <c r="J249" s="212">
        <v>8.1077697220711828E-2</v>
      </c>
      <c r="K249" s="212">
        <v>8.0452846000560199E-2</v>
      </c>
      <c r="L249" s="212">
        <v>7.9899899936103094E-2</v>
      </c>
      <c r="M249" s="180">
        <f t="shared" si="3"/>
        <v>4.5296981875827225</v>
      </c>
    </row>
    <row r="250" spans="1:13">
      <c r="A250" s="2" t="s">
        <v>99</v>
      </c>
      <c r="B250" s="2" t="s">
        <v>186</v>
      </c>
      <c r="C250" s="2" t="s">
        <v>187</v>
      </c>
      <c r="D250" s="2" t="s">
        <v>78</v>
      </c>
      <c r="E250" s="2" t="s">
        <v>72</v>
      </c>
      <c r="F250" s="212">
        <v>0</v>
      </c>
      <c r="G250" s="212">
        <v>0</v>
      </c>
      <c r="H250" s="212">
        <v>0</v>
      </c>
      <c r="I250" s="212">
        <v>0</v>
      </c>
      <c r="J250" s="212">
        <v>0</v>
      </c>
      <c r="K250" s="212">
        <v>0</v>
      </c>
      <c r="L250" s="212">
        <v>0</v>
      </c>
      <c r="M250" s="180">
        <f t="shared" si="3"/>
        <v>0</v>
      </c>
    </row>
    <row r="251" spans="1:13">
      <c r="A251" s="2" t="s">
        <v>99</v>
      </c>
      <c r="B251" s="2" t="s">
        <v>188</v>
      </c>
      <c r="C251" s="2" t="s">
        <v>189</v>
      </c>
      <c r="D251" s="2" t="s">
        <v>78</v>
      </c>
      <c r="E251" s="2" t="s">
        <v>72</v>
      </c>
      <c r="F251" s="212">
        <v>0</v>
      </c>
      <c r="G251" s="212">
        <v>0</v>
      </c>
      <c r="H251" s="212">
        <v>2.2540598701046362</v>
      </c>
      <c r="I251" s="212">
        <v>6.0614123655448022</v>
      </c>
      <c r="J251" s="212">
        <v>7.5616186315157599</v>
      </c>
      <c r="K251" s="212">
        <v>7.0313848781694404</v>
      </c>
      <c r="L251" s="212">
        <v>4.4514833407774441</v>
      </c>
      <c r="M251" s="180">
        <f t="shared" si="3"/>
        <v>27.359959086112081</v>
      </c>
    </row>
    <row r="252" spans="1:13">
      <c r="A252" s="2" t="s">
        <v>99</v>
      </c>
      <c r="B252" s="2" t="s">
        <v>190</v>
      </c>
      <c r="C252" s="2" t="s">
        <v>191</v>
      </c>
      <c r="D252" s="2" t="s">
        <v>78</v>
      </c>
      <c r="E252" s="2" t="s">
        <v>72</v>
      </c>
      <c r="F252" s="212">
        <v>0</v>
      </c>
      <c r="G252" s="212">
        <v>0</v>
      </c>
      <c r="H252" s="212">
        <v>0</v>
      </c>
      <c r="I252" s="212">
        <v>0</v>
      </c>
      <c r="J252" s="212">
        <v>0</v>
      </c>
      <c r="K252" s="212">
        <v>0</v>
      </c>
      <c r="L252" s="212">
        <v>0</v>
      </c>
      <c r="M252" s="180">
        <f t="shared" si="3"/>
        <v>0</v>
      </c>
    </row>
    <row r="253" spans="1:13">
      <c r="A253" s="2" t="s">
        <v>99</v>
      </c>
      <c r="B253" s="2" t="s">
        <v>192</v>
      </c>
      <c r="C253" s="2" t="s">
        <v>193</v>
      </c>
      <c r="D253" s="2" t="s">
        <v>78</v>
      </c>
      <c r="E253" s="2" t="s">
        <v>72</v>
      </c>
      <c r="F253" s="212">
        <v>0</v>
      </c>
      <c r="G253" s="212">
        <v>0</v>
      </c>
      <c r="H253" s="212">
        <v>0</v>
      </c>
      <c r="I253" s="212">
        <v>0</v>
      </c>
      <c r="J253" s="212">
        <v>0</v>
      </c>
      <c r="K253" s="212">
        <v>0</v>
      </c>
      <c r="L253" s="212">
        <v>0</v>
      </c>
      <c r="M253" s="180">
        <f t="shared" si="3"/>
        <v>0</v>
      </c>
    </row>
    <row r="254" spans="1:13">
      <c r="A254" s="2" t="s">
        <v>99</v>
      </c>
      <c r="B254" s="2" t="s">
        <v>194</v>
      </c>
      <c r="C254" s="2" t="s">
        <v>195</v>
      </c>
      <c r="D254" s="2" t="s">
        <v>78</v>
      </c>
      <c r="E254" s="2" t="s">
        <v>72</v>
      </c>
      <c r="F254" s="212">
        <v>0</v>
      </c>
      <c r="G254" s="212">
        <v>0</v>
      </c>
      <c r="H254" s="212">
        <v>4.2271768802361649</v>
      </c>
      <c r="I254" s="212">
        <v>4.2048316525465914</v>
      </c>
      <c r="J254" s="212">
        <v>4.1790305149784528</v>
      </c>
      <c r="K254" s="212">
        <v>4.1481678598934479</v>
      </c>
      <c r="L254" s="212">
        <v>4.1214775462879532</v>
      </c>
      <c r="M254" s="180">
        <f t="shared" si="3"/>
        <v>20.88068445394261</v>
      </c>
    </row>
    <row r="255" spans="1:13">
      <c r="A255" s="2" t="s">
        <v>99</v>
      </c>
      <c r="B255" s="2" t="s">
        <v>196</v>
      </c>
      <c r="C255" s="2" t="s">
        <v>197</v>
      </c>
      <c r="D255" s="2" t="s">
        <v>78</v>
      </c>
      <c r="E255" s="2" t="s">
        <v>72</v>
      </c>
      <c r="F255" s="212">
        <v>0</v>
      </c>
      <c r="G255" s="212">
        <v>0</v>
      </c>
      <c r="H255" s="212">
        <v>7.3121367334205258</v>
      </c>
      <c r="I255" s="212">
        <v>6.7807036906317828</v>
      </c>
      <c r="J255" s="212">
        <v>4.1466690156041812</v>
      </c>
      <c r="K255" s="212">
        <v>3.8560168051977342</v>
      </c>
      <c r="L255" s="212">
        <v>0.99867437602370346</v>
      </c>
      <c r="M255" s="180">
        <f t="shared" si="3"/>
        <v>23.094200620877928</v>
      </c>
    </row>
    <row r="256" spans="1:13">
      <c r="A256" s="2" t="s">
        <v>99</v>
      </c>
      <c r="B256" s="2" t="s">
        <v>198</v>
      </c>
      <c r="C256" s="2" t="s">
        <v>199</v>
      </c>
      <c r="D256" s="2" t="s">
        <v>78</v>
      </c>
      <c r="E256" s="2" t="s">
        <v>72</v>
      </c>
      <c r="F256" s="212">
        <v>0</v>
      </c>
      <c r="G256" s="212">
        <v>0</v>
      </c>
      <c r="H256" s="212">
        <v>0</v>
      </c>
      <c r="I256" s="212">
        <v>0</v>
      </c>
      <c r="J256" s="212">
        <v>0</v>
      </c>
      <c r="K256" s="212">
        <v>0</v>
      </c>
      <c r="L256" s="212">
        <v>0</v>
      </c>
      <c r="M256" s="180">
        <f t="shared" si="3"/>
        <v>0</v>
      </c>
    </row>
    <row r="257" spans="1:13">
      <c r="A257" s="2" t="s">
        <v>99</v>
      </c>
      <c r="B257" s="2" t="s">
        <v>200</v>
      </c>
      <c r="C257" s="2" t="s">
        <v>201</v>
      </c>
      <c r="D257" s="2" t="s">
        <v>78</v>
      </c>
      <c r="E257" s="2" t="s">
        <v>72</v>
      </c>
      <c r="F257" s="212">
        <v>0</v>
      </c>
      <c r="G257" s="212">
        <v>0</v>
      </c>
      <c r="H257" s="212">
        <v>0</v>
      </c>
      <c r="I257" s="212">
        <v>0</v>
      </c>
      <c r="J257" s="212">
        <v>0</v>
      </c>
      <c r="K257" s="212">
        <v>0</v>
      </c>
      <c r="L257" s="212">
        <v>0</v>
      </c>
      <c r="M257" s="180">
        <f t="shared" si="3"/>
        <v>0</v>
      </c>
    </row>
    <row r="258" spans="1:13">
      <c r="A258" s="2" t="s">
        <v>99</v>
      </c>
      <c r="B258" s="2" t="s">
        <v>202</v>
      </c>
      <c r="C258" s="2" t="s">
        <v>203</v>
      </c>
      <c r="D258" s="2" t="s">
        <v>78</v>
      </c>
      <c r="E258" s="2" t="s">
        <v>72</v>
      </c>
      <c r="F258" s="212">
        <v>0</v>
      </c>
      <c r="G258" s="212">
        <v>0</v>
      </c>
      <c r="H258" s="212">
        <v>0</v>
      </c>
      <c r="I258" s="212">
        <v>0</v>
      </c>
      <c r="J258" s="212">
        <v>0</v>
      </c>
      <c r="K258" s="212">
        <v>0</v>
      </c>
      <c r="L258" s="212">
        <v>0</v>
      </c>
      <c r="M258" s="180">
        <f t="shared" si="3"/>
        <v>0</v>
      </c>
    </row>
    <row r="259" spans="1:13">
      <c r="A259" s="2" t="s">
        <v>99</v>
      </c>
      <c r="B259" s="2" t="s">
        <v>204</v>
      </c>
      <c r="C259" s="2" t="s">
        <v>205</v>
      </c>
      <c r="D259" s="2" t="s">
        <v>78</v>
      </c>
      <c r="E259" s="2" t="s">
        <v>72</v>
      </c>
      <c r="F259" s="212">
        <v>0</v>
      </c>
      <c r="G259" s="212">
        <v>0</v>
      </c>
      <c r="H259" s="212">
        <v>0</v>
      </c>
      <c r="I259" s="212">
        <v>0</v>
      </c>
      <c r="J259" s="212">
        <v>0</v>
      </c>
      <c r="K259" s="212">
        <v>0</v>
      </c>
      <c r="L259" s="212">
        <v>0</v>
      </c>
      <c r="M259" s="180">
        <f t="shared" si="3"/>
        <v>0</v>
      </c>
    </row>
    <row r="260" spans="1:13">
      <c r="A260" s="2" t="s">
        <v>99</v>
      </c>
      <c r="B260" s="2" t="s">
        <v>206</v>
      </c>
      <c r="C260" s="2" t="s">
        <v>207</v>
      </c>
      <c r="D260" s="2" t="s">
        <v>78</v>
      </c>
      <c r="E260" s="2" t="s">
        <v>72</v>
      </c>
      <c r="F260" s="212">
        <v>0</v>
      </c>
      <c r="G260" s="212">
        <v>0</v>
      </c>
      <c r="H260" s="212">
        <v>0</v>
      </c>
      <c r="I260" s="212">
        <v>0</v>
      </c>
      <c r="J260" s="212">
        <v>0</v>
      </c>
      <c r="K260" s="212">
        <v>0</v>
      </c>
      <c r="L260" s="212">
        <v>0</v>
      </c>
      <c r="M260" s="180">
        <f t="shared" si="3"/>
        <v>0</v>
      </c>
    </row>
    <row r="261" spans="1:13">
      <c r="A261" s="2" t="s">
        <v>99</v>
      </c>
      <c r="B261" s="2" t="s">
        <v>208</v>
      </c>
      <c r="C261" s="2" t="s">
        <v>209</v>
      </c>
      <c r="D261" s="2" t="s">
        <v>78</v>
      </c>
      <c r="E261" s="2" t="s">
        <v>72</v>
      </c>
      <c r="F261" s="212">
        <v>0</v>
      </c>
      <c r="G261" s="212">
        <v>0</v>
      </c>
      <c r="H261" s="212">
        <v>0</v>
      </c>
      <c r="I261" s="212">
        <v>0</v>
      </c>
      <c r="J261" s="212">
        <v>0</v>
      </c>
      <c r="K261" s="212">
        <v>0</v>
      </c>
      <c r="L261" s="212">
        <v>0</v>
      </c>
      <c r="M261" s="180">
        <f t="shared" si="3"/>
        <v>0</v>
      </c>
    </row>
    <row r="262" spans="1:13">
      <c r="A262" s="2" t="s">
        <v>99</v>
      </c>
      <c r="B262" s="2" t="s">
        <v>210</v>
      </c>
      <c r="C262" s="2" t="s">
        <v>211</v>
      </c>
      <c r="D262" s="2" t="s">
        <v>78</v>
      </c>
      <c r="E262" s="2" t="s">
        <v>72</v>
      </c>
      <c r="F262" s="212">
        <v>0</v>
      </c>
      <c r="G262" s="212">
        <v>0</v>
      </c>
      <c r="H262" s="212">
        <v>7.7123575116465943</v>
      </c>
      <c r="I262" s="212">
        <v>7.6671166706166858</v>
      </c>
      <c r="J262" s="212">
        <v>7.6164260531502599</v>
      </c>
      <c r="K262" s="212">
        <v>7.5577276283596522</v>
      </c>
      <c r="L262" s="212">
        <v>7.5057839625220133</v>
      </c>
      <c r="M262" s="180">
        <f t="shared" ref="M262:M325" si="4">SUM(F262:L262)</f>
        <v>38.059411826295204</v>
      </c>
    </row>
    <row r="263" spans="1:13">
      <c r="A263" s="2" t="s">
        <v>100</v>
      </c>
      <c r="B263" s="2" t="s">
        <v>126</v>
      </c>
      <c r="C263" s="2" t="s">
        <v>127</v>
      </c>
      <c r="D263" s="2" t="s">
        <v>78</v>
      </c>
      <c r="E263" s="2" t="s">
        <v>72</v>
      </c>
      <c r="F263" s="212">
        <v>11.729923717489774</v>
      </c>
      <c r="G263" s="212">
        <v>46.151545501238857</v>
      </c>
      <c r="H263" s="212">
        <v>385.46505399407772</v>
      </c>
      <c r="I263" s="212">
        <v>676.05973099704897</v>
      </c>
      <c r="J263" s="212">
        <v>480.38015818946639</v>
      </c>
      <c r="K263" s="212">
        <v>582.06689270827303</v>
      </c>
      <c r="L263" s="212">
        <v>362.67937199661287</v>
      </c>
      <c r="M263" s="180">
        <f t="shared" si="4"/>
        <v>2544.5326771042073</v>
      </c>
    </row>
    <row r="264" spans="1:13">
      <c r="A264" s="2" t="s">
        <v>100</v>
      </c>
      <c r="B264" s="2" t="s">
        <v>128</v>
      </c>
      <c r="C264" s="2" t="s">
        <v>129</v>
      </c>
      <c r="D264" s="2" t="s">
        <v>78</v>
      </c>
      <c r="E264" s="2" t="s">
        <v>72</v>
      </c>
      <c r="F264" s="212">
        <v>0</v>
      </c>
      <c r="G264" s="212">
        <v>0</v>
      </c>
      <c r="H264" s="212">
        <v>7.1646247542439667</v>
      </c>
      <c r="I264" s="212">
        <v>5.9820122941193696E-2</v>
      </c>
      <c r="J264" s="212">
        <v>0.11890612506667578</v>
      </c>
      <c r="K264" s="212">
        <v>0.11802798868737104</v>
      </c>
      <c r="L264" s="212">
        <v>0.11726856810973495</v>
      </c>
      <c r="M264" s="180">
        <f t="shared" si="4"/>
        <v>7.5786475590489415</v>
      </c>
    </row>
    <row r="265" spans="1:13">
      <c r="A265" s="2" t="s">
        <v>100</v>
      </c>
      <c r="B265" s="2" t="s">
        <v>130</v>
      </c>
      <c r="C265" s="2" t="s">
        <v>131</v>
      </c>
      <c r="D265" s="2" t="s">
        <v>78</v>
      </c>
      <c r="E265" s="2" t="s">
        <v>72</v>
      </c>
      <c r="F265" s="212">
        <v>0.31850000000000001</v>
      </c>
      <c r="G265" s="212">
        <v>6.878702392707976</v>
      </c>
      <c r="H265" s="212">
        <v>25.628184710140459</v>
      </c>
      <c r="I265" s="212">
        <v>15.186942081483485</v>
      </c>
      <c r="J265" s="212">
        <v>0.13502268319083163</v>
      </c>
      <c r="K265" s="212">
        <v>0.13402552404470083</v>
      </c>
      <c r="L265" s="212">
        <v>0.13316317146189435</v>
      </c>
      <c r="M265" s="180">
        <f t="shared" si="4"/>
        <v>48.414540563029355</v>
      </c>
    </row>
    <row r="266" spans="1:13">
      <c r="A266" s="2" t="s">
        <v>100</v>
      </c>
      <c r="B266" s="2" t="s">
        <v>132</v>
      </c>
      <c r="C266" s="2" t="s">
        <v>133</v>
      </c>
      <c r="D266" s="2" t="s">
        <v>78</v>
      </c>
      <c r="E266" s="2" t="s">
        <v>72</v>
      </c>
      <c r="F266" s="212">
        <v>0</v>
      </c>
      <c r="G266" s="212">
        <v>0</v>
      </c>
      <c r="H266" s="212">
        <v>0</v>
      </c>
      <c r="I266" s="212">
        <v>0</v>
      </c>
      <c r="J266" s="212">
        <v>0</v>
      </c>
      <c r="K266" s="212">
        <v>0</v>
      </c>
      <c r="L266" s="212">
        <v>39.117566245170266</v>
      </c>
      <c r="M266" s="180">
        <f t="shared" si="4"/>
        <v>39.117566245170266</v>
      </c>
    </row>
    <row r="267" spans="1:13">
      <c r="A267" s="2" t="s">
        <v>100</v>
      </c>
      <c r="B267" s="2" t="s">
        <v>134</v>
      </c>
      <c r="C267" s="2" t="s">
        <v>135</v>
      </c>
      <c r="D267" s="2" t="s">
        <v>78</v>
      </c>
      <c r="E267" s="2" t="s">
        <v>72</v>
      </c>
      <c r="F267" s="212">
        <v>0</v>
      </c>
      <c r="G267" s="212">
        <v>0</v>
      </c>
      <c r="H267" s="212">
        <v>8.0310473849566719</v>
      </c>
      <c r="I267" s="212">
        <v>9.186722493388876</v>
      </c>
      <c r="J267" s="212">
        <v>9.3403005459055048</v>
      </c>
      <c r="K267" s="212">
        <v>10.190817449140745</v>
      </c>
      <c r="L267" s="212">
        <v>26.588652756787884</v>
      </c>
      <c r="M267" s="180">
        <f t="shared" si="4"/>
        <v>63.337540630179689</v>
      </c>
    </row>
    <row r="268" spans="1:13">
      <c r="A268" s="2" t="s">
        <v>100</v>
      </c>
      <c r="B268" s="2" t="s">
        <v>136</v>
      </c>
      <c r="C268" s="2" t="s">
        <v>137</v>
      </c>
      <c r="D268" s="2" t="s">
        <v>78</v>
      </c>
      <c r="E268" s="2" t="s">
        <v>72</v>
      </c>
      <c r="F268" s="212">
        <v>0</v>
      </c>
      <c r="G268" s="212">
        <v>0</v>
      </c>
      <c r="H268" s="212">
        <v>0</v>
      </c>
      <c r="I268" s="212">
        <v>0</v>
      </c>
      <c r="J268" s="212">
        <v>0</v>
      </c>
      <c r="K268" s="212">
        <v>0</v>
      </c>
      <c r="L268" s="212">
        <v>0</v>
      </c>
      <c r="M268" s="180">
        <f t="shared" si="4"/>
        <v>0</v>
      </c>
    </row>
    <row r="269" spans="1:13">
      <c r="A269" s="2" t="s">
        <v>100</v>
      </c>
      <c r="B269" s="2" t="s">
        <v>138</v>
      </c>
      <c r="C269" s="2" t="s">
        <v>139</v>
      </c>
      <c r="D269" s="2" t="s">
        <v>78</v>
      </c>
      <c r="E269" s="2" t="s">
        <v>72</v>
      </c>
      <c r="F269" s="212">
        <v>11.411423717489773</v>
      </c>
      <c r="G269" s="212">
        <v>28.430177751836162</v>
      </c>
      <c r="H269" s="212">
        <v>180.25414118492694</v>
      </c>
      <c r="I269" s="212">
        <v>277.15793805792191</v>
      </c>
      <c r="J269" s="212">
        <v>109.39866185136258</v>
      </c>
      <c r="K269" s="212">
        <v>233.61886108977851</v>
      </c>
      <c r="L269" s="212">
        <v>150.77850294937508</v>
      </c>
      <c r="M269" s="180">
        <f t="shared" si="4"/>
        <v>991.049706602691</v>
      </c>
    </row>
    <row r="270" spans="1:13">
      <c r="A270" s="2" t="s">
        <v>100</v>
      </c>
      <c r="B270" s="2" t="s">
        <v>140</v>
      </c>
      <c r="C270" s="2" t="s">
        <v>141</v>
      </c>
      <c r="D270" s="2" t="s">
        <v>78</v>
      </c>
      <c r="E270" s="2" t="s">
        <v>72</v>
      </c>
      <c r="F270" s="212">
        <v>0</v>
      </c>
      <c r="G270" s="212">
        <v>0</v>
      </c>
      <c r="H270" s="212">
        <v>0.65862618283377816</v>
      </c>
      <c r="I270" s="212">
        <v>4.4963610194928858</v>
      </c>
      <c r="J270" s="212">
        <v>5.0190447718361311</v>
      </c>
      <c r="K270" s="212">
        <v>6.654624823307226</v>
      </c>
      <c r="L270" s="212">
        <v>1.6918192632432116</v>
      </c>
      <c r="M270" s="180">
        <f t="shared" si="4"/>
        <v>18.520476060713232</v>
      </c>
    </row>
    <row r="271" spans="1:13">
      <c r="A271" s="2" t="s">
        <v>100</v>
      </c>
      <c r="B271" s="2" t="s">
        <v>142</v>
      </c>
      <c r="C271" s="2" t="s">
        <v>143</v>
      </c>
      <c r="D271" s="2" t="s">
        <v>78</v>
      </c>
      <c r="E271" s="2" t="s">
        <v>72</v>
      </c>
      <c r="F271" s="212">
        <v>0</v>
      </c>
      <c r="G271" s="212">
        <v>0</v>
      </c>
      <c r="H271" s="212">
        <v>0.70220445658518593</v>
      </c>
      <c r="I271" s="212">
        <v>1.4531403382454002</v>
      </c>
      <c r="J271" s="212">
        <v>5.3852411714979974E-2</v>
      </c>
      <c r="K271" s="212">
        <v>0</v>
      </c>
      <c r="L271" s="212">
        <v>0</v>
      </c>
      <c r="M271" s="180">
        <f t="shared" si="4"/>
        <v>2.2091972065455661</v>
      </c>
    </row>
    <row r="272" spans="1:13">
      <c r="A272" s="2" t="s">
        <v>100</v>
      </c>
      <c r="B272" s="2" t="s">
        <v>144</v>
      </c>
      <c r="C272" s="2" t="s">
        <v>145</v>
      </c>
      <c r="D272" s="2" t="s">
        <v>78</v>
      </c>
      <c r="E272" s="2" t="s">
        <v>72</v>
      </c>
      <c r="F272" s="212">
        <v>0</v>
      </c>
      <c r="G272" s="212">
        <v>0</v>
      </c>
      <c r="H272" s="212">
        <v>10.34706685308428</v>
      </c>
      <c r="I272" s="212">
        <v>46.767868646089958</v>
      </c>
      <c r="J272" s="212">
        <v>76.466214355810209</v>
      </c>
      <c r="K272" s="212">
        <v>71.773729622679426</v>
      </c>
      <c r="L272" s="212">
        <v>23.315818764189491</v>
      </c>
      <c r="M272" s="180">
        <f t="shared" si="4"/>
        <v>228.67069824185336</v>
      </c>
    </row>
    <row r="273" spans="1:13">
      <c r="A273" s="2" t="s">
        <v>100</v>
      </c>
      <c r="B273" s="2" t="s">
        <v>146</v>
      </c>
      <c r="C273" s="2" t="s">
        <v>147</v>
      </c>
      <c r="D273" s="2" t="s">
        <v>78</v>
      </c>
      <c r="E273" s="2" t="s">
        <v>72</v>
      </c>
      <c r="F273" s="212">
        <v>0</v>
      </c>
      <c r="G273" s="212">
        <v>0</v>
      </c>
      <c r="H273" s="212">
        <v>0.66334055972143036</v>
      </c>
      <c r="I273" s="212">
        <v>2.3103256572288293</v>
      </c>
      <c r="J273" s="212">
        <v>0.32789264791113626</v>
      </c>
      <c r="K273" s="212">
        <v>0</v>
      </c>
      <c r="L273" s="212">
        <v>0</v>
      </c>
      <c r="M273" s="180">
        <f t="shared" si="4"/>
        <v>3.3015588648613958</v>
      </c>
    </row>
    <row r="274" spans="1:13">
      <c r="A274" s="2" t="s">
        <v>100</v>
      </c>
      <c r="B274" s="2" t="s">
        <v>148</v>
      </c>
      <c r="C274" s="2" t="s">
        <v>149</v>
      </c>
      <c r="D274" s="2" t="s">
        <v>78</v>
      </c>
      <c r="E274" s="2" t="s">
        <v>72</v>
      </c>
      <c r="F274" s="212">
        <v>0</v>
      </c>
      <c r="G274" s="212">
        <v>5.3307392445913404</v>
      </c>
      <c r="H274" s="212">
        <v>5.4176763912682349</v>
      </c>
      <c r="I274" s="212">
        <v>68.054536048850636</v>
      </c>
      <c r="J274" s="212">
        <v>115.09769510321324</v>
      </c>
      <c r="K274" s="212">
        <v>139.59956242252869</v>
      </c>
      <c r="L274" s="212">
        <v>34.885978091434026</v>
      </c>
      <c r="M274" s="180">
        <f t="shared" si="4"/>
        <v>368.38618730188614</v>
      </c>
    </row>
    <row r="275" spans="1:13">
      <c r="A275" s="2" t="s">
        <v>100</v>
      </c>
      <c r="B275" s="2" t="s">
        <v>150</v>
      </c>
      <c r="C275" s="2" t="s">
        <v>151</v>
      </c>
      <c r="D275" s="2" t="s">
        <v>78</v>
      </c>
      <c r="E275" s="2" t="s">
        <v>72</v>
      </c>
      <c r="F275" s="212">
        <v>0</v>
      </c>
      <c r="G275" s="212">
        <v>0</v>
      </c>
      <c r="H275" s="212">
        <v>0</v>
      </c>
      <c r="I275" s="212">
        <v>1.9033675481288903</v>
      </c>
      <c r="J275" s="212">
        <v>7.1316650920672142</v>
      </c>
      <c r="K275" s="212">
        <v>2.7450448884108267</v>
      </c>
      <c r="L275" s="212">
        <v>0.34647531486967148</v>
      </c>
      <c r="M275" s="180">
        <f t="shared" si="4"/>
        <v>12.126552843476603</v>
      </c>
    </row>
    <row r="276" spans="1:13">
      <c r="A276" s="2" t="s">
        <v>100</v>
      </c>
      <c r="B276" s="2" t="s">
        <v>152</v>
      </c>
      <c r="C276" s="2" t="s">
        <v>153</v>
      </c>
      <c r="D276" s="2" t="s">
        <v>78</v>
      </c>
      <c r="E276" s="2" t="s">
        <v>72</v>
      </c>
      <c r="F276" s="212">
        <v>0</v>
      </c>
      <c r="G276" s="212">
        <v>0</v>
      </c>
      <c r="H276" s="212">
        <v>14.037070314670011</v>
      </c>
      <c r="I276" s="212">
        <v>57.910932692999872</v>
      </c>
      <c r="J276" s="212">
        <v>25.144386726867619</v>
      </c>
      <c r="K276" s="212">
        <v>23.504040933439057</v>
      </c>
      <c r="L276" s="212">
        <v>6.9481508503954617</v>
      </c>
      <c r="M276" s="180">
        <f t="shared" si="4"/>
        <v>127.54458151837203</v>
      </c>
    </row>
    <row r="277" spans="1:13">
      <c r="A277" s="2" t="s">
        <v>100</v>
      </c>
      <c r="B277" s="2" t="s">
        <v>154</v>
      </c>
      <c r="C277" s="2" t="s">
        <v>155</v>
      </c>
      <c r="D277" s="2" t="s">
        <v>78</v>
      </c>
      <c r="E277" s="2" t="s">
        <v>72</v>
      </c>
      <c r="F277" s="212">
        <v>0</v>
      </c>
      <c r="G277" s="212">
        <v>0</v>
      </c>
      <c r="H277" s="212">
        <v>0</v>
      </c>
      <c r="I277" s="212">
        <v>0</v>
      </c>
      <c r="J277" s="212">
        <v>0</v>
      </c>
      <c r="K277" s="212">
        <v>0</v>
      </c>
      <c r="L277" s="212">
        <v>0</v>
      </c>
      <c r="M277" s="180">
        <f t="shared" si="4"/>
        <v>0</v>
      </c>
    </row>
    <row r="278" spans="1:13">
      <c r="A278" s="2" t="s">
        <v>100</v>
      </c>
      <c r="B278" s="2" t="s">
        <v>156</v>
      </c>
      <c r="C278" s="2" t="s">
        <v>157</v>
      </c>
      <c r="D278" s="2" t="s">
        <v>78</v>
      </c>
      <c r="E278" s="2" t="s">
        <v>72</v>
      </c>
      <c r="F278" s="212">
        <v>0</v>
      </c>
      <c r="G278" s="212">
        <v>0</v>
      </c>
      <c r="H278" s="212">
        <v>0</v>
      </c>
      <c r="I278" s="212">
        <v>0</v>
      </c>
      <c r="J278" s="212">
        <v>0</v>
      </c>
      <c r="K278" s="212">
        <v>0</v>
      </c>
      <c r="L278" s="212">
        <v>0</v>
      </c>
      <c r="M278" s="180">
        <f t="shared" si="4"/>
        <v>0</v>
      </c>
    </row>
    <row r="279" spans="1:13">
      <c r="A279" s="2" t="s">
        <v>100</v>
      </c>
      <c r="B279" s="2" t="s">
        <v>158</v>
      </c>
      <c r="C279" s="2" t="s">
        <v>159</v>
      </c>
      <c r="D279" s="2" t="s">
        <v>78</v>
      </c>
      <c r="E279" s="2" t="s">
        <v>72</v>
      </c>
      <c r="F279" s="212">
        <v>0</v>
      </c>
      <c r="G279" s="212">
        <v>0</v>
      </c>
      <c r="H279" s="212">
        <v>0</v>
      </c>
      <c r="I279" s="212">
        <v>0</v>
      </c>
      <c r="J279" s="212">
        <v>0</v>
      </c>
      <c r="K279" s="212">
        <v>0</v>
      </c>
      <c r="L279" s="212">
        <v>0</v>
      </c>
      <c r="M279" s="180">
        <f t="shared" si="4"/>
        <v>0</v>
      </c>
    </row>
    <row r="280" spans="1:13">
      <c r="A280" s="2" t="s">
        <v>100</v>
      </c>
      <c r="B280" s="2" t="s">
        <v>160</v>
      </c>
      <c r="C280" s="2" t="s">
        <v>161</v>
      </c>
      <c r="D280" s="2" t="s">
        <v>78</v>
      </c>
      <c r="E280" s="2" t="s">
        <v>72</v>
      </c>
      <c r="F280" s="212">
        <v>0</v>
      </c>
      <c r="G280" s="212">
        <v>0</v>
      </c>
      <c r="H280" s="212">
        <v>0</v>
      </c>
      <c r="I280" s="212">
        <v>0</v>
      </c>
      <c r="J280" s="212">
        <v>0</v>
      </c>
      <c r="K280" s="212">
        <v>0</v>
      </c>
      <c r="L280" s="212">
        <v>0</v>
      </c>
      <c r="M280" s="180">
        <f t="shared" si="4"/>
        <v>0</v>
      </c>
    </row>
    <row r="281" spans="1:13">
      <c r="A281" s="2" t="s">
        <v>100</v>
      </c>
      <c r="B281" s="2" t="s">
        <v>162</v>
      </c>
      <c r="C281" s="2" t="s">
        <v>163</v>
      </c>
      <c r="D281" s="2" t="s">
        <v>78</v>
      </c>
      <c r="E281" s="2" t="s">
        <v>72</v>
      </c>
      <c r="F281" s="212">
        <v>0</v>
      </c>
      <c r="G281" s="212">
        <v>2.3072981896545288</v>
      </c>
      <c r="H281" s="212">
        <v>4.5549992555596575</v>
      </c>
      <c r="I281" s="212">
        <v>23.85191447455232</v>
      </c>
      <c r="J281" s="212">
        <v>3.9419182067558567</v>
      </c>
      <c r="K281" s="212">
        <v>1.103382863941029</v>
      </c>
      <c r="L281" s="212">
        <v>1.0962834321773705</v>
      </c>
      <c r="M281" s="180">
        <f t="shared" si="4"/>
        <v>36.855796422640765</v>
      </c>
    </row>
    <row r="282" spans="1:13">
      <c r="A282" s="2" t="s">
        <v>100</v>
      </c>
      <c r="B282" s="2" t="s">
        <v>164</v>
      </c>
      <c r="C282" s="2" t="s">
        <v>165</v>
      </c>
      <c r="D282" s="2" t="s">
        <v>78</v>
      </c>
      <c r="E282" s="2" t="s">
        <v>72</v>
      </c>
      <c r="F282" s="212">
        <v>0</v>
      </c>
      <c r="G282" s="212">
        <v>0</v>
      </c>
      <c r="H282" s="212">
        <v>0</v>
      </c>
      <c r="I282" s="212">
        <v>0</v>
      </c>
      <c r="J282" s="212">
        <v>0</v>
      </c>
      <c r="K282" s="212">
        <v>0</v>
      </c>
      <c r="L282" s="212">
        <v>0</v>
      </c>
      <c r="M282" s="180">
        <f t="shared" si="4"/>
        <v>0</v>
      </c>
    </row>
    <row r="283" spans="1:13">
      <c r="A283" s="2" t="s">
        <v>100</v>
      </c>
      <c r="B283" s="2" t="s">
        <v>166</v>
      </c>
      <c r="C283" s="2" t="s">
        <v>167</v>
      </c>
      <c r="D283" s="2" t="s">
        <v>78</v>
      </c>
      <c r="E283" s="2" t="s">
        <v>72</v>
      </c>
      <c r="F283" s="212">
        <v>0</v>
      </c>
      <c r="G283" s="212">
        <v>0</v>
      </c>
      <c r="H283" s="212">
        <v>0</v>
      </c>
      <c r="I283" s="212">
        <v>0</v>
      </c>
      <c r="J283" s="212">
        <v>0.32068621608891346</v>
      </c>
      <c r="K283" s="212">
        <v>1.1141126810944266</v>
      </c>
      <c r="L283" s="212">
        <v>0.20788518892180288</v>
      </c>
      <c r="M283" s="180">
        <f t="shared" si="4"/>
        <v>1.642684086105143</v>
      </c>
    </row>
    <row r="284" spans="1:13">
      <c r="A284" s="2" t="s">
        <v>100</v>
      </c>
      <c r="B284" s="2" t="s">
        <v>168</v>
      </c>
      <c r="C284" s="2" t="s">
        <v>169</v>
      </c>
      <c r="D284" s="2" t="s">
        <v>78</v>
      </c>
      <c r="E284" s="2" t="s">
        <v>72</v>
      </c>
      <c r="F284" s="212">
        <v>0</v>
      </c>
      <c r="G284" s="212">
        <v>0</v>
      </c>
      <c r="H284" s="212">
        <v>0</v>
      </c>
      <c r="I284" s="212">
        <v>0</v>
      </c>
      <c r="J284" s="212">
        <v>0</v>
      </c>
      <c r="K284" s="212">
        <v>0</v>
      </c>
      <c r="L284" s="212">
        <v>0</v>
      </c>
      <c r="M284" s="180">
        <f t="shared" si="4"/>
        <v>0</v>
      </c>
    </row>
    <row r="285" spans="1:13">
      <c r="A285" s="2" t="s">
        <v>100</v>
      </c>
      <c r="B285" s="2" t="s">
        <v>170</v>
      </c>
      <c r="C285" s="2" t="s">
        <v>171</v>
      </c>
      <c r="D285" s="2" t="s">
        <v>78</v>
      </c>
      <c r="E285" s="2" t="s">
        <v>72</v>
      </c>
      <c r="F285" s="212">
        <v>0</v>
      </c>
      <c r="G285" s="212">
        <v>3.2046279224488461</v>
      </c>
      <c r="H285" s="212">
        <v>11.74905341900055</v>
      </c>
      <c r="I285" s="212">
        <v>20.091397211952469</v>
      </c>
      <c r="J285" s="212">
        <v>4.0962742665095799</v>
      </c>
      <c r="K285" s="212">
        <v>0</v>
      </c>
      <c r="L285" s="212">
        <v>0</v>
      </c>
      <c r="M285" s="180">
        <f t="shared" si="4"/>
        <v>39.141352819911447</v>
      </c>
    </row>
    <row r="286" spans="1:13">
      <c r="A286" s="2" t="s">
        <v>100</v>
      </c>
      <c r="B286" s="2" t="s">
        <v>172</v>
      </c>
      <c r="C286" s="2" t="s">
        <v>173</v>
      </c>
      <c r="D286" s="2" t="s">
        <v>78</v>
      </c>
      <c r="E286" s="2" t="s">
        <v>72</v>
      </c>
      <c r="F286" s="212">
        <v>0</v>
      </c>
      <c r="G286" s="212">
        <v>0</v>
      </c>
      <c r="H286" s="212">
        <v>0</v>
      </c>
      <c r="I286" s="212">
        <v>0</v>
      </c>
      <c r="J286" s="212">
        <v>0</v>
      </c>
      <c r="K286" s="212">
        <v>0</v>
      </c>
      <c r="L286" s="212">
        <v>0</v>
      </c>
      <c r="M286" s="180">
        <f t="shared" si="4"/>
        <v>0</v>
      </c>
    </row>
    <row r="287" spans="1:13">
      <c r="A287" s="2" t="s">
        <v>100</v>
      </c>
      <c r="B287" s="2" t="s">
        <v>174</v>
      </c>
      <c r="C287" s="2" t="s">
        <v>175</v>
      </c>
      <c r="D287" s="2" t="s">
        <v>78</v>
      </c>
      <c r="E287" s="2" t="s">
        <v>72</v>
      </c>
      <c r="F287" s="212">
        <v>0</v>
      </c>
      <c r="G287" s="212">
        <v>0</v>
      </c>
      <c r="H287" s="212">
        <v>0</v>
      </c>
      <c r="I287" s="212">
        <v>0</v>
      </c>
      <c r="J287" s="212">
        <v>0</v>
      </c>
      <c r="K287" s="212">
        <v>0</v>
      </c>
      <c r="L287" s="212">
        <v>0</v>
      </c>
      <c r="M287" s="180">
        <f t="shared" si="4"/>
        <v>0</v>
      </c>
    </row>
    <row r="288" spans="1:13">
      <c r="A288" s="2" t="s">
        <v>100</v>
      </c>
      <c r="B288" s="2" t="s">
        <v>176</v>
      </c>
      <c r="C288" s="2" t="s">
        <v>177</v>
      </c>
      <c r="D288" s="2" t="s">
        <v>78</v>
      </c>
      <c r="E288" s="2" t="s">
        <v>72</v>
      </c>
      <c r="F288" s="212">
        <v>0</v>
      </c>
      <c r="G288" s="212">
        <v>0</v>
      </c>
      <c r="H288" s="212">
        <v>0</v>
      </c>
      <c r="I288" s="212">
        <v>0</v>
      </c>
      <c r="J288" s="212">
        <v>0</v>
      </c>
      <c r="K288" s="212">
        <v>0</v>
      </c>
      <c r="L288" s="212">
        <v>0</v>
      </c>
      <c r="M288" s="180">
        <f t="shared" si="4"/>
        <v>0</v>
      </c>
    </row>
    <row r="289" spans="1:13">
      <c r="A289" s="2" t="s">
        <v>100</v>
      </c>
      <c r="B289" s="2" t="s">
        <v>178</v>
      </c>
      <c r="C289" s="2" t="s">
        <v>179</v>
      </c>
      <c r="D289" s="2" t="s">
        <v>78</v>
      </c>
      <c r="E289" s="2" t="s">
        <v>72</v>
      </c>
      <c r="F289" s="212">
        <v>0</v>
      </c>
      <c r="G289" s="212">
        <v>0</v>
      </c>
      <c r="H289" s="212">
        <v>0</v>
      </c>
      <c r="I289" s="212">
        <v>0</v>
      </c>
      <c r="J289" s="212">
        <v>0</v>
      </c>
      <c r="K289" s="212">
        <v>0</v>
      </c>
      <c r="L289" s="212">
        <v>0</v>
      </c>
      <c r="M289" s="180">
        <f t="shared" si="4"/>
        <v>0</v>
      </c>
    </row>
    <row r="290" spans="1:13">
      <c r="A290" s="2" t="s">
        <v>100</v>
      </c>
      <c r="B290" s="2" t="s">
        <v>180</v>
      </c>
      <c r="C290" s="2" t="s">
        <v>181</v>
      </c>
      <c r="D290" s="2" t="s">
        <v>78</v>
      </c>
      <c r="E290" s="2" t="s">
        <v>72</v>
      </c>
      <c r="F290" s="212">
        <v>0</v>
      </c>
      <c r="G290" s="212">
        <v>0</v>
      </c>
      <c r="H290" s="212">
        <v>0</v>
      </c>
      <c r="I290" s="212">
        <v>0</v>
      </c>
      <c r="J290" s="212">
        <v>0</v>
      </c>
      <c r="K290" s="212">
        <v>0</v>
      </c>
      <c r="L290" s="212">
        <v>0</v>
      </c>
      <c r="M290" s="180">
        <f t="shared" si="4"/>
        <v>0</v>
      </c>
    </row>
    <row r="291" spans="1:13">
      <c r="A291" s="2" t="s">
        <v>100</v>
      </c>
      <c r="B291" s="2" t="s">
        <v>182</v>
      </c>
      <c r="C291" s="2" t="s">
        <v>183</v>
      </c>
      <c r="D291" s="2" t="s">
        <v>78</v>
      </c>
      <c r="E291" s="2" t="s">
        <v>72</v>
      </c>
      <c r="F291" s="212">
        <v>0</v>
      </c>
      <c r="G291" s="212">
        <v>0</v>
      </c>
      <c r="H291" s="212">
        <v>0</v>
      </c>
      <c r="I291" s="212">
        <v>0</v>
      </c>
      <c r="J291" s="212">
        <v>0</v>
      </c>
      <c r="K291" s="212">
        <v>0</v>
      </c>
      <c r="L291" s="212">
        <v>0</v>
      </c>
      <c r="M291" s="180">
        <f t="shared" si="4"/>
        <v>0</v>
      </c>
    </row>
    <row r="292" spans="1:13">
      <c r="A292" s="2" t="s">
        <v>100</v>
      </c>
      <c r="B292" s="2" t="s">
        <v>184</v>
      </c>
      <c r="C292" s="2" t="s">
        <v>185</v>
      </c>
      <c r="D292" s="2" t="s">
        <v>78</v>
      </c>
      <c r="E292" s="2" t="s">
        <v>72</v>
      </c>
      <c r="F292" s="212">
        <v>0</v>
      </c>
      <c r="G292" s="212">
        <v>0</v>
      </c>
      <c r="H292" s="212">
        <v>6.0031110021349114</v>
      </c>
      <c r="I292" s="212">
        <v>6.1222811745237644</v>
      </c>
      <c r="J292" s="212">
        <v>12.41954027065217</v>
      </c>
      <c r="K292" s="212">
        <v>12.476976309870009</v>
      </c>
      <c r="L292" s="212">
        <v>12.694457595872185</v>
      </c>
      <c r="M292" s="180">
        <f t="shared" si="4"/>
        <v>49.71636635305304</v>
      </c>
    </row>
    <row r="293" spans="1:13">
      <c r="A293" s="2" t="s">
        <v>100</v>
      </c>
      <c r="B293" s="2" t="s">
        <v>186</v>
      </c>
      <c r="C293" s="2" t="s">
        <v>187</v>
      </c>
      <c r="D293" s="2" t="s">
        <v>78</v>
      </c>
      <c r="E293" s="2" t="s">
        <v>72</v>
      </c>
      <c r="F293" s="212">
        <v>0</v>
      </c>
      <c r="G293" s="212">
        <v>0</v>
      </c>
      <c r="H293" s="212">
        <v>0</v>
      </c>
      <c r="I293" s="212">
        <v>0</v>
      </c>
      <c r="J293" s="212">
        <v>0</v>
      </c>
      <c r="K293" s="212">
        <v>0</v>
      </c>
      <c r="L293" s="212">
        <v>0</v>
      </c>
      <c r="M293" s="180">
        <f t="shared" si="4"/>
        <v>0</v>
      </c>
    </row>
    <row r="294" spans="1:13">
      <c r="A294" s="2" t="s">
        <v>100</v>
      </c>
      <c r="B294" s="2" t="s">
        <v>188</v>
      </c>
      <c r="C294" s="2" t="s">
        <v>189</v>
      </c>
      <c r="D294" s="2" t="s">
        <v>78</v>
      </c>
      <c r="E294" s="2" t="s">
        <v>72</v>
      </c>
      <c r="F294" s="212">
        <v>0</v>
      </c>
      <c r="G294" s="212">
        <v>0</v>
      </c>
      <c r="H294" s="212">
        <v>0</v>
      </c>
      <c r="I294" s="212">
        <v>0</v>
      </c>
      <c r="J294" s="212">
        <v>0</v>
      </c>
      <c r="K294" s="212">
        <v>0</v>
      </c>
      <c r="L294" s="212">
        <v>0</v>
      </c>
      <c r="M294" s="180">
        <f t="shared" si="4"/>
        <v>0</v>
      </c>
    </row>
    <row r="295" spans="1:13">
      <c r="A295" s="2" t="s">
        <v>100</v>
      </c>
      <c r="B295" s="2" t="s">
        <v>190</v>
      </c>
      <c r="C295" s="2" t="s">
        <v>191</v>
      </c>
      <c r="D295" s="2" t="s">
        <v>78</v>
      </c>
      <c r="E295" s="2" t="s">
        <v>72</v>
      </c>
      <c r="F295" s="212">
        <v>0</v>
      </c>
      <c r="G295" s="212">
        <v>0</v>
      </c>
      <c r="H295" s="212">
        <v>0</v>
      </c>
      <c r="I295" s="212">
        <v>0</v>
      </c>
      <c r="J295" s="212">
        <v>0</v>
      </c>
      <c r="K295" s="212">
        <v>0</v>
      </c>
      <c r="L295" s="212">
        <v>0</v>
      </c>
      <c r="M295" s="180">
        <f t="shared" si="4"/>
        <v>0</v>
      </c>
    </row>
    <row r="296" spans="1:13">
      <c r="A296" s="2" t="s">
        <v>100</v>
      </c>
      <c r="B296" s="2" t="s">
        <v>192</v>
      </c>
      <c r="C296" s="2" t="s">
        <v>193</v>
      </c>
      <c r="D296" s="2" t="s">
        <v>78</v>
      </c>
      <c r="E296" s="2" t="s">
        <v>72</v>
      </c>
      <c r="F296" s="212">
        <v>0</v>
      </c>
      <c r="G296" s="212">
        <v>0</v>
      </c>
      <c r="H296" s="212">
        <v>0</v>
      </c>
      <c r="I296" s="212">
        <v>0</v>
      </c>
      <c r="J296" s="212">
        <v>0</v>
      </c>
      <c r="K296" s="212">
        <v>0</v>
      </c>
      <c r="L296" s="212">
        <v>0</v>
      </c>
      <c r="M296" s="180">
        <f t="shared" si="4"/>
        <v>0</v>
      </c>
    </row>
    <row r="297" spans="1:13">
      <c r="A297" s="2" t="s">
        <v>100</v>
      </c>
      <c r="B297" s="2" t="s">
        <v>194</v>
      </c>
      <c r="C297" s="2" t="s">
        <v>195</v>
      </c>
      <c r="D297" s="2" t="s">
        <v>78</v>
      </c>
      <c r="E297" s="2" t="s">
        <v>72</v>
      </c>
      <c r="F297" s="212">
        <v>0</v>
      </c>
      <c r="G297" s="212">
        <v>0</v>
      </c>
      <c r="H297" s="212">
        <v>17.891299981373265</v>
      </c>
      <c r="I297" s="212">
        <v>63.193126709513862</v>
      </c>
      <c r="J297" s="212">
        <v>61.347486289853173</v>
      </c>
      <c r="K297" s="212">
        <v>46.640299268854982</v>
      </c>
      <c r="L297" s="212">
        <v>34.487031413182279</v>
      </c>
      <c r="M297" s="180">
        <f t="shared" si="4"/>
        <v>223.55924366277756</v>
      </c>
    </row>
    <row r="298" spans="1:13">
      <c r="A298" s="2" t="s">
        <v>100</v>
      </c>
      <c r="B298" s="2" t="s">
        <v>196</v>
      </c>
      <c r="C298" s="2" t="s">
        <v>197</v>
      </c>
      <c r="D298" s="2" t="s">
        <v>78</v>
      </c>
      <c r="E298" s="2" t="s">
        <v>72</v>
      </c>
      <c r="F298" s="212">
        <v>0</v>
      </c>
      <c r="G298" s="212">
        <v>0</v>
      </c>
      <c r="H298" s="212">
        <v>2.0463049940975728</v>
      </c>
      <c r="I298" s="212">
        <v>0.67889725499535725</v>
      </c>
      <c r="J298" s="212">
        <v>1.348266656618563</v>
      </c>
      <c r="K298" s="212">
        <v>2.0080580606271603</v>
      </c>
      <c r="L298" s="212">
        <v>0.66543919564658183</v>
      </c>
      <c r="M298" s="180">
        <f t="shared" si="4"/>
        <v>6.7469661619852355</v>
      </c>
    </row>
    <row r="299" spans="1:13">
      <c r="A299" s="2" t="s">
        <v>100</v>
      </c>
      <c r="B299" s="2" t="s">
        <v>198</v>
      </c>
      <c r="C299" s="2" t="s">
        <v>199</v>
      </c>
      <c r="D299" s="2" t="s">
        <v>78</v>
      </c>
      <c r="E299" s="2" t="s">
        <v>72</v>
      </c>
      <c r="F299" s="212">
        <v>0</v>
      </c>
      <c r="G299" s="212">
        <v>0</v>
      </c>
      <c r="H299" s="212">
        <v>0</v>
      </c>
      <c r="I299" s="212">
        <v>0</v>
      </c>
      <c r="J299" s="212">
        <v>0</v>
      </c>
      <c r="K299" s="212">
        <v>0</v>
      </c>
      <c r="L299" s="212">
        <v>0</v>
      </c>
      <c r="M299" s="180">
        <f t="shared" si="4"/>
        <v>0</v>
      </c>
    </row>
    <row r="300" spans="1:13">
      <c r="A300" s="2" t="s">
        <v>100</v>
      </c>
      <c r="B300" s="2" t="s">
        <v>200</v>
      </c>
      <c r="C300" s="2" t="s">
        <v>201</v>
      </c>
      <c r="D300" s="2" t="s">
        <v>78</v>
      </c>
      <c r="E300" s="2" t="s">
        <v>72</v>
      </c>
      <c r="F300" s="212">
        <v>0</v>
      </c>
      <c r="G300" s="212">
        <v>0</v>
      </c>
      <c r="H300" s="212">
        <v>15.080967507879066</v>
      </c>
      <c r="I300" s="212">
        <v>11.746705985607857</v>
      </c>
      <c r="J300" s="212">
        <v>8.8356227434840413</v>
      </c>
      <c r="K300" s="212">
        <v>6.1463637049597741</v>
      </c>
      <c r="L300" s="212">
        <v>5.4032347480975798</v>
      </c>
      <c r="M300" s="180">
        <f t="shared" si="4"/>
        <v>47.212894690028321</v>
      </c>
    </row>
    <row r="301" spans="1:13">
      <c r="A301" s="2" t="s">
        <v>100</v>
      </c>
      <c r="B301" s="2" t="s">
        <v>202</v>
      </c>
      <c r="C301" s="2" t="s">
        <v>203</v>
      </c>
      <c r="D301" s="2" t="s">
        <v>78</v>
      </c>
      <c r="E301" s="2" t="s">
        <v>72</v>
      </c>
      <c r="F301" s="212">
        <v>0</v>
      </c>
      <c r="G301" s="212">
        <v>0</v>
      </c>
      <c r="H301" s="212">
        <v>0</v>
      </c>
      <c r="I301" s="212">
        <v>0</v>
      </c>
      <c r="J301" s="212">
        <v>0</v>
      </c>
      <c r="K301" s="212">
        <v>0</v>
      </c>
      <c r="L301" s="212">
        <v>0</v>
      </c>
      <c r="M301" s="180">
        <f t="shared" si="4"/>
        <v>0</v>
      </c>
    </row>
    <row r="302" spans="1:13">
      <c r="A302" s="2" t="s">
        <v>100</v>
      </c>
      <c r="B302" s="2" t="s">
        <v>204</v>
      </c>
      <c r="C302" s="2" t="s">
        <v>205</v>
      </c>
      <c r="D302" s="2" t="s">
        <v>78</v>
      </c>
      <c r="E302" s="2" t="s">
        <v>72</v>
      </c>
      <c r="F302" s="212">
        <v>0</v>
      </c>
      <c r="G302" s="212">
        <v>0</v>
      </c>
      <c r="H302" s="212">
        <v>0</v>
      </c>
      <c r="I302" s="212">
        <v>0</v>
      </c>
      <c r="J302" s="212">
        <v>0</v>
      </c>
      <c r="K302" s="212">
        <v>0</v>
      </c>
      <c r="L302" s="212">
        <v>0</v>
      </c>
      <c r="M302" s="180">
        <f t="shared" si="4"/>
        <v>0</v>
      </c>
    </row>
    <row r="303" spans="1:13">
      <c r="A303" s="2" t="s">
        <v>100</v>
      </c>
      <c r="B303" s="2" t="s">
        <v>206</v>
      </c>
      <c r="C303" s="2" t="s">
        <v>207</v>
      </c>
      <c r="D303" s="2" t="s">
        <v>78</v>
      </c>
      <c r="E303" s="2" t="s">
        <v>72</v>
      </c>
      <c r="F303" s="212">
        <v>0</v>
      </c>
      <c r="G303" s="212">
        <v>0</v>
      </c>
      <c r="H303" s="212">
        <v>0</v>
      </c>
      <c r="I303" s="212">
        <v>0</v>
      </c>
      <c r="J303" s="212">
        <v>0</v>
      </c>
      <c r="K303" s="212">
        <v>0</v>
      </c>
      <c r="L303" s="212">
        <v>0</v>
      </c>
      <c r="M303" s="180">
        <f t="shared" si="4"/>
        <v>0</v>
      </c>
    </row>
    <row r="304" spans="1:13">
      <c r="A304" s="2" t="s">
        <v>100</v>
      </c>
      <c r="B304" s="2" t="s">
        <v>208</v>
      </c>
      <c r="C304" s="2" t="s">
        <v>209</v>
      </c>
      <c r="D304" s="2" t="s">
        <v>78</v>
      </c>
      <c r="E304" s="2" t="s">
        <v>72</v>
      </c>
      <c r="F304" s="212">
        <v>0</v>
      </c>
      <c r="G304" s="212">
        <v>0</v>
      </c>
      <c r="H304" s="212">
        <v>0</v>
      </c>
      <c r="I304" s="212">
        <v>0</v>
      </c>
      <c r="J304" s="212">
        <v>0</v>
      </c>
      <c r="K304" s="212">
        <v>0</v>
      </c>
      <c r="L304" s="212">
        <v>0</v>
      </c>
      <c r="M304" s="180">
        <f t="shared" si="4"/>
        <v>0</v>
      </c>
    </row>
    <row r="305" spans="1:13">
      <c r="A305" s="2" t="s">
        <v>100</v>
      </c>
      <c r="B305" s="2" t="s">
        <v>210</v>
      </c>
      <c r="C305" s="2" t="s">
        <v>211</v>
      </c>
      <c r="D305" s="2" t="s">
        <v>78</v>
      </c>
      <c r="E305" s="2" t="s">
        <v>72</v>
      </c>
      <c r="F305" s="212">
        <v>0</v>
      </c>
      <c r="G305" s="212">
        <v>0</v>
      </c>
      <c r="H305" s="212">
        <v>56.426467091975077</v>
      </c>
      <c r="I305" s="212">
        <v>47.078585529504672</v>
      </c>
      <c r="J305" s="212">
        <v>21.027853274931282</v>
      </c>
      <c r="K305" s="212">
        <v>5.4300971272825365</v>
      </c>
      <c r="L305" s="212">
        <v>5.392776498051723</v>
      </c>
      <c r="M305" s="180">
        <f t="shared" si="4"/>
        <v>135.35577952174526</v>
      </c>
    </row>
    <row r="306" spans="1:13">
      <c r="A306" s="2" t="s">
        <v>101</v>
      </c>
      <c r="B306" s="2" t="s">
        <v>126</v>
      </c>
      <c r="C306" s="2" t="s">
        <v>127</v>
      </c>
      <c r="D306" s="2" t="s">
        <v>78</v>
      </c>
      <c r="E306" s="2" t="s">
        <v>72</v>
      </c>
      <c r="F306" s="212">
        <v>0</v>
      </c>
      <c r="G306" s="212">
        <v>0</v>
      </c>
      <c r="H306" s="212">
        <v>431.51160381327475</v>
      </c>
      <c r="I306" s="212">
        <v>575.57334313110027</v>
      </c>
      <c r="J306" s="212">
        <v>735.11545029724573</v>
      </c>
      <c r="K306" s="212">
        <v>1106.0967071061377</v>
      </c>
      <c r="L306" s="212">
        <v>1752.5920358719834</v>
      </c>
      <c r="M306" s="180">
        <f t="shared" si="4"/>
        <v>4600.8891402197414</v>
      </c>
    </row>
    <row r="307" spans="1:13">
      <c r="A307" s="2" t="s">
        <v>101</v>
      </c>
      <c r="B307" s="2" t="s">
        <v>128</v>
      </c>
      <c r="C307" s="2" t="s">
        <v>129</v>
      </c>
      <c r="D307" s="2" t="s">
        <v>78</v>
      </c>
      <c r="E307" s="2" t="s">
        <v>72</v>
      </c>
      <c r="F307" s="212">
        <v>0</v>
      </c>
      <c r="G307" s="212">
        <v>0</v>
      </c>
      <c r="H307" s="212">
        <v>1.6267571508338052</v>
      </c>
      <c r="I307" s="212">
        <v>0</v>
      </c>
      <c r="J307" s="212">
        <v>0</v>
      </c>
      <c r="K307" s="212">
        <v>0</v>
      </c>
      <c r="L307" s="212">
        <v>0</v>
      </c>
      <c r="M307" s="180">
        <f t="shared" si="4"/>
        <v>1.6267571508338052</v>
      </c>
    </row>
    <row r="308" spans="1:13">
      <c r="A308" s="2" t="s">
        <v>101</v>
      </c>
      <c r="B308" s="2" t="s">
        <v>130</v>
      </c>
      <c r="C308" s="2" t="s">
        <v>131</v>
      </c>
      <c r="D308" s="2" t="s">
        <v>78</v>
      </c>
      <c r="E308" s="2" t="s">
        <v>72</v>
      </c>
      <c r="F308" s="212">
        <v>0</v>
      </c>
      <c r="G308" s="212">
        <v>0</v>
      </c>
      <c r="H308" s="212">
        <v>14.099552389205513</v>
      </c>
      <c r="I308" s="212">
        <v>26.163422347649544</v>
      </c>
      <c r="J308" s="212">
        <v>0</v>
      </c>
      <c r="K308" s="212">
        <v>0</v>
      </c>
      <c r="L308" s="212">
        <v>0.86136003585213738</v>
      </c>
      <c r="M308" s="180">
        <f t="shared" si="4"/>
        <v>41.124334772707194</v>
      </c>
    </row>
    <row r="309" spans="1:13">
      <c r="A309" s="2" t="s">
        <v>101</v>
      </c>
      <c r="B309" s="2" t="s">
        <v>132</v>
      </c>
      <c r="C309" s="2" t="s">
        <v>133</v>
      </c>
      <c r="D309" s="2" t="s">
        <v>78</v>
      </c>
      <c r="E309" s="2" t="s">
        <v>72</v>
      </c>
      <c r="F309" s="212">
        <v>0</v>
      </c>
      <c r="G309" s="212">
        <v>0</v>
      </c>
      <c r="H309" s="212">
        <v>8.3145026303734966</v>
      </c>
      <c r="I309" s="212">
        <v>8.2705514403322411</v>
      </c>
      <c r="J309" s="212">
        <v>8.2198027652105772</v>
      </c>
      <c r="K309" s="212">
        <v>8.1590985093550135</v>
      </c>
      <c r="L309" s="212">
        <v>7.9779246947386726</v>
      </c>
      <c r="M309" s="180">
        <f t="shared" si="4"/>
        <v>40.941880040010005</v>
      </c>
    </row>
    <row r="310" spans="1:13">
      <c r="A310" s="2" t="s">
        <v>101</v>
      </c>
      <c r="B310" s="2" t="s">
        <v>134</v>
      </c>
      <c r="C310" s="2" t="s">
        <v>135</v>
      </c>
      <c r="D310" s="2" t="s">
        <v>78</v>
      </c>
      <c r="E310" s="2" t="s">
        <v>72</v>
      </c>
      <c r="F310" s="212">
        <v>0</v>
      </c>
      <c r="G310" s="212">
        <v>0</v>
      </c>
      <c r="H310" s="212">
        <v>3.7199999138701814</v>
      </c>
      <c r="I310" s="212">
        <v>3.7168866902591491</v>
      </c>
      <c r="J310" s="212">
        <v>0.92743644320780061</v>
      </c>
      <c r="K310" s="212">
        <v>0.46262617436749515</v>
      </c>
      <c r="L310" s="212">
        <v>0.4619670864928952</v>
      </c>
      <c r="M310" s="180">
        <f t="shared" si="4"/>
        <v>9.288916308197523</v>
      </c>
    </row>
    <row r="311" spans="1:13">
      <c r="A311" s="2" t="s">
        <v>101</v>
      </c>
      <c r="B311" s="2" t="s">
        <v>136</v>
      </c>
      <c r="C311" s="2" t="s">
        <v>137</v>
      </c>
      <c r="D311" s="2" t="s">
        <v>78</v>
      </c>
      <c r="E311" s="2" t="s">
        <v>72</v>
      </c>
      <c r="F311" s="212">
        <v>0</v>
      </c>
      <c r="G311" s="212">
        <v>0</v>
      </c>
      <c r="H311" s="212">
        <v>0</v>
      </c>
      <c r="I311" s="212">
        <v>0</v>
      </c>
      <c r="J311" s="212">
        <v>0</v>
      </c>
      <c r="K311" s="212">
        <v>0</v>
      </c>
      <c r="L311" s="212">
        <v>0</v>
      </c>
      <c r="M311" s="180">
        <f t="shared" si="4"/>
        <v>0</v>
      </c>
    </row>
    <row r="312" spans="1:13">
      <c r="A312" s="2" t="s">
        <v>101</v>
      </c>
      <c r="B312" s="2" t="s">
        <v>138</v>
      </c>
      <c r="C312" s="2" t="s">
        <v>139</v>
      </c>
      <c r="D312" s="2" t="s">
        <v>78</v>
      </c>
      <c r="E312" s="2" t="s">
        <v>72</v>
      </c>
      <c r="F312" s="212">
        <v>0</v>
      </c>
      <c r="G312" s="212">
        <v>0</v>
      </c>
      <c r="H312" s="212">
        <v>25.77652791899467</v>
      </c>
      <c r="I312" s="212">
        <v>24.841746404031959</v>
      </c>
      <c r="J312" s="212">
        <v>98.110258450199964</v>
      </c>
      <c r="K312" s="212">
        <v>200.6766705210137</v>
      </c>
      <c r="L312" s="212">
        <v>369.26812543922091</v>
      </c>
      <c r="M312" s="180">
        <f t="shared" si="4"/>
        <v>718.67332873346118</v>
      </c>
    </row>
    <row r="313" spans="1:13">
      <c r="A313" s="2" t="s">
        <v>101</v>
      </c>
      <c r="B313" s="2" t="s">
        <v>140</v>
      </c>
      <c r="C313" s="2" t="s">
        <v>141</v>
      </c>
      <c r="D313" s="2" t="s">
        <v>78</v>
      </c>
      <c r="E313" s="2" t="s">
        <v>72</v>
      </c>
      <c r="F313" s="212">
        <v>0</v>
      </c>
      <c r="G313" s="212">
        <v>0</v>
      </c>
      <c r="H313" s="212">
        <v>0.41648537012200809</v>
      </c>
      <c r="I313" s="212">
        <v>0.27855484082795301</v>
      </c>
      <c r="J313" s="212">
        <v>19.684251809714326</v>
      </c>
      <c r="K313" s="212">
        <v>48.652041694399003</v>
      </c>
      <c r="L313" s="212">
        <v>121.17097254578132</v>
      </c>
      <c r="M313" s="180">
        <f t="shared" si="4"/>
        <v>190.20230626084461</v>
      </c>
    </row>
    <row r="314" spans="1:13">
      <c r="A314" s="2" t="s">
        <v>101</v>
      </c>
      <c r="B314" s="2" t="s">
        <v>142</v>
      </c>
      <c r="C314" s="2" t="s">
        <v>143</v>
      </c>
      <c r="D314" s="2" t="s">
        <v>78</v>
      </c>
      <c r="E314" s="2" t="s">
        <v>72</v>
      </c>
      <c r="F314" s="212">
        <v>0</v>
      </c>
      <c r="G314" s="212">
        <v>0</v>
      </c>
      <c r="H314" s="212">
        <v>1.7352076275560588</v>
      </c>
      <c r="I314" s="212">
        <v>2.5732898735572776</v>
      </c>
      <c r="J314" s="212">
        <v>2.7288485718118034</v>
      </c>
      <c r="K314" s="212">
        <v>8.2611816851338435E-2</v>
      </c>
      <c r="L314" s="212">
        <v>8.3045922739107408E-2</v>
      </c>
      <c r="M314" s="180">
        <f t="shared" si="4"/>
        <v>7.2030038125155862</v>
      </c>
    </row>
    <row r="315" spans="1:13">
      <c r="A315" s="2" t="s">
        <v>101</v>
      </c>
      <c r="B315" s="2" t="s">
        <v>144</v>
      </c>
      <c r="C315" s="2" t="s">
        <v>145</v>
      </c>
      <c r="D315" s="2" t="s">
        <v>78</v>
      </c>
      <c r="E315" s="2" t="s">
        <v>72</v>
      </c>
      <c r="F315" s="212">
        <v>0</v>
      </c>
      <c r="G315" s="212">
        <v>0</v>
      </c>
      <c r="H315" s="212">
        <v>0</v>
      </c>
      <c r="I315" s="212">
        <v>0</v>
      </c>
      <c r="J315" s="212">
        <v>0</v>
      </c>
      <c r="K315" s="212">
        <v>0</v>
      </c>
      <c r="L315" s="212">
        <v>0</v>
      </c>
      <c r="M315" s="180">
        <f t="shared" si="4"/>
        <v>0</v>
      </c>
    </row>
    <row r="316" spans="1:13">
      <c r="A316" s="2" t="s">
        <v>101</v>
      </c>
      <c r="B316" s="2" t="s">
        <v>146</v>
      </c>
      <c r="C316" s="2" t="s">
        <v>147</v>
      </c>
      <c r="D316" s="2" t="s">
        <v>78</v>
      </c>
      <c r="E316" s="2" t="s">
        <v>72</v>
      </c>
      <c r="F316" s="212">
        <v>0</v>
      </c>
      <c r="G316" s="212">
        <v>0</v>
      </c>
      <c r="H316" s="212">
        <v>0</v>
      </c>
      <c r="I316" s="212">
        <v>0</v>
      </c>
      <c r="J316" s="212">
        <v>15.043328515414197</v>
      </c>
      <c r="K316" s="212">
        <v>0.40061871654260822</v>
      </c>
      <c r="L316" s="212">
        <v>0.39891012422703809</v>
      </c>
      <c r="M316" s="180">
        <f t="shared" si="4"/>
        <v>15.842857356183844</v>
      </c>
    </row>
    <row r="317" spans="1:13">
      <c r="A317" s="2" t="s">
        <v>101</v>
      </c>
      <c r="B317" s="2" t="s">
        <v>148</v>
      </c>
      <c r="C317" s="2" t="s">
        <v>149</v>
      </c>
      <c r="D317" s="2" t="s">
        <v>78</v>
      </c>
      <c r="E317" s="2" t="s">
        <v>72</v>
      </c>
      <c r="F317" s="212">
        <v>0</v>
      </c>
      <c r="G317" s="212">
        <v>0</v>
      </c>
      <c r="H317" s="212">
        <v>26.168602438039336</v>
      </c>
      <c r="I317" s="212">
        <v>38.074520574196875</v>
      </c>
      <c r="J317" s="212">
        <v>167.58874186904328</v>
      </c>
      <c r="K317" s="212">
        <v>362.87458347442492</v>
      </c>
      <c r="L317" s="212">
        <v>588.5093613202265</v>
      </c>
      <c r="M317" s="180">
        <f t="shared" si="4"/>
        <v>1183.2158096759308</v>
      </c>
    </row>
    <row r="318" spans="1:13">
      <c r="A318" s="2" t="s">
        <v>101</v>
      </c>
      <c r="B318" s="2" t="s">
        <v>150</v>
      </c>
      <c r="C318" s="2" t="s">
        <v>151</v>
      </c>
      <c r="D318" s="2" t="s">
        <v>78</v>
      </c>
      <c r="E318" s="2" t="s">
        <v>72</v>
      </c>
      <c r="F318" s="212">
        <v>0</v>
      </c>
      <c r="G318" s="212">
        <v>0</v>
      </c>
      <c r="H318" s="212">
        <v>0.10339935862834049</v>
      </c>
      <c r="I318" s="212">
        <v>0.32983822728444739</v>
      </c>
      <c r="J318" s="212">
        <v>0.66884695350005119</v>
      </c>
      <c r="K318" s="212">
        <v>0.95606169690190113</v>
      </c>
      <c r="L318" s="212">
        <v>4.2585176660402749E-2</v>
      </c>
      <c r="M318" s="180">
        <f t="shared" si="4"/>
        <v>2.1007314129751427</v>
      </c>
    </row>
    <row r="319" spans="1:13">
      <c r="A319" s="2" t="s">
        <v>101</v>
      </c>
      <c r="B319" s="2" t="s">
        <v>152</v>
      </c>
      <c r="C319" s="2" t="s">
        <v>153</v>
      </c>
      <c r="D319" s="2" t="s">
        <v>78</v>
      </c>
      <c r="E319" s="2" t="s">
        <v>72</v>
      </c>
      <c r="F319" s="212">
        <v>0</v>
      </c>
      <c r="G319" s="212">
        <v>0</v>
      </c>
      <c r="H319" s="212">
        <v>31.578303445365417</v>
      </c>
      <c r="I319" s="212">
        <v>29.992053153939541</v>
      </c>
      <c r="J319" s="212">
        <v>0.62179874997706208</v>
      </c>
      <c r="K319" s="212">
        <v>0.69041027373931541</v>
      </c>
      <c r="L319" s="212">
        <v>6.1109623938283004</v>
      </c>
      <c r="M319" s="180">
        <f t="shared" si="4"/>
        <v>68.993528016849638</v>
      </c>
    </row>
    <row r="320" spans="1:13">
      <c r="A320" s="2" t="s">
        <v>101</v>
      </c>
      <c r="B320" s="2" t="s">
        <v>154</v>
      </c>
      <c r="C320" s="2" t="s">
        <v>155</v>
      </c>
      <c r="D320" s="2" t="s">
        <v>78</v>
      </c>
      <c r="E320" s="2" t="s">
        <v>72</v>
      </c>
      <c r="F320" s="212">
        <v>0</v>
      </c>
      <c r="G320" s="212">
        <v>0</v>
      </c>
      <c r="H320" s="212">
        <v>0</v>
      </c>
      <c r="I320" s="212">
        <v>0</v>
      </c>
      <c r="J320" s="212">
        <v>0</v>
      </c>
      <c r="K320" s="212">
        <v>0</v>
      </c>
      <c r="L320" s="212">
        <v>0</v>
      </c>
      <c r="M320" s="180">
        <f t="shared" si="4"/>
        <v>0</v>
      </c>
    </row>
    <row r="321" spans="1:13">
      <c r="A321" s="2" t="s">
        <v>101</v>
      </c>
      <c r="B321" s="2" t="s">
        <v>156</v>
      </c>
      <c r="C321" s="2" t="s">
        <v>157</v>
      </c>
      <c r="D321" s="2" t="s">
        <v>78</v>
      </c>
      <c r="E321" s="2" t="s">
        <v>72</v>
      </c>
      <c r="F321" s="212">
        <v>0</v>
      </c>
      <c r="G321" s="212">
        <v>0</v>
      </c>
      <c r="H321" s="212">
        <v>0</v>
      </c>
      <c r="I321" s="212">
        <v>0</v>
      </c>
      <c r="J321" s="212">
        <v>0</v>
      </c>
      <c r="K321" s="212">
        <v>0</v>
      </c>
      <c r="L321" s="212">
        <v>0</v>
      </c>
      <c r="M321" s="180">
        <f t="shared" si="4"/>
        <v>0</v>
      </c>
    </row>
    <row r="322" spans="1:13">
      <c r="A322" s="2" t="s">
        <v>101</v>
      </c>
      <c r="B322" s="2" t="s">
        <v>158</v>
      </c>
      <c r="C322" s="2" t="s">
        <v>159</v>
      </c>
      <c r="D322" s="2" t="s">
        <v>78</v>
      </c>
      <c r="E322" s="2" t="s">
        <v>72</v>
      </c>
      <c r="F322" s="212">
        <v>0</v>
      </c>
      <c r="G322" s="212">
        <v>0</v>
      </c>
      <c r="H322" s="212">
        <v>0</v>
      </c>
      <c r="I322" s="212">
        <v>0</v>
      </c>
      <c r="J322" s="212">
        <v>0</v>
      </c>
      <c r="K322" s="212">
        <v>0</v>
      </c>
      <c r="L322" s="212">
        <v>0</v>
      </c>
      <c r="M322" s="180">
        <f t="shared" si="4"/>
        <v>0</v>
      </c>
    </row>
    <row r="323" spans="1:13">
      <c r="A323" s="2" t="s">
        <v>101</v>
      </c>
      <c r="B323" s="2" t="s">
        <v>160</v>
      </c>
      <c r="C323" s="2" t="s">
        <v>161</v>
      </c>
      <c r="D323" s="2" t="s">
        <v>78</v>
      </c>
      <c r="E323" s="2" t="s">
        <v>72</v>
      </c>
      <c r="F323" s="212">
        <v>0</v>
      </c>
      <c r="G323" s="212">
        <v>0</v>
      </c>
      <c r="H323" s="212">
        <v>0</v>
      </c>
      <c r="I323" s="212">
        <v>0</v>
      </c>
      <c r="J323" s="212">
        <v>0</v>
      </c>
      <c r="K323" s="212">
        <v>0</v>
      </c>
      <c r="L323" s="212">
        <v>0</v>
      </c>
      <c r="M323" s="180">
        <f t="shared" si="4"/>
        <v>0</v>
      </c>
    </row>
    <row r="324" spans="1:13">
      <c r="A324" s="2" t="s">
        <v>101</v>
      </c>
      <c r="B324" s="2" t="s">
        <v>162</v>
      </c>
      <c r="C324" s="2" t="s">
        <v>163</v>
      </c>
      <c r="D324" s="2" t="s">
        <v>78</v>
      </c>
      <c r="E324" s="2" t="s">
        <v>72</v>
      </c>
      <c r="F324" s="212">
        <v>0</v>
      </c>
      <c r="G324" s="212">
        <v>0</v>
      </c>
      <c r="H324" s="212">
        <v>1.8639616181852183</v>
      </c>
      <c r="I324" s="212">
        <v>1.8619899927347834</v>
      </c>
      <c r="J324" s="212">
        <v>1.9053962399518367</v>
      </c>
      <c r="K324" s="212">
        <v>1.9467231665085984</v>
      </c>
      <c r="L324" s="212">
        <v>1.9438539822537584</v>
      </c>
      <c r="M324" s="180">
        <f t="shared" si="4"/>
        <v>9.5219249996341961</v>
      </c>
    </row>
    <row r="325" spans="1:13">
      <c r="A325" s="2" t="s">
        <v>101</v>
      </c>
      <c r="B325" s="2" t="s">
        <v>164</v>
      </c>
      <c r="C325" s="2" t="s">
        <v>165</v>
      </c>
      <c r="D325" s="2" t="s">
        <v>78</v>
      </c>
      <c r="E325" s="2" t="s">
        <v>72</v>
      </c>
      <c r="F325" s="212">
        <v>0</v>
      </c>
      <c r="G325" s="212">
        <v>0</v>
      </c>
      <c r="H325" s="212">
        <v>0</v>
      </c>
      <c r="I325" s="212">
        <v>0</v>
      </c>
      <c r="J325" s="212">
        <v>0</v>
      </c>
      <c r="K325" s="212">
        <v>0</v>
      </c>
      <c r="L325" s="212">
        <v>0</v>
      </c>
      <c r="M325" s="180">
        <f t="shared" si="4"/>
        <v>0</v>
      </c>
    </row>
    <row r="326" spans="1:13">
      <c r="A326" s="2" t="s">
        <v>101</v>
      </c>
      <c r="B326" s="2" t="s">
        <v>166</v>
      </c>
      <c r="C326" s="2" t="s">
        <v>167</v>
      </c>
      <c r="D326" s="2" t="s">
        <v>78</v>
      </c>
      <c r="E326" s="2" t="s">
        <v>72</v>
      </c>
      <c r="F326" s="212">
        <v>0</v>
      </c>
      <c r="G326" s="212">
        <v>0</v>
      </c>
      <c r="H326" s="212">
        <v>0</v>
      </c>
      <c r="I326" s="212">
        <v>0</v>
      </c>
      <c r="J326" s="212">
        <v>0</v>
      </c>
      <c r="K326" s="212">
        <v>0</v>
      </c>
      <c r="L326" s="212">
        <v>0</v>
      </c>
      <c r="M326" s="180">
        <f t="shared" ref="M326:M389" si="5">SUM(F326:L326)</f>
        <v>0</v>
      </c>
    </row>
    <row r="327" spans="1:13">
      <c r="A327" s="2" t="s">
        <v>101</v>
      </c>
      <c r="B327" s="2" t="s">
        <v>168</v>
      </c>
      <c r="C327" s="2" t="s">
        <v>169</v>
      </c>
      <c r="D327" s="2" t="s">
        <v>78</v>
      </c>
      <c r="E327" s="2" t="s">
        <v>72</v>
      </c>
      <c r="F327" s="212">
        <v>0</v>
      </c>
      <c r="G327" s="212">
        <v>0</v>
      </c>
      <c r="H327" s="212">
        <v>0</v>
      </c>
      <c r="I327" s="212">
        <v>0</v>
      </c>
      <c r="J327" s="212">
        <v>0</v>
      </c>
      <c r="K327" s="212">
        <v>0</v>
      </c>
      <c r="L327" s="212">
        <v>0</v>
      </c>
      <c r="M327" s="180">
        <f t="shared" si="5"/>
        <v>0</v>
      </c>
    </row>
    <row r="328" spans="1:13">
      <c r="A328" s="2" t="s">
        <v>101</v>
      </c>
      <c r="B328" s="2" t="s">
        <v>170</v>
      </c>
      <c r="C328" s="2" t="s">
        <v>171</v>
      </c>
      <c r="D328" s="2" t="s">
        <v>78</v>
      </c>
      <c r="E328" s="2" t="s">
        <v>72</v>
      </c>
      <c r="F328" s="212">
        <v>0</v>
      </c>
      <c r="G328" s="212">
        <v>0</v>
      </c>
      <c r="H328" s="212">
        <v>17.164584326448576</v>
      </c>
      <c r="I328" s="212">
        <v>15.932901018349822</v>
      </c>
      <c r="J328" s="212">
        <v>6.2611995090866799</v>
      </c>
      <c r="K328" s="212">
        <v>0.86799485190968728</v>
      </c>
      <c r="L328" s="212">
        <v>0.13616999422910497</v>
      </c>
      <c r="M328" s="180">
        <f t="shared" si="5"/>
        <v>40.362849700023872</v>
      </c>
    </row>
    <row r="329" spans="1:13">
      <c r="A329" s="2" t="s">
        <v>101</v>
      </c>
      <c r="B329" s="2" t="s">
        <v>172</v>
      </c>
      <c r="C329" s="2" t="s">
        <v>173</v>
      </c>
      <c r="D329" s="2" t="s">
        <v>78</v>
      </c>
      <c r="E329" s="2" t="s">
        <v>72</v>
      </c>
      <c r="F329" s="212">
        <v>0</v>
      </c>
      <c r="G329" s="212">
        <v>0</v>
      </c>
      <c r="H329" s="212">
        <v>0</v>
      </c>
      <c r="I329" s="212">
        <v>0</v>
      </c>
      <c r="J329" s="212">
        <v>1.7624425652175266E-3</v>
      </c>
      <c r="K329" s="212">
        <v>6.5603501617239338E-2</v>
      </c>
      <c r="L329" s="212">
        <v>9.3861205700479552E-2</v>
      </c>
      <c r="M329" s="180">
        <f t="shared" si="5"/>
        <v>0.1612271498829364</v>
      </c>
    </row>
    <row r="330" spans="1:13">
      <c r="A330" s="2" t="s">
        <v>101</v>
      </c>
      <c r="B330" s="2" t="s">
        <v>174</v>
      </c>
      <c r="C330" s="2" t="s">
        <v>175</v>
      </c>
      <c r="D330" s="2" t="s">
        <v>78</v>
      </c>
      <c r="E330" s="2" t="s">
        <v>72</v>
      </c>
      <c r="F330" s="212">
        <v>0</v>
      </c>
      <c r="G330" s="212">
        <v>0</v>
      </c>
      <c r="H330" s="212">
        <v>0</v>
      </c>
      <c r="I330" s="212">
        <v>0</v>
      </c>
      <c r="J330" s="212">
        <v>0</v>
      </c>
      <c r="K330" s="212">
        <v>0</v>
      </c>
      <c r="L330" s="212">
        <v>0</v>
      </c>
      <c r="M330" s="180">
        <f t="shared" si="5"/>
        <v>0</v>
      </c>
    </row>
    <row r="331" spans="1:13">
      <c r="A331" s="2" t="s">
        <v>101</v>
      </c>
      <c r="B331" s="2" t="s">
        <v>176</v>
      </c>
      <c r="C331" s="2" t="s">
        <v>177</v>
      </c>
      <c r="D331" s="2" t="s">
        <v>78</v>
      </c>
      <c r="E331" s="2" t="s">
        <v>72</v>
      </c>
      <c r="F331" s="212">
        <v>0</v>
      </c>
      <c r="G331" s="212">
        <v>0</v>
      </c>
      <c r="H331" s="212">
        <v>0</v>
      </c>
      <c r="I331" s="212">
        <v>0</v>
      </c>
      <c r="J331" s="212">
        <v>0</v>
      </c>
      <c r="K331" s="212">
        <v>0</v>
      </c>
      <c r="L331" s="212">
        <v>0</v>
      </c>
      <c r="M331" s="180">
        <f t="shared" si="5"/>
        <v>0</v>
      </c>
    </row>
    <row r="332" spans="1:13">
      <c r="A332" s="2" t="s">
        <v>101</v>
      </c>
      <c r="B332" s="2" t="s">
        <v>178</v>
      </c>
      <c r="C332" s="2" t="s">
        <v>179</v>
      </c>
      <c r="D332" s="2" t="s">
        <v>78</v>
      </c>
      <c r="E332" s="2" t="s">
        <v>72</v>
      </c>
      <c r="F332" s="212">
        <v>0</v>
      </c>
      <c r="G332" s="212">
        <v>0</v>
      </c>
      <c r="H332" s="212">
        <v>0</v>
      </c>
      <c r="I332" s="212">
        <v>0</v>
      </c>
      <c r="J332" s="212">
        <v>0</v>
      </c>
      <c r="K332" s="212">
        <v>0</v>
      </c>
      <c r="L332" s="212">
        <v>0</v>
      </c>
      <c r="M332" s="180">
        <f t="shared" si="5"/>
        <v>0</v>
      </c>
    </row>
    <row r="333" spans="1:13">
      <c r="A333" s="2" t="s">
        <v>101</v>
      </c>
      <c r="B333" s="2" t="s">
        <v>180</v>
      </c>
      <c r="C333" s="2" t="s">
        <v>181</v>
      </c>
      <c r="D333" s="2" t="s">
        <v>78</v>
      </c>
      <c r="E333" s="2" t="s">
        <v>72</v>
      </c>
      <c r="F333" s="212">
        <v>0</v>
      </c>
      <c r="G333" s="212">
        <v>0</v>
      </c>
      <c r="H333" s="212">
        <v>0</v>
      </c>
      <c r="I333" s="212">
        <v>0</v>
      </c>
      <c r="J333" s="212">
        <v>0</v>
      </c>
      <c r="K333" s="212">
        <v>0</v>
      </c>
      <c r="L333" s="212">
        <v>0</v>
      </c>
      <c r="M333" s="180">
        <f t="shared" si="5"/>
        <v>0</v>
      </c>
    </row>
    <row r="334" spans="1:13">
      <c r="A334" s="2" t="s">
        <v>101</v>
      </c>
      <c r="B334" s="2" t="s">
        <v>182</v>
      </c>
      <c r="C334" s="2" t="s">
        <v>183</v>
      </c>
      <c r="D334" s="2" t="s">
        <v>78</v>
      </c>
      <c r="E334" s="2" t="s">
        <v>72</v>
      </c>
      <c r="F334" s="212">
        <v>0</v>
      </c>
      <c r="G334" s="212">
        <v>0</v>
      </c>
      <c r="H334" s="212">
        <v>0</v>
      </c>
      <c r="I334" s="212">
        <v>0</v>
      </c>
      <c r="J334" s="212">
        <v>0</v>
      </c>
      <c r="K334" s="212">
        <v>0</v>
      </c>
      <c r="L334" s="212">
        <v>0</v>
      </c>
      <c r="M334" s="180">
        <f t="shared" si="5"/>
        <v>0</v>
      </c>
    </row>
    <row r="335" spans="1:13">
      <c r="A335" s="2" t="s">
        <v>101</v>
      </c>
      <c r="B335" s="2" t="s">
        <v>184</v>
      </c>
      <c r="C335" s="2" t="s">
        <v>185</v>
      </c>
      <c r="D335" s="2" t="s">
        <v>78</v>
      </c>
      <c r="E335" s="2" t="s">
        <v>72</v>
      </c>
      <c r="F335" s="212">
        <v>0</v>
      </c>
      <c r="G335" s="212">
        <v>0</v>
      </c>
      <c r="H335" s="212">
        <v>0</v>
      </c>
      <c r="I335" s="212">
        <v>0</v>
      </c>
      <c r="J335" s="212">
        <v>0</v>
      </c>
      <c r="K335" s="212">
        <v>0</v>
      </c>
      <c r="L335" s="212">
        <v>0</v>
      </c>
      <c r="M335" s="180">
        <f t="shared" si="5"/>
        <v>0</v>
      </c>
    </row>
    <row r="336" spans="1:13">
      <c r="A336" s="2" t="s">
        <v>101</v>
      </c>
      <c r="B336" s="2" t="s">
        <v>186</v>
      </c>
      <c r="C336" s="2" t="s">
        <v>187</v>
      </c>
      <c r="D336" s="2" t="s">
        <v>78</v>
      </c>
      <c r="E336" s="2" t="s">
        <v>72</v>
      </c>
      <c r="F336" s="212">
        <v>0</v>
      </c>
      <c r="G336" s="212">
        <v>0</v>
      </c>
      <c r="H336" s="212">
        <v>0</v>
      </c>
      <c r="I336" s="212">
        <v>0</v>
      </c>
      <c r="J336" s="212">
        <v>0</v>
      </c>
      <c r="K336" s="212">
        <v>0</v>
      </c>
      <c r="L336" s="212">
        <v>0</v>
      </c>
      <c r="M336" s="180">
        <f t="shared" si="5"/>
        <v>0</v>
      </c>
    </row>
    <row r="337" spans="1:13">
      <c r="A337" s="2" t="s">
        <v>101</v>
      </c>
      <c r="B337" s="2" t="s">
        <v>188</v>
      </c>
      <c r="C337" s="2" t="s">
        <v>189</v>
      </c>
      <c r="D337" s="2" t="s">
        <v>78</v>
      </c>
      <c r="E337" s="2" t="s">
        <v>72</v>
      </c>
      <c r="F337" s="212">
        <v>0</v>
      </c>
      <c r="G337" s="212">
        <v>0</v>
      </c>
      <c r="H337" s="212">
        <v>0</v>
      </c>
      <c r="I337" s="212">
        <v>0</v>
      </c>
      <c r="J337" s="212">
        <v>0</v>
      </c>
      <c r="K337" s="212">
        <v>0</v>
      </c>
      <c r="L337" s="212">
        <v>0</v>
      </c>
      <c r="M337" s="180">
        <f t="shared" si="5"/>
        <v>0</v>
      </c>
    </row>
    <row r="338" spans="1:13">
      <c r="A338" s="2" t="s">
        <v>101</v>
      </c>
      <c r="B338" s="2" t="s">
        <v>190</v>
      </c>
      <c r="C338" s="2" t="s">
        <v>191</v>
      </c>
      <c r="D338" s="2" t="s">
        <v>78</v>
      </c>
      <c r="E338" s="2" t="s">
        <v>72</v>
      </c>
      <c r="F338" s="212">
        <v>0</v>
      </c>
      <c r="G338" s="212">
        <v>0</v>
      </c>
      <c r="H338" s="212">
        <v>0</v>
      </c>
      <c r="I338" s="212">
        <v>0</v>
      </c>
      <c r="J338" s="212">
        <v>0</v>
      </c>
      <c r="K338" s="212">
        <v>0</v>
      </c>
      <c r="L338" s="212">
        <v>0</v>
      </c>
      <c r="M338" s="180">
        <f t="shared" si="5"/>
        <v>0</v>
      </c>
    </row>
    <row r="339" spans="1:13">
      <c r="A339" s="2" t="s">
        <v>101</v>
      </c>
      <c r="B339" s="2" t="s">
        <v>192</v>
      </c>
      <c r="C339" s="2" t="s">
        <v>193</v>
      </c>
      <c r="D339" s="2" t="s">
        <v>78</v>
      </c>
      <c r="E339" s="2" t="s">
        <v>72</v>
      </c>
      <c r="F339" s="212">
        <v>0</v>
      </c>
      <c r="G339" s="212">
        <v>0</v>
      </c>
      <c r="H339" s="212">
        <v>0</v>
      </c>
      <c r="I339" s="212">
        <v>0</v>
      </c>
      <c r="J339" s="212">
        <v>0</v>
      </c>
      <c r="K339" s="212">
        <v>0</v>
      </c>
      <c r="L339" s="212">
        <v>0</v>
      </c>
      <c r="M339" s="180">
        <f t="shared" si="5"/>
        <v>0</v>
      </c>
    </row>
    <row r="340" spans="1:13">
      <c r="A340" s="2" t="s">
        <v>101</v>
      </c>
      <c r="B340" s="2" t="s">
        <v>194</v>
      </c>
      <c r="C340" s="2" t="s">
        <v>195</v>
      </c>
      <c r="D340" s="2" t="s">
        <v>78</v>
      </c>
      <c r="E340" s="2" t="s">
        <v>72</v>
      </c>
      <c r="F340" s="212">
        <v>0</v>
      </c>
      <c r="G340" s="212">
        <v>0</v>
      </c>
      <c r="H340" s="212">
        <v>0</v>
      </c>
      <c r="I340" s="212">
        <v>0</v>
      </c>
      <c r="J340" s="212">
        <v>0</v>
      </c>
      <c r="K340" s="212">
        <v>52.773101800207016</v>
      </c>
      <c r="L340" s="212">
        <v>123.83850174787544</v>
      </c>
      <c r="M340" s="180">
        <f t="shared" si="5"/>
        <v>176.61160354808246</v>
      </c>
    </row>
    <row r="341" spans="1:13">
      <c r="A341" s="2" t="s">
        <v>101</v>
      </c>
      <c r="B341" s="2" t="s">
        <v>196</v>
      </c>
      <c r="C341" s="2" t="s">
        <v>197</v>
      </c>
      <c r="D341" s="2" t="s">
        <v>78</v>
      </c>
      <c r="E341" s="2" t="s">
        <v>72</v>
      </c>
      <c r="F341" s="212">
        <v>0</v>
      </c>
      <c r="G341" s="212">
        <v>0</v>
      </c>
      <c r="H341" s="212">
        <v>1.3950586649158672</v>
      </c>
      <c r="I341" s="212">
        <v>1.239352330057643</v>
      </c>
      <c r="J341" s="212">
        <v>2.5100493962339838</v>
      </c>
      <c r="K341" s="212">
        <v>2.1343442539968525</v>
      </c>
      <c r="L341" s="212">
        <v>2.244959350490098</v>
      </c>
      <c r="M341" s="180">
        <f t="shared" si="5"/>
        <v>9.5237639956944449</v>
      </c>
    </row>
    <row r="342" spans="1:13">
      <c r="A342" s="2" t="s">
        <v>101</v>
      </c>
      <c r="B342" s="2" t="s">
        <v>198</v>
      </c>
      <c r="C342" s="2" t="s">
        <v>199</v>
      </c>
      <c r="D342" s="2" t="s">
        <v>78</v>
      </c>
      <c r="E342" s="2" t="s">
        <v>72</v>
      </c>
      <c r="F342" s="212">
        <v>0</v>
      </c>
      <c r="G342" s="212">
        <v>0</v>
      </c>
      <c r="H342" s="212">
        <v>0</v>
      </c>
      <c r="I342" s="212">
        <v>0</v>
      </c>
      <c r="J342" s="212">
        <v>0</v>
      </c>
      <c r="K342" s="212">
        <v>0</v>
      </c>
      <c r="L342" s="212">
        <v>0</v>
      </c>
      <c r="M342" s="180">
        <f t="shared" si="5"/>
        <v>0</v>
      </c>
    </row>
    <row r="343" spans="1:13">
      <c r="A343" s="2" t="s">
        <v>101</v>
      </c>
      <c r="B343" s="2" t="s">
        <v>200</v>
      </c>
      <c r="C343" s="2" t="s">
        <v>201</v>
      </c>
      <c r="D343" s="2" t="s">
        <v>78</v>
      </c>
      <c r="E343" s="2" t="s">
        <v>72</v>
      </c>
      <c r="F343" s="212">
        <v>0</v>
      </c>
      <c r="G343" s="212">
        <v>0</v>
      </c>
      <c r="H343" s="212">
        <v>1.2545545217336624</v>
      </c>
      <c r="I343" s="212">
        <v>0.9707283873147462</v>
      </c>
      <c r="J343" s="212">
        <v>4.8793939302004272</v>
      </c>
      <c r="K343" s="212">
        <v>8.1594548379764458</v>
      </c>
      <c r="L343" s="212">
        <v>15.938988627811471</v>
      </c>
      <c r="M343" s="180">
        <f t="shared" si="5"/>
        <v>31.203120305036752</v>
      </c>
    </row>
    <row r="344" spans="1:13">
      <c r="A344" s="2" t="s">
        <v>101</v>
      </c>
      <c r="B344" s="2" t="s">
        <v>202</v>
      </c>
      <c r="C344" s="2" t="s">
        <v>203</v>
      </c>
      <c r="D344" s="2" t="s">
        <v>78</v>
      </c>
      <c r="E344" s="2" t="s">
        <v>72</v>
      </c>
      <c r="F344" s="212">
        <v>0</v>
      </c>
      <c r="G344" s="212">
        <v>0</v>
      </c>
      <c r="H344" s="212">
        <v>0</v>
      </c>
      <c r="I344" s="212">
        <v>0</v>
      </c>
      <c r="J344" s="212">
        <v>0</v>
      </c>
      <c r="K344" s="212">
        <v>0</v>
      </c>
      <c r="L344" s="212">
        <v>0</v>
      </c>
      <c r="M344" s="180">
        <f t="shared" si="5"/>
        <v>0</v>
      </c>
    </row>
    <row r="345" spans="1:13">
      <c r="A345" s="2" t="s">
        <v>101</v>
      </c>
      <c r="B345" s="2" t="s">
        <v>204</v>
      </c>
      <c r="C345" s="2" t="s">
        <v>205</v>
      </c>
      <c r="D345" s="2" t="s">
        <v>78</v>
      </c>
      <c r="E345" s="2" t="s">
        <v>72</v>
      </c>
      <c r="F345" s="212">
        <v>0</v>
      </c>
      <c r="G345" s="212">
        <v>0</v>
      </c>
      <c r="H345" s="212">
        <v>15.597010820988263</v>
      </c>
      <c r="I345" s="212">
        <v>13.071021972014631</v>
      </c>
      <c r="J345" s="212">
        <v>12.344979991328239</v>
      </c>
      <c r="K345" s="212">
        <v>13.573947626843417</v>
      </c>
      <c r="L345" s="212">
        <v>12.664165240121337</v>
      </c>
      <c r="M345" s="180">
        <f t="shared" si="5"/>
        <v>67.251125651295879</v>
      </c>
    </row>
    <row r="346" spans="1:13">
      <c r="A346" s="2" t="s">
        <v>101</v>
      </c>
      <c r="B346" s="2" t="s">
        <v>206</v>
      </c>
      <c r="C346" s="2" t="s">
        <v>207</v>
      </c>
      <c r="D346" s="2" t="s">
        <v>78</v>
      </c>
      <c r="E346" s="2" t="s">
        <v>72</v>
      </c>
      <c r="F346" s="212">
        <v>0</v>
      </c>
      <c r="G346" s="212">
        <v>0</v>
      </c>
      <c r="H346" s="212">
        <v>0</v>
      </c>
      <c r="I346" s="212">
        <v>0</v>
      </c>
      <c r="J346" s="212">
        <v>0</v>
      </c>
      <c r="K346" s="212">
        <v>0</v>
      </c>
      <c r="L346" s="212">
        <v>0</v>
      </c>
      <c r="M346" s="180">
        <f t="shared" si="5"/>
        <v>0</v>
      </c>
    </row>
    <row r="347" spans="1:13">
      <c r="A347" s="2" t="s">
        <v>101</v>
      </c>
      <c r="B347" s="2" t="s">
        <v>208</v>
      </c>
      <c r="C347" s="2" t="s">
        <v>209</v>
      </c>
      <c r="D347" s="2" t="s">
        <v>78</v>
      </c>
      <c r="E347" s="2" t="s">
        <v>72</v>
      </c>
      <c r="F347" s="212">
        <v>0</v>
      </c>
      <c r="G347" s="212">
        <v>0</v>
      </c>
      <c r="H347" s="212">
        <v>138.7729692108461</v>
      </c>
      <c r="I347" s="212">
        <v>183.65908109845267</v>
      </c>
      <c r="J347" s="212">
        <v>137.8437893992207</v>
      </c>
      <c r="K347" s="212">
        <v>128.13030671253378</v>
      </c>
      <c r="L347" s="212">
        <v>161.59385357894678</v>
      </c>
      <c r="M347" s="180">
        <f t="shared" si="5"/>
        <v>750</v>
      </c>
    </row>
    <row r="348" spans="1:13">
      <c r="A348" s="2" t="s">
        <v>101</v>
      </c>
      <c r="B348" s="2" t="s">
        <v>210</v>
      </c>
      <c r="C348" s="2" t="s">
        <v>211</v>
      </c>
      <c r="D348" s="2" t="s">
        <v>78</v>
      </c>
      <c r="E348" s="2" t="s">
        <v>72</v>
      </c>
      <c r="F348" s="212">
        <v>0</v>
      </c>
      <c r="G348" s="212">
        <v>0</v>
      </c>
      <c r="H348" s="212">
        <v>18.579381616107774</v>
      </c>
      <c r="I348" s="212">
        <v>18.047917896036633</v>
      </c>
      <c r="J348" s="212">
        <v>44.221275114469108</v>
      </c>
      <c r="K348" s="212">
        <v>71.938048264316478</v>
      </c>
      <c r="L348" s="212">
        <v>137.70499307833899</v>
      </c>
      <c r="M348" s="180">
        <f t="shared" si="5"/>
        <v>290.49161596926899</v>
      </c>
    </row>
    <row r="349" spans="1:13">
      <c r="A349" s="2" t="s">
        <v>102</v>
      </c>
      <c r="B349" s="2" t="s">
        <v>126</v>
      </c>
      <c r="C349" s="2" t="s">
        <v>127</v>
      </c>
      <c r="D349" s="2" t="s">
        <v>78</v>
      </c>
      <c r="E349" s="2" t="s">
        <v>72</v>
      </c>
      <c r="F349" s="212">
        <v>15.507589650428324</v>
      </c>
      <c r="G349" s="212">
        <v>238.94077291792922</v>
      </c>
      <c r="H349" s="212">
        <v>769.05882592171474</v>
      </c>
      <c r="I349" s="212">
        <v>991.59684498805677</v>
      </c>
      <c r="J349" s="212">
        <v>1216.1998861512782</v>
      </c>
      <c r="K349" s="212">
        <v>998.29653248926979</v>
      </c>
      <c r="L349" s="212">
        <v>444.5583754809183</v>
      </c>
      <c r="M349" s="180">
        <f t="shared" si="5"/>
        <v>4674.1588275995955</v>
      </c>
    </row>
    <row r="350" spans="1:13">
      <c r="A350" s="2" t="s">
        <v>102</v>
      </c>
      <c r="B350" s="2" t="s">
        <v>128</v>
      </c>
      <c r="C350" s="2" t="s">
        <v>129</v>
      </c>
      <c r="D350" s="2" t="s">
        <v>78</v>
      </c>
      <c r="E350" s="2" t="s">
        <v>72</v>
      </c>
      <c r="F350" s="212">
        <v>0</v>
      </c>
      <c r="G350" s="212">
        <v>0.48001677494244055</v>
      </c>
      <c r="H350" s="212">
        <v>0.61215008926485193</v>
      </c>
      <c r="I350" s="212">
        <v>0.62274500752225836</v>
      </c>
      <c r="J350" s="212">
        <v>0.29551051859487754</v>
      </c>
      <c r="K350" s="212">
        <v>0.2979001370597385</v>
      </c>
      <c r="L350" s="212">
        <v>0.29507051891807934</v>
      </c>
      <c r="M350" s="180">
        <f t="shared" si="5"/>
        <v>2.6033930463022461</v>
      </c>
    </row>
    <row r="351" spans="1:13">
      <c r="A351" s="2" t="s">
        <v>102</v>
      </c>
      <c r="B351" s="2" t="s">
        <v>130</v>
      </c>
      <c r="C351" s="2" t="s">
        <v>131</v>
      </c>
      <c r="D351" s="2" t="s">
        <v>78</v>
      </c>
      <c r="E351" s="2" t="s">
        <v>72</v>
      </c>
      <c r="F351" s="212">
        <v>0</v>
      </c>
      <c r="G351" s="212">
        <v>7.7703085232734113</v>
      </c>
      <c r="H351" s="212">
        <v>7.7107507313626664</v>
      </c>
      <c r="I351" s="212">
        <v>8.0999205201183688</v>
      </c>
      <c r="J351" s="212">
        <v>1.2887879570593763</v>
      </c>
      <c r="K351" s="212">
        <v>1.2992096216218538</v>
      </c>
      <c r="L351" s="212">
        <v>1.2868690193265881</v>
      </c>
      <c r="M351" s="180">
        <f t="shared" si="5"/>
        <v>27.455846372762267</v>
      </c>
    </row>
    <row r="352" spans="1:13">
      <c r="A352" s="2" t="s">
        <v>102</v>
      </c>
      <c r="B352" s="2" t="s">
        <v>132</v>
      </c>
      <c r="C352" s="2" t="s">
        <v>133</v>
      </c>
      <c r="D352" s="2" t="s">
        <v>78</v>
      </c>
      <c r="E352" s="2" t="s">
        <v>72</v>
      </c>
      <c r="F352" s="212">
        <v>0</v>
      </c>
      <c r="G352" s="212">
        <v>0</v>
      </c>
      <c r="H352" s="212">
        <v>15.837147867378086</v>
      </c>
      <c r="I352" s="212">
        <v>15.753431314918558</v>
      </c>
      <c r="J352" s="212">
        <v>15.656767171829669</v>
      </c>
      <c r="K352" s="212">
        <v>15.541140017819071</v>
      </c>
      <c r="L352" s="212">
        <v>19.687459327338978</v>
      </c>
      <c r="M352" s="180">
        <f t="shared" si="5"/>
        <v>82.475945699284352</v>
      </c>
    </row>
    <row r="353" spans="1:13">
      <c r="A353" s="2" t="s">
        <v>102</v>
      </c>
      <c r="B353" s="2" t="s">
        <v>134</v>
      </c>
      <c r="C353" s="2" t="s">
        <v>135</v>
      </c>
      <c r="D353" s="2" t="s">
        <v>78</v>
      </c>
      <c r="E353" s="2" t="s">
        <v>72</v>
      </c>
      <c r="F353" s="212">
        <v>0</v>
      </c>
      <c r="G353" s="212">
        <v>0</v>
      </c>
      <c r="H353" s="212">
        <v>3.7252279597555251</v>
      </c>
      <c r="I353" s="212">
        <v>3.7631549938864479</v>
      </c>
      <c r="J353" s="212">
        <v>3.6984164786988614</v>
      </c>
      <c r="K353" s="212">
        <v>16.972236612682277</v>
      </c>
      <c r="L353" s="212">
        <v>26.191959176200012</v>
      </c>
      <c r="M353" s="180">
        <f t="shared" si="5"/>
        <v>54.350995221223123</v>
      </c>
    </row>
    <row r="354" spans="1:13">
      <c r="A354" s="2" t="s">
        <v>102</v>
      </c>
      <c r="B354" s="2" t="s">
        <v>136</v>
      </c>
      <c r="C354" s="2" t="s">
        <v>137</v>
      </c>
      <c r="D354" s="2" t="s">
        <v>78</v>
      </c>
      <c r="E354" s="2" t="s">
        <v>72</v>
      </c>
      <c r="F354" s="212">
        <v>0</v>
      </c>
      <c r="G354" s="212">
        <v>0</v>
      </c>
      <c r="H354" s="212">
        <v>0</v>
      </c>
      <c r="I354" s="212">
        <v>0</v>
      </c>
      <c r="J354" s="212">
        <v>0</v>
      </c>
      <c r="K354" s="212">
        <v>0</v>
      </c>
      <c r="L354" s="212">
        <v>0</v>
      </c>
      <c r="M354" s="180">
        <f t="shared" si="5"/>
        <v>0</v>
      </c>
    </row>
    <row r="355" spans="1:13">
      <c r="A355" s="2" t="s">
        <v>102</v>
      </c>
      <c r="B355" s="2" t="s">
        <v>138</v>
      </c>
      <c r="C355" s="2" t="s">
        <v>139</v>
      </c>
      <c r="D355" s="2" t="s">
        <v>78</v>
      </c>
      <c r="E355" s="2" t="s">
        <v>72</v>
      </c>
      <c r="F355" s="212">
        <v>11.922797811771995</v>
      </c>
      <c r="G355" s="212">
        <v>134.98755132507983</v>
      </c>
      <c r="H355" s="212">
        <v>322.82456956560725</v>
      </c>
      <c r="I355" s="212">
        <v>486.06072462358691</v>
      </c>
      <c r="J355" s="212">
        <v>615.16982301962503</v>
      </c>
      <c r="K355" s="212">
        <v>485.6720136388671</v>
      </c>
      <c r="L355" s="212">
        <v>165.84195044835181</v>
      </c>
      <c r="M355" s="180">
        <f t="shared" si="5"/>
        <v>2222.4794304328898</v>
      </c>
    </row>
    <row r="356" spans="1:13">
      <c r="A356" s="2" t="s">
        <v>102</v>
      </c>
      <c r="B356" s="2" t="s">
        <v>140</v>
      </c>
      <c r="C356" s="2" t="s">
        <v>141</v>
      </c>
      <c r="D356" s="2" t="s">
        <v>78</v>
      </c>
      <c r="E356" s="2" t="s">
        <v>72</v>
      </c>
      <c r="F356" s="212">
        <v>0</v>
      </c>
      <c r="G356" s="212">
        <v>0</v>
      </c>
      <c r="H356" s="212">
        <v>0</v>
      </c>
      <c r="I356" s="212">
        <v>0</v>
      </c>
      <c r="J356" s="212">
        <v>0</v>
      </c>
      <c r="K356" s="212">
        <v>0</v>
      </c>
      <c r="L356" s="212">
        <v>0</v>
      </c>
      <c r="M356" s="180">
        <f t="shared" si="5"/>
        <v>0</v>
      </c>
    </row>
    <row r="357" spans="1:13">
      <c r="A357" s="2" t="s">
        <v>102</v>
      </c>
      <c r="B357" s="2" t="s">
        <v>142</v>
      </c>
      <c r="C357" s="2" t="s">
        <v>143</v>
      </c>
      <c r="D357" s="2" t="s">
        <v>78</v>
      </c>
      <c r="E357" s="2" t="s">
        <v>72</v>
      </c>
      <c r="F357" s="212">
        <v>0.31084484288372688</v>
      </c>
      <c r="G357" s="212">
        <v>2.0097991808560458</v>
      </c>
      <c r="H357" s="212">
        <v>3.2114208112018265</v>
      </c>
      <c r="I357" s="212">
        <v>2.6420139343717906</v>
      </c>
      <c r="J357" s="212">
        <v>3.3293026190301528E-2</v>
      </c>
      <c r="K357" s="212">
        <v>5.4773205339856586E-2</v>
      </c>
      <c r="L357" s="212">
        <v>3.3431785408337918E-2</v>
      </c>
      <c r="M357" s="180">
        <f t="shared" si="5"/>
        <v>8.2955767862518854</v>
      </c>
    </row>
    <row r="358" spans="1:13">
      <c r="A358" s="2" t="s">
        <v>102</v>
      </c>
      <c r="B358" s="2" t="s">
        <v>144</v>
      </c>
      <c r="C358" s="2" t="s">
        <v>145</v>
      </c>
      <c r="D358" s="2" t="s">
        <v>78</v>
      </c>
      <c r="E358" s="2" t="s">
        <v>72</v>
      </c>
      <c r="F358" s="212">
        <v>0</v>
      </c>
      <c r="G358" s="212">
        <v>0</v>
      </c>
      <c r="H358" s="212">
        <v>0</v>
      </c>
      <c r="I358" s="212">
        <v>0</v>
      </c>
      <c r="J358" s="212">
        <v>0</v>
      </c>
      <c r="K358" s="212">
        <v>0</v>
      </c>
      <c r="L358" s="212">
        <v>0</v>
      </c>
      <c r="M358" s="180">
        <f t="shared" si="5"/>
        <v>0</v>
      </c>
    </row>
    <row r="359" spans="1:13">
      <c r="A359" s="2" t="s">
        <v>102</v>
      </c>
      <c r="B359" s="2" t="s">
        <v>146</v>
      </c>
      <c r="C359" s="2" t="s">
        <v>147</v>
      </c>
      <c r="D359" s="2" t="s">
        <v>78</v>
      </c>
      <c r="E359" s="2" t="s">
        <v>72</v>
      </c>
      <c r="F359" s="212">
        <v>0</v>
      </c>
      <c r="G359" s="212">
        <v>0.59479611384849806</v>
      </c>
      <c r="H359" s="212">
        <v>2.8023449282570367</v>
      </c>
      <c r="I359" s="212">
        <v>0</v>
      </c>
      <c r="J359" s="212">
        <v>0</v>
      </c>
      <c r="K359" s="212">
        <v>0</v>
      </c>
      <c r="L359" s="212">
        <v>0</v>
      </c>
      <c r="M359" s="180">
        <f t="shared" si="5"/>
        <v>3.3971410421055346</v>
      </c>
    </row>
    <row r="360" spans="1:13">
      <c r="A360" s="2" t="s">
        <v>102</v>
      </c>
      <c r="B360" s="2" t="s">
        <v>148</v>
      </c>
      <c r="C360" s="2" t="s">
        <v>149</v>
      </c>
      <c r="D360" s="2" t="s">
        <v>78</v>
      </c>
      <c r="E360" s="2" t="s">
        <v>72</v>
      </c>
      <c r="F360" s="212">
        <v>2.8842861524352128</v>
      </c>
      <c r="G360" s="212">
        <v>15.339061281496942</v>
      </c>
      <c r="H360" s="212">
        <v>79.062302992325371</v>
      </c>
      <c r="I360" s="212">
        <v>84.675997974897513</v>
      </c>
      <c r="J360" s="212">
        <v>125.42891331872391</v>
      </c>
      <c r="K360" s="212">
        <v>138.70336401563608</v>
      </c>
      <c r="L360" s="212">
        <v>54.147337567695622</v>
      </c>
      <c r="M360" s="180">
        <f t="shared" si="5"/>
        <v>500.2412633032107</v>
      </c>
    </row>
    <row r="361" spans="1:13">
      <c r="A361" s="2" t="s">
        <v>102</v>
      </c>
      <c r="B361" s="2" t="s">
        <v>150</v>
      </c>
      <c r="C361" s="2" t="s">
        <v>151</v>
      </c>
      <c r="D361" s="2" t="s">
        <v>78</v>
      </c>
      <c r="E361" s="2" t="s">
        <v>72</v>
      </c>
      <c r="F361" s="212">
        <v>0</v>
      </c>
      <c r="G361" s="212">
        <v>0</v>
      </c>
      <c r="H361" s="212">
        <v>0</v>
      </c>
      <c r="I361" s="212">
        <v>0</v>
      </c>
      <c r="J361" s="212">
        <v>0</v>
      </c>
      <c r="K361" s="212">
        <v>0</v>
      </c>
      <c r="L361" s="212">
        <v>0</v>
      </c>
      <c r="M361" s="180">
        <f t="shared" si="5"/>
        <v>0</v>
      </c>
    </row>
    <row r="362" spans="1:13">
      <c r="A362" s="2" t="s">
        <v>102</v>
      </c>
      <c r="B362" s="2" t="s">
        <v>152</v>
      </c>
      <c r="C362" s="2" t="s">
        <v>153</v>
      </c>
      <c r="D362" s="2" t="s">
        <v>78</v>
      </c>
      <c r="E362" s="2" t="s">
        <v>72</v>
      </c>
      <c r="F362" s="212">
        <v>6.3490666762832826E-2</v>
      </c>
      <c r="G362" s="212">
        <v>65.201696869610316</v>
      </c>
      <c r="H362" s="212">
        <v>117.71032410939091</v>
      </c>
      <c r="I362" s="212">
        <v>223.18235743577338</v>
      </c>
      <c r="J362" s="212">
        <v>268.88527755919682</v>
      </c>
      <c r="K362" s="212">
        <v>190.02689050255199</v>
      </c>
      <c r="L362" s="212">
        <v>94.269041465632313</v>
      </c>
      <c r="M362" s="180">
        <f t="shared" si="5"/>
        <v>959.3390786089185</v>
      </c>
    </row>
    <row r="363" spans="1:13">
      <c r="A363" s="2" t="s">
        <v>102</v>
      </c>
      <c r="B363" s="2" t="s">
        <v>154</v>
      </c>
      <c r="C363" s="2" t="s">
        <v>155</v>
      </c>
      <c r="D363" s="2" t="s">
        <v>78</v>
      </c>
      <c r="E363" s="2" t="s">
        <v>72</v>
      </c>
      <c r="F363" s="212">
        <v>0</v>
      </c>
      <c r="G363" s="212">
        <v>0</v>
      </c>
      <c r="H363" s="212">
        <v>0</v>
      </c>
      <c r="I363" s="212">
        <v>0</v>
      </c>
      <c r="J363" s="212">
        <v>0</v>
      </c>
      <c r="K363" s="212">
        <v>0</v>
      </c>
      <c r="L363" s="212">
        <v>0</v>
      </c>
      <c r="M363" s="180">
        <f t="shared" si="5"/>
        <v>0</v>
      </c>
    </row>
    <row r="364" spans="1:13">
      <c r="A364" s="2" t="s">
        <v>102</v>
      </c>
      <c r="B364" s="2" t="s">
        <v>156</v>
      </c>
      <c r="C364" s="2" t="s">
        <v>157</v>
      </c>
      <c r="D364" s="2" t="s">
        <v>78</v>
      </c>
      <c r="E364" s="2" t="s">
        <v>72</v>
      </c>
      <c r="F364" s="212">
        <v>1.4208143974021089E-2</v>
      </c>
      <c r="G364" s="212">
        <v>0.326065177636787</v>
      </c>
      <c r="H364" s="212">
        <v>1.0912151360937035</v>
      </c>
      <c r="I364" s="212">
        <v>0.40383901004381173</v>
      </c>
      <c r="J364" s="212">
        <v>1.9809937913364404</v>
      </c>
      <c r="K364" s="212">
        <v>1.7433135302083289</v>
      </c>
      <c r="L364" s="212">
        <v>0.18576894418176579</v>
      </c>
      <c r="M364" s="180">
        <f t="shared" si="5"/>
        <v>5.7454037334748582</v>
      </c>
    </row>
    <row r="365" spans="1:13">
      <c r="A365" s="2" t="s">
        <v>102</v>
      </c>
      <c r="B365" s="2" t="s">
        <v>158</v>
      </c>
      <c r="C365" s="2" t="s">
        <v>159</v>
      </c>
      <c r="D365" s="2" t="s">
        <v>78</v>
      </c>
      <c r="E365" s="2" t="s">
        <v>72</v>
      </c>
      <c r="F365" s="212">
        <v>0</v>
      </c>
      <c r="G365" s="212">
        <v>0</v>
      </c>
      <c r="H365" s="212">
        <v>0</v>
      </c>
      <c r="I365" s="212">
        <v>0</v>
      </c>
      <c r="J365" s="212">
        <v>0</v>
      </c>
      <c r="K365" s="212">
        <v>0</v>
      </c>
      <c r="L365" s="212">
        <v>0</v>
      </c>
      <c r="M365" s="180">
        <f t="shared" si="5"/>
        <v>0</v>
      </c>
    </row>
    <row r="366" spans="1:13">
      <c r="A366" s="2" t="s">
        <v>102</v>
      </c>
      <c r="B366" s="2" t="s">
        <v>160</v>
      </c>
      <c r="C366" s="2" t="s">
        <v>161</v>
      </c>
      <c r="D366" s="2" t="s">
        <v>78</v>
      </c>
      <c r="E366" s="2" t="s">
        <v>72</v>
      </c>
      <c r="F366" s="212">
        <v>0</v>
      </c>
      <c r="G366" s="212">
        <v>0</v>
      </c>
      <c r="H366" s="212">
        <v>0</v>
      </c>
      <c r="I366" s="212">
        <v>0</v>
      </c>
      <c r="J366" s="212">
        <v>0</v>
      </c>
      <c r="K366" s="212">
        <v>0</v>
      </c>
      <c r="L366" s="212">
        <v>0</v>
      </c>
      <c r="M366" s="180">
        <f t="shared" si="5"/>
        <v>0</v>
      </c>
    </row>
    <row r="367" spans="1:13">
      <c r="A367" s="2" t="s">
        <v>102</v>
      </c>
      <c r="B367" s="2" t="s">
        <v>162</v>
      </c>
      <c r="C367" s="2" t="s">
        <v>163</v>
      </c>
      <c r="D367" s="2" t="s">
        <v>78</v>
      </c>
      <c r="E367" s="2" t="s">
        <v>72</v>
      </c>
      <c r="F367" s="212">
        <v>1.061043330508888E-2</v>
      </c>
      <c r="G367" s="212">
        <v>1.3594882099615024</v>
      </c>
      <c r="H367" s="212">
        <v>3.1527576073003227</v>
      </c>
      <c r="I367" s="212">
        <v>7.9379410095641649</v>
      </c>
      <c r="J367" s="212">
        <v>22.876370770515404</v>
      </c>
      <c r="K367" s="212">
        <v>14.068068764843595</v>
      </c>
      <c r="L367" s="212">
        <v>6.0417713542919724</v>
      </c>
      <c r="M367" s="180">
        <f t="shared" si="5"/>
        <v>55.44700814978205</v>
      </c>
    </row>
    <row r="368" spans="1:13">
      <c r="A368" s="2" t="s">
        <v>102</v>
      </c>
      <c r="B368" s="2" t="s">
        <v>164</v>
      </c>
      <c r="C368" s="2" t="s">
        <v>165</v>
      </c>
      <c r="D368" s="2" t="s">
        <v>78</v>
      </c>
      <c r="E368" s="2" t="s">
        <v>72</v>
      </c>
      <c r="F368" s="212">
        <v>0.17432990804609116</v>
      </c>
      <c r="G368" s="212">
        <v>1.2645885840832614</v>
      </c>
      <c r="H368" s="212">
        <v>7.2148127201532706</v>
      </c>
      <c r="I368" s="212">
        <v>7.384687721598012</v>
      </c>
      <c r="J368" s="212">
        <v>21.104887421754579</v>
      </c>
      <c r="K368" s="212">
        <v>4.6485843425993432</v>
      </c>
      <c r="L368" s="212">
        <v>0.95470574893775872</v>
      </c>
      <c r="M368" s="180">
        <f t="shared" si="5"/>
        <v>42.746596447172323</v>
      </c>
    </row>
    <row r="369" spans="1:13">
      <c r="A369" s="2" t="s">
        <v>102</v>
      </c>
      <c r="B369" s="2" t="s">
        <v>166</v>
      </c>
      <c r="C369" s="2" t="s">
        <v>167</v>
      </c>
      <c r="D369" s="2" t="s">
        <v>78</v>
      </c>
      <c r="E369" s="2" t="s">
        <v>72</v>
      </c>
      <c r="F369" s="212">
        <v>0</v>
      </c>
      <c r="G369" s="212">
        <v>0</v>
      </c>
      <c r="H369" s="212">
        <v>0</v>
      </c>
      <c r="I369" s="212">
        <v>0</v>
      </c>
      <c r="J369" s="212">
        <v>0</v>
      </c>
      <c r="K369" s="212">
        <v>0</v>
      </c>
      <c r="L369" s="212">
        <v>0</v>
      </c>
      <c r="M369" s="180">
        <f t="shared" si="5"/>
        <v>0</v>
      </c>
    </row>
    <row r="370" spans="1:13">
      <c r="A370" s="2" t="s">
        <v>102</v>
      </c>
      <c r="B370" s="2" t="s">
        <v>168</v>
      </c>
      <c r="C370" s="2" t="s">
        <v>169</v>
      </c>
      <c r="D370" s="2" t="s">
        <v>78</v>
      </c>
      <c r="E370" s="2" t="s">
        <v>72</v>
      </c>
      <c r="F370" s="212">
        <v>0</v>
      </c>
      <c r="G370" s="212">
        <v>0</v>
      </c>
      <c r="H370" s="212">
        <v>0</v>
      </c>
      <c r="I370" s="212">
        <v>0</v>
      </c>
      <c r="J370" s="212">
        <v>0</v>
      </c>
      <c r="K370" s="212">
        <v>0</v>
      </c>
      <c r="L370" s="212">
        <v>0</v>
      </c>
      <c r="M370" s="180">
        <f t="shared" si="5"/>
        <v>0</v>
      </c>
    </row>
    <row r="371" spans="1:13">
      <c r="A371" s="2" t="s">
        <v>102</v>
      </c>
      <c r="B371" s="2" t="s">
        <v>170</v>
      </c>
      <c r="C371" s="2" t="s">
        <v>171</v>
      </c>
      <c r="D371" s="2" t="s">
        <v>78</v>
      </c>
      <c r="E371" s="2" t="s">
        <v>72</v>
      </c>
      <c r="F371" s="212">
        <v>7.1218639388033328E-2</v>
      </c>
      <c r="G371" s="212">
        <v>8.3768732712075415</v>
      </c>
      <c r="H371" s="212">
        <v>30.966590127723705</v>
      </c>
      <c r="I371" s="212">
        <v>27.038591478746877</v>
      </c>
      <c r="J371" s="212">
        <v>0</v>
      </c>
      <c r="K371" s="212">
        <v>0</v>
      </c>
      <c r="L371" s="212">
        <v>0</v>
      </c>
      <c r="M371" s="180">
        <f t="shared" si="5"/>
        <v>66.453273517066165</v>
      </c>
    </row>
    <row r="372" spans="1:13">
      <c r="A372" s="2" t="s">
        <v>102</v>
      </c>
      <c r="B372" s="2" t="s">
        <v>172</v>
      </c>
      <c r="C372" s="2" t="s">
        <v>173</v>
      </c>
      <c r="D372" s="2" t="s">
        <v>78</v>
      </c>
      <c r="E372" s="2" t="s">
        <v>72</v>
      </c>
      <c r="F372" s="212">
        <v>0</v>
      </c>
      <c r="G372" s="212">
        <v>0</v>
      </c>
      <c r="H372" s="212">
        <v>0</v>
      </c>
      <c r="I372" s="212">
        <v>0</v>
      </c>
      <c r="J372" s="212">
        <v>0</v>
      </c>
      <c r="K372" s="212">
        <v>0</v>
      </c>
      <c r="L372" s="212">
        <v>0</v>
      </c>
      <c r="M372" s="180">
        <f t="shared" si="5"/>
        <v>0</v>
      </c>
    </row>
    <row r="373" spans="1:13">
      <c r="A373" s="2" t="s">
        <v>102</v>
      </c>
      <c r="B373" s="2" t="s">
        <v>174</v>
      </c>
      <c r="C373" s="2" t="s">
        <v>175</v>
      </c>
      <c r="D373" s="2" t="s">
        <v>78</v>
      </c>
      <c r="E373" s="2" t="s">
        <v>72</v>
      </c>
      <c r="F373" s="212">
        <v>0</v>
      </c>
      <c r="G373" s="212">
        <v>0</v>
      </c>
      <c r="H373" s="212">
        <v>0</v>
      </c>
      <c r="I373" s="212">
        <v>5.7882514287022679E-2</v>
      </c>
      <c r="J373" s="212">
        <v>4.0035358436121173</v>
      </c>
      <c r="K373" s="212">
        <v>2.8339040462984237</v>
      </c>
      <c r="L373" s="212">
        <v>0.22556972303943224</v>
      </c>
      <c r="M373" s="180">
        <f t="shared" si="5"/>
        <v>7.1208921272369965</v>
      </c>
    </row>
    <row r="374" spans="1:13">
      <c r="A374" s="2" t="s">
        <v>102</v>
      </c>
      <c r="B374" s="2" t="s">
        <v>176</v>
      </c>
      <c r="C374" s="2" t="s">
        <v>177</v>
      </c>
      <c r="D374" s="2" t="s">
        <v>78</v>
      </c>
      <c r="E374" s="2" t="s">
        <v>72</v>
      </c>
      <c r="F374" s="212">
        <v>0</v>
      </c>
      <c r="G374" s="212">
        <v>0</v>
      </c>
      <c r="H374" s="212">
        <v>0</v>
      </c>
      <c r="I374" s="212">
        <v>0</v>
      </c>
      <c r="J374" s="212">
        <v>0</v>
      </c>
      <c r="K374" s="212">
        <v>0</v>
      </c>
      <c r="L374" s="212">
        <v>0</v>
      </c>
      <c r="M374" s="180">
        <f t="shared" si="5"/>
        <v>0</v>
      </c>
    </row>
    <row r="375" spans="1:13">
      <c r="A375" s="2" t="s">
        <v>102</v>
      </c>
      <c r="B375" s="2" t="s">
        <v>178</v>
      </c>
      <c r="C375" s="2" t="s">
        <v>179</v>
      </c>
      <c r="D375" s="2" t="s">
        <v>78</v>
      </c>
      <c r="E375" s="2" t="s">
        <v>72</v>
      </c>
      <c r="F375" s="212">
        <v>0</v>
      </c>
      <c r="G375" s="212">
        <v>0</v>
      </c>
      <c r="H375" s="212">
        <v>0</v>
      </c>
      <c r="I375" s="212">
        <v>0</v>
      </c>
      <c r="J375" s="212">
        <v>0</v>
      </c>
      <c r="K375" s="212">
        <v>0</v>
      </c>
      <c r="L375" s="212">
        <v>0</v>
      </c>
      <c r="M375" s="180">
        <f t="shared" si="5"/>
        <v>0</v>
      </c>
    </row>
    <row r="376" spans="1:13">
      <c r="A376" s="2" t="s">
        <v>102</v>
      </c>
      <c r="B376" s="2" t="s">
        <v>180</v>
      </c>
      <c r="C376" s="2" t="s">
        <v>181</v>
      </c>
      <c r="D376" s="2" t="s">
        <v>78</v>
      </c>
      <c r="E376" s="2" t="s">
        <v>72</v>
      </c>
      <c r="F376" s="212">
        <v>0</v>
      </c>
      <c r="G376" s="212">
        <v>0</v>
      </c>
      <c r="H376" s="212">
        <v>0</v>
      </c>
      <c r="I376" s="212">
        <v>0</v>
      </c>
      <c r="J376" s="212">
        <v>0</v>
      </c>
      <c r="K376" s="212">
        <v>0</v>
      </c>
      <c r="L376" s="212">
        <v>0</v>
      </c>
      <c r="M376" s="180">
        <f t="shared" si="5"/>
        <v>0</v>
      </c>
    </row>
    <row r="377" spans="1:13">
      <c r="A377" s="2" t="s">
        <v>102</v>
      </c>
      <c r="B377" s="2" t="s">
        <v>182</v>
      </c>
      <c r="C377" s="2" t="s">
        <v>183</v>
      </c>
      <c r="D377" s="2" t="s">
        <v>78</v>
      </c>
      <c r="E377" s="2" t="s">
        <v>72</v>
      </c>
      <c r="F377" s="212">
        <v>0</v>
      </c>
      <c r="G377" s="212">
        <v>0</v>
      </c>
      <c r="H377" s="212">
        <v>0</v>
      </c>
      <c r="I377" s="212">
        <v>0</v>
      </c>
      <c r="J377" s="212">
        <v>0</v>
      </c>
      <c r="K377" s="212">
        <v>0</v>
      </c>
      <c r="L377" s="212">
        <v>0</v>
      </c>
      <c r="M377" s="180">
        <f t="shared" si="5"/>
        <v>0</v>
      </c>
    </row>
    <row r="378" spans="1:13">
      <c r="A378" s="2" t="s">
        <v>102</v>
      </c>
      <c r="B378" s="2" t="s">
        <v>184</v>
      </c>
      <c r="C378" s="2" t="s">
        <v>185</v>
      </c>
      <c r="D378" s="2" t="s">
        <v>78</v>
      </c>
      <c r="E378" s="2" t="s">
        <v>72</v>
      </c>
      <c r="F378" s="212">
        <v>0</v>
      </c>
      <c r="G378" s="212">
        <v>0</v>
      </c>
      <c r="H378" s="212">
        <v>0</v>
      </c>
      <c r="I378" s="212">
        <v>19.472899731375879</v>
      </c>
      <c r="J378" s="212">
        <v>19.19619252601435</v>
      </c>
      <c r="K378" s="212">
        <v>19.915358872651051</v>
      </c>
      <c r="L378" s="212">
        <v>0</v>
      </c>
      <c r="M378" s="180">
        <f t="shared" si="5"/>
        <v>58.584451130041288</v>
      </c>
    </row>
    <row r="379" spans="1:13">
      <c r="A379" s="2" t="s">
        <v>102</v>
      </c>
      <c r="B379" s="2" t="s">
        <v>186</v>
      </c>
      <c r="C379" s="2" t="s">
        <v>187</v>
      </c>
      <c r="D379" s="2" t="s">
        <v>78</v>
      </c>
      <c r="E379" s="2" t="s">
        <v>72</v>
      </c>
      <c r="F379" s="212">
        <v>0</v>
      </c>
      <c r="G379" s="212">
        <v>0</v>
      </c>
      <c r="H379" s="212">
        <v>0</v>
      </c>
      <c r="I379" s="212">
        <v>0</v>
      </c>
      <c r="J379" s="212">
        <v>0</v>
      </c>
      <c r="K379" s="212">
        <v>0</v>
      </c>
      <c r="L379" s="212">
        <v>0</v>
      </c>
      <c r="M379" s="180">
        <f t="shared" si="5"/>
        <v>0</v>
      </c>
    </row>
    <row r="380" spans="1:13">
      <c r="A380" s="2" t="s">
        <v>102</v>
      </c>
      <c r="B380" s="2" t="s">
        <v>188</v>
      </c>
      <c r="C380" s="2" t="s">
        <v>189</v>
      </c>
      <c r="D380" s="2" t="s">
        <v>78</v>
      </c>
      <c r="E380" s="2" t="s">
        <v>72</v>
      </c>
      <c r="F380" s="212">
        <v>0</v>
      </c>
      <c r="G380" s="212">
        <v>0</v>
      </c>
      <c r="H380" s="212">
        <v>8.7404545049809617</v>
      </c>
      <c r="I380" s="212">
        <v>8.8284020483689805</v>
      </c>
      <c r="J380" s="212">
        <v>8.8747512756811169</v>
      </c>
      <c r="K380" s="212">
        <v>3.0546473392776283</v>
      </c>
      <c r="L380" s="212">
        <v>3.0239174086673497</v>
      </c>
      <c r="M380" s="180">
        <f t="shared" si="5"/>
        <v>32.52217257697604</v>
      </c>
    </row>
    <row r="381" spans="1:13">
      <c r="A381" s="2" t="s">
        <v>102</v>
      </c>
      <c r="B381" s="2" t="s">
        <v>190</v>
      </c>
      <c r="C381" s="2" t="s">
        <v>191</v>
      </c>
      <c r="D381" s="2" t="s">
        <v>78</v>
      </c>
      <c r="E381" s="2" t="s">
        <v>72</v>
      </c>
      <c r="F381" s="212">
        <v>0</v>
      </c>
      <c r="G381" s="212">
        <v>0</v>
      </c>
      <c r="H381" s="212">
        <v>2.5482999636384713</v>
      </c>
      <c r="I381" s="212">
        <v>3.4176054525689188</v>
      </c>
      <c r="J381" s="212">
        <v>3.3690417529220213</v>
      </c>
      <c r="K381" s="212">
        <v>3.3924578227668429</v>
      </c>
      <c r="L381" s="212">
        <v>3.3583294989661061</v>
      </c>
      <c r="M381" s="180">
        <f t="shared" si="5"/>
        <v>16.085734490862361</v>
      </c>
    </row>
    <row r="382" spans="1:13">
      <c r="A382" s="2" t="s">
        <v>102</v>
      </c>
      <c r="B382" s="2" t="s">
        <v>192</v>
      </c>
      <c r="C382" s="2" t="s">
        <v>193</v>
      </c>
      <c r="D382" s="2" t="s">
        <v>78</v>
      </c>
      <c r="E382" s="2" t="s">
        <v>72</v>
      </c>
      <c r="F382" s="212">
        <v>0</v>
      </c>
      <c r="G382" s="212">
        <v>0</v>
      </c>
      <c r="H382" s="212">
        <v>0</v>
      </c>
      <c r="I382" s="212">
        <v>0</v>
      </c>
      <c r="J382" s="212">
        <v>0</v>
      </c>
      <c r="K382" s="212">
        <v>0</v>
      </c>
      <c r="L382" s="212">
        <v>0</v>
      </c>
      <c r="M382" s="180">
        <f t="shared" si="5"/>
        <v>0</v>
      </c>
    </row>
    <row r="383" spans="1:13">
      <c r="A383" s="2" t="s">
        <v>102</v>
      </c>
      <c r="B383" s="2" t="s">
        <v>194</v>
      </c>
      <c r="C383" s="2" t="s">
        <v>195</v>
      </c>
      <c r="D383" s="2" t="s">
        <v>78</v>
      </c>
      <c r="E383" s="2" t="s">
        <v>72</v>
      </c>
      <c r="F383" s="212">
        <v>5.580305186132118E-2</v>
      </c>
      <c r="G383" s="212">
        <v>1.230527605932632</v>
      </c>
      <c r="H383" s="212">
        <v>8.1848109862241927</v>
      </c>
      <c r="I383" s="212">
        <v>16.679035507588875</v>
      </c>
      <c r="J383" s="212">
        <v>29.887148868293412</v>
      </c>
      <c r="K383" s="212">
        <v>32.091831356932211</v>
      </c>
      <c r="L383" s="212">
        <v>9.2228223854741209</v>
      </c>
      <c r="M383" s="180">
        <f t="shared" si="5"/>
        <v>97.351979762306755</v>
      </c>
    </row>
    <row r="384" spans="1:13">
      <c r="A384" s="2" t="s">
        <v>102</v>
      </c>
      <c r="B384" s="2" t="s">
        <v>196</v>
      </c>
      <c r="C384" s="2" t="s">
        <v>197</v>
      </c>
      <c r="D384" s="2" t="s">
        <v>78</v>
      </c>
      <c r="E384" s="2" t="s">
        <v>72</v>
      </c>
      <c r="F384" s="212">
        <v>0</v>
      </c>
      <c r="G384" s="212">
        <v>0</v>
      </c>
      <c r="H384" s="212">
        <v>0.4125473175039388</v>
      </c>
      <c r="I384" s="212">
        <v>0.83486834969349522</v>
      </c>
      <c r="J384" s="212">
        <v>1.2352800021695245</v>
      </c>
      <c r="K384" s="212">
        <v>1.6603574772239593</v>
      </c>
      <c r="L384" s="212">
        <v>1.6445864954259541</v>
      </c>
      <c r="M384" s="180">
        <f t="shared" si="5"/>
        <v>5.7876396420168712</v>
      </c>
    </row>
    <row r="385" spans="1:13">
      <c r="A385" s="2" t="s">
        <v>102</v>
      </c>
      <c r="B385" s="2" t="s">
        <v>198</v>
      </c>
      <c r="C385" s="2" t="s">
        <v>199</v>
      </c>
      <c r="D385" s="2" t="s">
        <v>78</v>
      </c>
      <c r="E385" s="2" t="s">
        <v>72</v>
      </c>
      <c r="F385" s="212">
        <v>0</v>
      </c>
      <c r="G385" s="212">
        <v>0</v>
      </c>
      <c r="H385" s="212">
        <v>0</v>
      </c>
      <c r="I385" s="212">
        <v>0</v>
      </c>
      <c r="J385" s="212">
        <v>0</v>
      </c>
      <c r="K385" s="212">
        <v>0</v>
      </c>
      <c r="L385" s="212">
        <v>0</v>
      </c>
      <c r="M385" s="180">
        <f t="shared" si="5"/>
        <v>0</v>
      </c>
    </row>
    <row r="386" spans="1:13">
      <c r="A386" s="2" t="s">
        <v>102</v>
      </c>
      <c r="B386" s="2" t="s">
        <v>200</v>
      </c>
      <c r="C386" s="2" t="s">
        <v>201</v>
      </c>
      <c r="D386" s="2" t="s">
        <v>78</v>
      </c>
      <c r="E386" s="2" t="s">
        <v>72</v>
      </c>
      <c r="F386" s="212">
        <v>0</v>
      </c>
      <c r="G386" s="212">
        <v>0</v>
      </c>
      <c r="H386" s="212">
        <v>6.6851114705355092</v>
      </c>
      <c r="I386" s="212">
        <v>13.555157998924621</v>
      </c>
      <c r="J386" s="212">
        <v>18.616155240117294</v>
      </c>
      <c r="K386" s="212">
        <v>17.749061697822569</v>
      </c>
      <c r="L386" s="212">
        <v>16.732885587938696</v>
      </c>
      <c r="M386" s="180">
        <f t="shared" si="5"/>
        <v>73.33837199533869</v>
      </c>
    </row>
    <row r="387" spans="1:13">
      <c r="A387" s="2" t="s">
        <v>102</v>
      </c>
      <c r="B387" s="2" t="s">
        <v>202</v>
      </c>
      <c r="C387" s="2" t="s">
        <v>203</v>
      </c>
      <c r="D387" s="2" t="s">
        <v>78</v>
      </c>
      <c r="E387" s="2" t="s">
        <v>72</v>
      </c>
      <c r="F387" s="212">
        <v>0</v>
      </c>
      <c r="G387" s="212">
        <v>0</v>
      </c>
      <c r="H387" s="212">
        <v>0</v>
      </c>
      <c r="I387" s="212">
        <v>0</v>
      </c>
      <c r="J387" s="212">
        <v>0</v>
      </c>
      <c r="K387" s="212">
        <v>0</v>
      </c>
      <c r="L387" s="212">
        <v>0</v>
      </c>
      <c r="M387" s="180">
        <f t="shared" si="5"/>
        <v>0</v>
      </c>
    </row>
    <row r="388" spans="1:13">
      <c r="A388" s="2" t="s">
        <v>102</v>
      </c>
      <c r="B388" s="2" t="s">
        <v>204</v>
      </c>
      <c r="C388" s="2" t="s">
        <v>205</v>
      </c>
      <c r="D388" s="2" t="s">
        <v>78</v>
      </c>
      <c r="E388" s="2" t="s">
        <v>72</v>
      </c>
      <c r="F388" s="212">
        <v>0</v>
      </c>
      <c r="G388" s="212">
        <v>0</v>
      </c>
      <c r="H388" s="212">
        <v>0</v>
      </c>
      <c r="I388" s="212">
        <v>0</v>
      </c>
      <c r="J388" s="212">
        <v>0</v>
      </c>
      <c r="K388" s="212">
        <v>0</v>
      </c>
      <c r="L388" s="212">
        <v>0</v>
      </c>
      <c r="M388" s="180">
        <f t="shared" si="5"/>
        <v>0</v>
      </c>
    </row>
    <row r="389" spans="1:13">
      <c r="A389" s="2" t="s">
        <v>102</v>
      </c>
      <c r="B389" s="2" t="s">
        <v>206</v>
      </c>
      <c r="C389" s="2" t="s">
        <v>207</v>
      </c>
      <c r="D389" s="2" t="s">
        <v>78</v>
      </c>
      <c r="E389" s="2" t="s">
        <v>72</v>
      </c>
      <c r="F389" s="212">
        <v>0</v>
      </c>
      <c r="G389" s="212">
        <v>0</v>
      </c>
      <c r="H389" s="212">
        <v>27.458748046648008</v>
      </c>
      <c r="I389" s="212">
        <v>1.9257654791695529</v>
      </c>
      <c r="J389" s="212">
        <v>1.8269969222907869</v>
      </c>
      <c r="K389" s="212">
        <v>1.7642623492966263</v>
      </c>
      <c r="L389" s="212">
        <v>1.6999644667373803</v>
      </c>
      <c r="M389" s="180">
        <f t="shared" si="5"/>
        <v>34.675737264142349</v>
      </c>
    </row>
    <row r="390" spans="1:13">
      <c r="A390" s="2" t="s">
        <v>102</v>
      </c>
      <c r="B390" s="2" t="s">
        <v>208</v>
      </c>
      <c r="C390" s="2" t="s">
        <v>209</v>
      </c>
      <c r="D390" s="2" t="s">
        <v>78</v>
      </c>
      <c r="E390" s="2" t="s">
        <v>72</v>
      </c>
      <c r="F390" s="212">
        <v>0</v>
      </c>
      <c r="G390" s="212">
        <v>0</v>
      </c>
      <c r="H390" s="212">
        <v>0</v>
      </c>
      <c r="I390" s="212">
        <v>0</v>
      </c>
      <c r="J390" s="212">
        <v>0</v>
      </c>
      <c r="K390" s="212">
        <v>0</v>
      </c>
      <c r="L390" s="212">
        <v>0</v>
      </c>
      <c r="M390" s="180">
        <f t="shared" ref="M390:M453" si="6">SUM(F390:L390)</f>
        <v>0</v>
      </c>
    </row>
    <row r="391" spans="1:13">
      <c r="A391" s="2" t="s">
        <v>102</v>
      </c>
      <c r="B391" s="2" t="s">
        <v>210</v>
      </c>
      <c r="C391" s="2" t="s">
        <v>211</v>
      </c>
      <c r="D391" s="2" t="s">
        <v>78</v>
      </c>
      <c r="E391" s="2" t="s">
        <v>72</v>
      </c>
      <c r="F391" s="212">
        <v>0</v>
      </c>
      <c r="G391" s="212">
        <v>0</v>
      </c>
      <c r="H391" s="212">
        <v>60.567979012969225</v>
      </c>
      <c r="I391" s="212">
        <v>52.739265930200837</v>
      </c>
      <c r="J391" s="212">
        <v>46.251185735801791</v>
      </c>
      <c r="K391" s="212">
        <v>40.286600186920822</v>
      </c>
      <c r="L391" s="212">
        <v>33.19437760753538</v>
      </c>
      <c r="M391" s="180">
        <f t="shared" si="6"/>
        <v>233.03940847342807</v>
      </c>
    </row>
    <row r="392" spans="1:13">
      <c r="A392" s="2" t="s">
        <v>103</v>
      </c>
      <c r="B392" s="2" t="s">
        <v>126</v>
      </c>
      <c r="C392" s="2" t="s">
        <v>127</v>
      </c>
      <c r="D392" s="2" t="s">
        <v>78</v>
      </c>
      <c r="E392" s="2" t="s">
        <v>72</v>
      </c>
      <c r="F392" s="212">
        <v>11.916020444338045</v>
      </c>
      <c r="G392" s="212">
        <v>44.038203317892318</v>
      </c>
      <c r="H392" s="212">
        <v>187.4005160145592</v>
      </c>
      <c r="I392" s="212">
        <v>244.84518919595769</v>
      </c>
      <c r="J392" s="212">
        <v>248.81429009233452</v>
      </c>
      <c r="K392" s="212">
        <v>416.70250157372396</v>
      </c>
      <c r="L392" s="212">
        <v>650.41034952872656</v>
      </c>
      <c r="M392" s="180">
        <f t="shared" si="6"/>
        <v>1804.1270701675323</v>
      </c>
    </row>
    <row r="393" spans="1:13">
      <c r="A393" s="2" t="s">
        <v>103</v>
      </c>
      <c r="B393" s="2" t="s">
        <v>128</v>
      </c>
      <c r="C393" s="2" t="s">
        <v>129</v>
      </c>
      <c r="D393" s="2" t="s">
        <v>78</v>
      </c>
      <c r="E393" s="2" t="s">
        <v>72</v>
      </c>
      <c r="F393" s="212">
        <v>0.38015100000000002</v>
      </c>
      <c r="G393" s="212">
        <v>2.4525791548571551E-2</v>
      </c>
      <c r="H393" s="212">
        <v>0.1861134972883253</v>
      </c>
      <c r="I393" s="212">
        <v>1.2575463679837122</v>
      </c>
      <c r="J393" s="212">
        <v>8.0138263440440921E-2</v>
      </c>
      <c r="K393" s="212">
        <v>7.9943552357412975E-2</v>
      </c>
      <c r="L393" s="212">
        <v>7.9826348192543972E-2</v>
      </c>
      <c r="M393" s="180">
        <f t="shared" si="6"/>
        <v>2.0882448208110067</v>
      </c>
    </row>
    <row r="394" spans="1:13">
      <c r="A394" s="2" t="s">
        <v>103</v>
      </c>
      <c r="B394" s="2" t="s">
        <v>130</v>
      </c>
      <c r="C394" s="2" t="s">
        <v>131</v>
      </c>
      <c r="D394" s="2" t="s">
        <v>78</v>
      </c>
      <c r="E394" s="2" t="s">
        <v>72</v>
      </c>
      <c r="F394" s="212">
        <v>4.4913599999999994</v>
      </c>
      <c r="G394" s="212">
        <v>10.593681376681694</v>
      </c>
      <c r="H394" s="212">
        <v>7.3804550687356265</v>
      </c>
      <c r="I394" s="212">
        <v>4.5777595375721063</v>
      </c>
      <c r="J394" s="212">
        <v>0.81714180834172945</v>
      </c>
      <c r="K394" s="212">
        <v>0.81516189779144166</v>
      </c>
      <c r="L394" s="212">
        <v>0.81396688652524629</v>
      </c>
      <c r="M394" s="180">
        <f t="shared" si="6"/>
        <v>29.489526575647847</v>
      </c>
    </row>
    <row r="395" spans="1:13">
      <c r="A395" s="2" t="s">
        <v>103</v>
      </c>
      <c r="B395" s="2" t="s">
        <v>132</v>
      </c>
      <c r="C395" s="2" t="s">
        <v>133</v>
      </c>
      <c r="D395" s="2" t="s">
        <v>78</v>
      </c>
      <c r="E395" s="2" t="s">
        <v>72</v>
      </c>
      <c r="F395" s="212">
        <v>0</v>
      </c>
      <c r="G395" s="212">
        <v>0</v>
      </c>
      <c r="H395" s="212">
        <v>1.3197623222815074</v>
      </c>
      <c r="I395" s="212">
        <v>13.127859429098802</v>
      </c>
      <c r="J395" s="212">
        <v>13.047305976524729</v>
      </c>
      <c r="K395" s="212">
        <v>15.541140017819075</v>
      </c>
      <c r="L395" s="212">
        <v>18.014668665538938</v>
      </c>
      <c r="M395" s="180">
        <f t="shared" si="6"/>
        <v>61.050736411263046</v>
      </c>
    </row>
    <row r="396" spans="1:13">
      <c r="A396" s="2" t="s">
        <v>103</v>
      </c>
      <c r="B396" s="2" t="s">
        <v>134</v>
      </c>
      <c r="C396" s="2" t="s">
        <v>135</v>
      </c>
      <c r="D396" s="2" t="s">
        <v>78</v>
      </c>
      <c r="E396" s="2" t="s">
        <v>72</v>
      </c>
      <c r="F396" s="212">
        <v>0</v>
      </c>
      <c r="G396" s="212">
        <v>0</v>
      </c>
      <c r="H396" s="212">
        <v>3.3119979297065005</v>
      </c>
      <c r="I396" s="212">
        <v>3.399283017960828</v>
      </c>
      <c r="J396" s="212">
        <v>4.2563057468571115</v>
      </c>
      <c r="K396" s="212">
        <v>4.2463564337570396</v>
      </c>
      <c r="L396" s="212">
        <v>4.3110611110523891</v>
      </c>
      <c r="M396" s="180">
        <f t="shared" si="6"/>
        <v>19.525004239333867</v>
      </c>
    </row>
    <row r="397" spans="1:13">
      <c r="A397" s="2" t="s">
        <v>103</v>
      </c>
      <c r="B397" s="2" t="s">
        <v>136</v>
      </c>
      <c r="C397" s="2" t="s">
        <v>137</v>
      </c>
      <c r="D397" s="2" t="s">
        <v>78</v>
      </c>
      <c r="E397" s="2" t="s">
        <v>72</v>
      </c>
      <c r="F397" s="212">
        <v>0</v>
      </c>
      <c r="G397" s="212">
        <v>0</v>
      </c>
      <c r="H397" s="212">
        <v>0</v>
      </c>
      <c r="I397" s="212">
        <v>0</v>
      </c>
      <c r="J397" s="212">
        <v>0</v>
      </c>
      <c r="K397" s="212">
        <v>0</v>
      </c>
      <c r="L397" s="212">
        <v>0</v>
      </c>
      <c r="M397" s="180">
        <f t="shared" si="6"/>
        <v>0</v>
      </c>
    </row>
    <row r="398" spans="1:13">
      <c r="A398" s="2" t="s">
        <v>103</v>
      </c>
      <c r="B398" s="2" t="s">
        <v>138</v>
      </c>
      <c r="C398" s="2" t="s">
        <v>139</v>
      </c>
      <c r="D398" s="2" t="s">
        <v>78</v>
      </c>
      <c r="E398" s="2" t="s">
        <v>72</v>
      </c>
      <c r="F398" s="212">
        <v>1.0316656380375426</v>
      </c>
      <c r="G398" s="212">
        <v>5.517902703678371</v>
      </c>
      <c r="H398" s="212">
        <v>86.381163835229174</v>
      </c>
      <c r="I398" s="212">
        <v>102.11905825953424</v>
      </c>
      <c r="J398" s="212">
        <v>99.042039259105948</v>
      </c>
      <c r="K398" s="212">
        <v>98.536359051941403</v>
      </c>
      <c r="L398" s="212">
        <v>111.37205839266021</v>
      </c>
      <c r="M398" s="180">
        <f t="shared" si="6"/>
        <v>504.0002471401869</v>
      </c>
    </row>
    <row r="399" spans="1:13">
      <c r="A399" s="2" t="s">
        <v>103</v>
      </c>
      <c r="B399" s="2" t="s">
        <v>140</v>
      </c>
      <c r="C399" s="2" t="s">
        <v>141</v>
      </c>
      <c r="D399" s="2" t="s">
        <v>78</v>
      </c>
      <c r="E399" s="2" t="s">
        <v>72</v>
      </c>
      <c r="F399" s="212">
        <v>8.9390000000000008E-3</v>
      </c>
      <c r="G399" s="212">
        <v>1.9904228689221265E-3</v>
      </c>
      <c r="H399" s="212">
        <v>0.20249239147779191</v>
      </c>
      <c r="I399" s="212">
        <v>0.83093027490597859</v>
      </c>
      <c r="J399" s="212">
        <v>1.8033684398513947</v>
      </c>
      <c r="K399" s="212">
        <v>4.5393579999622551</v>
      </c>
      <c r="L399" s="212">
        <v>3.9656658760034582</v>
      </c>
      <c r="M399" s="180">
        <f t="shared" si="6"/>
        <v>11.352744405069801</v>
      </c>
    </row>
    <row r="400" spans="1:13">
      <c r="A400" s="2" t="s">
        <v>103</v>
      </c>
      <c r="B400" s="2" t="s">
        <v>142</v>
      </c>
      <c r="C400" s="2" t="s">
        <v>143</v>
      </c>
      <c r="D400" s="2" t="s">
        <v>78</v>
      </c>
      <c r="E400" s="2" t="s">
        <v>72</v>
      </c>
      <c r="F400" s="212">
        <v>0.187781</v>
      </c>
      <c r="G400" s="212">
        <v>0.73236017123694497</v>
      </c>
      <c r="H400" s="212">
        <v>3.5682039109949657</v>
      </c>
      <c r="I400" s="212">
        <v>3.3170622687451337</v>
      </c>
      <c r="J400" s="212">
        <v>1.3480218204322776</v>
      </c>
      <c r="K400" s="212">
        <v>0.58411316842161831</v>
      </c>
      <c r="L400" s="212">
        <v>0.10626594899706766</v>
      </c>
      <c r="M400" s="180">
        <f t="shared" si="6"/>
        <v>9.8438082888280078</v>
      </c>
    </row>
    <row r="401" spans="1:13">
      <c r="A401" s="2" t="s">
        <v>103</v>
      </c>
      <c r="B401" s="2" t="s">
        <v>144</v>
      </c>
      <c r="C401" s="2" t="s">
        <v>145</v>
      </c>
      <c r="D401" s="2" t="s">
        <v>78</v>
      </c>
      <c r="E401" s="2" t="s">
        <v>72</v>
      </c>
      <c r="F401" s="212">
        <v>0.14550772731470621</v>
      </c>
      <c r="G401" s="212">
        <v>5.6983888497954149</v>
      </c>
      <c r="H401" s="212">
        <v>4.4692495013276403</v>
      </c>
      <c r="I401" s="212">
        <v>5.7067804959144048</v>
      </c>
      <c r="J401" s="212">
        <v>10.487636733161548</v>
      </c>
      <c r="K401" s="212">
        <v>30.40561604695921</v>
      </c>
      <c r="L401" s="212">
        <v>119.92402162638672</v>
      </c>
      <c r="M401" s="180">
        <f t="shared" si="6"/>
        <v>176.83720098085965</v>
      </c>
    </row>
    <row r="402" spans="1:13">
      <c r="A402" s="2" t="s">
        <v>103</v>
      </c>
      <c r="B402" s="2" t="s">
        <v>146</v>
      </c>
      <c r="C402" s="2" t="s">
        <v>147</v>
      </c>
      <c r="D402" s="2" t="s">
        <v>78</v>
      </c>
      <c r="E402" s="2" t="s">
        <v>72</v>
      </c>
      <c r="F402" s="212">
        <v>0</v>
      </c>
      <c r="G402" s="212">
        <v>0</v>
      </c>
      <c r="H402" s="212">
        <v>2.3814164784089678</v>
      </c>
      <c r="I402" s="212">
        <v>1.9617110834504488</v>
      </c>
      <c r="J402" s="212">
        <v>0</v>
      </c>
      <c r="K402" s="212">
        <v>0</v>
      </c>
      <c r="L402" s="212">
        <v>0</v>
      </c>
      <c r="M402" s="180">
        <f t="shared" si="6"/>
        <v>4.3431275618594167</v>
      </c>
    </row>
    <row r="403" spans="1:13">
      <c r="A403" s="2" t="s">
        <v>103</v>
      </c>
      <c r="B403" s="2" t="s">
        <v>148</v>
      </c>
      <c r="C403" s="2" t="s">
        <v>149</v>
      </c>
      <c r="D403" s="2" t="s">
        <v>78</v>
      </c>
      <c r="E403" s="2" t="s">
        <v>72</v>
      </c>
      <c r="F403" s="212">
        <v>3.6070068145276464</v>
      </c>
      <c r="G403" s="212">
        <v>14.412103008987163</v>
      </c>
      <c r="H403" s="212">
        <v>17.978407291384759</v>
      </c>
      <c r="I403" s="212">
        <v>42.734608966619653</v>
      </c>
      <c r="J403" s="212">
        <v>68.578001147996915</v>
      </c>
      <c r="K403" s="212">
        <v>192.42514306283724</v>
      </c>
      <c r="L403" s="212">
        <v>272.9410469804501</v>
      </c>
      <c r="M403" s="180">
        <f t="shared" si="6"/>
        <v>612.67631727280343</v>
      </c>
    </row>
    <row r="404" spans="1:13">
      <c r="A404" s="2" t="s">
        <v>103</v>
      </c>
      <c r="B404" s="2" t="s">
        <v>150</v>
      </c>
      <c r="C404" s="2" t="s">
        <v>151</v>
      </c>
      <c r="D404" s="2" t="s">
        <v>78</v>
      </c>
      <c r="E404" s="2" t="s">
        <v>72</v>
      </c>
      <c r="F404" s="212">
        <v>9.0441000000000011E-3</v>
      </c>
      <c r="G404" s="212">
        <v>0</v>
      </c>
      <c r="H404" s="212">
        <v>0.13483098090379347</v>
      </c>
      <c r="I404" s="212">
        <v>0.135933249426751</v>
      </c>
      <c r="J404" s="212">
        <v>0.13577416911794518</v>
      </c>
      <c r="K404" s="212">
        <v>1.0835634143650386</v>
      </c>
      <c r="L404" s="212">
        <v>1.3060187104407532</v>
      </c>
      <c r="M404" s="180">
        <f t="shared" si="6"/>
        <v>2.8051646242542816</v>
      </c>
    </row>
    <row r="405" spans="1:13">
      <c r="A405" s="2" t="s">
        <v>103</v>
      </c>
      <c r="B405" s="2" t="s">
        <v>152</v>
      </c>
      <c r="C405" s="2" t="s">
        <v>153</v>
      </c>
      <c r="D405" s="2" t="s">
        <v>78</v>
      </c>
      <c r="E405" s="2" t="s">
        <v>72</v>
      </c>
      <c r="F405" s="212">
        <v>3.092462150062442E-2</v>
      </c>
      <c r="G405" s="212">
        <v>1.1719064845881499</v>
      </c>
      <c r="H405" s="212">
        <v>2.4647325165835534</v>
      </c>
      <c r="I405" s="212">
        <v>4.5157656326973017</v>
      </c>
      <c r="J405" s="212">
        <v>6.9923613334624024</v>
      </c>
      <c r="K405" s="212">
        <v>17.270349481161873</v>
      </c>
      <c r="L405" s="212">
        <v>21.447790690003082</v>
      </c>
      <c r="M405" s="180">
        <f t="shared" si="6"/>
        <v>53.893830759996987</v>
      </c>
    </row>
    <row r="406" spans="1:13">
      <c r="A406" s="2" t="s">
        <v>103</v>
      </c>
      <c r="B406" s="2" t="s">
        <v>154</v>
      </c>
      <c r="C406" s="2" t="s">
        <v>155</v>
      </c>
      <c r="D406" s="2" t="s">
        <v>78</v>
      </c>
      <c r="E406" s="2" t="s">
        <v>72</v>
      </c>
      <c r="F406" s="212">
        <v>0</v>
      </c>
      <c r="G406" s="212">
        <v>0</v>
      </c>
      <c r="H406" s="212">
        <v>0</v>
      </c>
      <c r="I406" s="212">
        <v>0</v>
      </c>
      <c r="J406" s="212">
        <v>0</v>
      </c>
      <c r="K406" s="212">
        <v>0</v>
      </c>
      <c r="L406" s="212">
        <v>0</v>
      </c>
      <c r="M406" s="180">
        <f t="shared" si="6"/>
        <v>0</v>
      </c>
    </row>
    <row r="407" spans="1:13">
      <c r="A407" s="2" t="s">
        <v>103</v>
      </c>
      <c r="B407" s="2" t="s">
        <v>156</v>
      </c>
      <c r="C407" s="2" t="s">
        <v>157</v>
      </c>
      <c r="D407" s="2" t="s">
        <v>78</v>
      </c>
      <c r="E407" s="2" t="s">
        <v>72</v>
      </c>
      <c r="F407" s="212">
        <v>0</v>
      </c>
      <c r="G407" s="212">
        <v>0</v>
      </c>
      <c r="H407" s="212">
        <v>0</v>
      </c>
      <c r="I407" s="212">
        <v>0</v>
      </c>
      <c r="J407" s="212">
        <v>0</v>
      </c>
      <c r="K407" s="212">
        <v>0</v>
      </c>
      <c r="L407" s="212">
        <v>0</v>
      </c>
      <c r="M407" s="180">
        <f t="shared" si="6"/>
        <v>0</v>
      </c>
    </row>
    <row r="408" spans="1:13">
      <c r="A408" s="2" t="s">
        <v>103</v>
      </c>
      <c r="B408" s="2" t="s">
        <v>158</v>
      </c>
      <c r="C408" s="2" t="s">
        <v>159</v>
      </c>
      <c r="D408" s="2" t="s">
        <v>78</v>
      </c>
      <c r="E408" s="2" t="s">
        <v>72</v>
      </c>
      <c r="F408" s="212">
        <v>0</v>
      </c>
      <c r="G408" s="212">
        <v>0</v>
      </c>
      <c r="H408" s="212">
        <v>0</v>
      </c>
      <c r="I408" s="212">
        <v>0</v>
      </c>
      <c r="J408" s="212">
        <v>0</v>
      </c>
      <c r="K408" s="212">
        <v>0</v>
      </c>
      <c r="L408" s="212">
        <v>0</v>
      </c>
      <c r="M408" s="180">
        <f t="shared" si="6"/>
        <v>0</v>
      </c>
    </row>
    <row r="409" spans="1:13">
      <c r="A409" s="2" t="s">
        <v>103</v>
      </c>
      <c r="B409" s="2" t="s">
        <v>160</v>
      </c>
      <c r="C409" s="2" t="s">
        <v>161</v>
      </c>
      <c r="D409" s="2" t="s">
        <v>78</v>
      </c>
      <c r="E409" s="2" t="s">
        <v>72</v>
      </c>
      <c r="F409" s="212">
        <v>0</v>
      </c>
      <c r="G409" s="212">
        <v>0</v>
      </c>
      <c r="H409" s="212">
        <v>1.0796426203702549</v>
      </c>
      <c r="I409" s="212">
        <v>1.7417559789324912</v>
      </c>
      <c r="J409" s="212">
        <v>1.6211308015596682</v>
      </c>
      <c r="K409" s="212">
        <v>0.72219308605663712</v>
      </c>
      <c r="L409" s="212">
        <v>1.6435792386344346</v>
      </c>
      <c r="M409" s="180">
        <f t="shared" si="6"/>
        <v>6.8083017255534868</v>
      </c>
    </row>
    <row r="410" spans="1:13">
      <c r="A410" s="2" t="s">
        <v>103</v>
      </c>
      <c r="B410" s="2" t="s">
        <v>162</v>
      </c>
      <c r="C410" s="2" t="s">
        <v>163</v>
      </c>
      <c r="D410" s="2" t="s">
        <v>78</v>
      </c>
      <c r="E410" s="2" t="s">
        <v>72</v>
      </c>
      <c r="F410" s="212">
        <v>0</v>
      </c>
      <c r="G410" s="212">
        <v>0</v>
      </c>
      <c r="H410" s="212">
        <v>1.0603862725732891</v>
      </c>
      <c r="I410" s="212">
        <v>2.5006428069619009</v>
      </c>
      <c r="J410" s="212">
        <v>3.6632685957708033</v>
      </c>
      <c r="K410" s="212">
        <v>1.5557800431459921</v>
      </c>
      <c r="L410" s="212">
        <v>0.19187229341225348</v>
      </c>
      <c r="M410" s="180">
        <f t="shared" si="6"/>
        <v>8.9719500118642372</v>
      </c>
    </row>
    <row r="411" spans="1:13">
      <c r="A411" s="2" t="s">
        <v>103</v>
      </c>
      <c r="B411" s="2" t="s">
        <v>164</v>
      </c>
      <c r="C411" s="2" t="s">
        <v>165</v>
      </c>
      <c r="D411" s="2" t="s">
        <v>78</v>
      </c>
      <c r="E411" s="2" t="s">
        <v>72</v>
      </c>
      <c r="F411" s="212">
        <v>0</v>
      </c>
      <c r="G411" s="212">
        <v>0</v>
      </c>
      <c r="H411" s="212">
        <v>0</v>
      </c>
      <c r="I411" s="212">
        <v>0</v>
      </c>
      <c r="J411" s="212">
        <v>0</v>
      </c>
      <c r="K411" s="212">
        <v>0</v>
      </c>
      <c r="L411" s="212">
        <v>0</v>
      </c>
      <c r="M411" s="180">
        <f t="shared" si="6"/>
        <v>0</v>
      </c>
    </row>
    <row r="412" spans="1:13">
      <c r="A412" s="2" t="s">
        <v>103</v>
      </c>
      <c r="B412" s="2" t="s">
        <v>166</v>
      </c>
      <c r="C412" s="2" t="s">
        <v>167</v>
      </c>
      <c r="D412" s="2" t="s">
        <v>78</v>
      </c>
      <c r="E412" s="2" t="s">
        <v>72</v>
      </c>
      <c r="F412" s="212">
        <v>0</v>
      </c>
      <c r="G412" s="212">
        <v>0</v>
      </c>
      <c r="H412" s="212">
        <v>0</v>
      </c>
      <c r="I412" s="212">
        <v>0</v>
      </c>
      <c r="J412" s="212">
        <v>0</v>
      </c>
      <c r="K412" s="212">
        <v>0</v>
      </c>
      <c r="L412" s="212">
        <v>0</v>
      </c>
      <c r="M412" s="180">
        <f t="shared" si="6"/>
        <v>0</v>
      </c>
    </row>
    <row r="413" spans="1:13">
      <c r="A413" s="2" t="s">
        <v>103</v>
      </c>
      <c r="B413" s="2" t="s">
        <v>168</v>
      </c>
      <c r="C413" s="2" t="s">
        <v>169</v>
      </c>
      <c r="D413" s="2" t="s">
        <v>78</v>
      </c>
      <c r="E413" s="2" t="s">
        <v>72</v>
      </c>
      <c r="F413" s="212">
        <v>2.5501499999999996E-2</v>
      </c>
      <c r="G413" s="212">
        <v>3.2314714319237624E-2</v>
      </c>
      <c r="H413" s="212">
        <v>0.66158029458646728</v>
      </c>
      <c r="I413" s="212">
        <v>0.54234625849336704</v>
      </c>
      <c r="J413" s="212">
        <v>0.69184330409100958</v>
      </c>
      <c r="K413" s="212">
        <v>0.69016808070716562</v>
      </c>
      <c r="L413" s="212">
        <v>0.52934938942308973</v>
      </c>
      <c r="M413" s="180">
        <f t="shared" si="6"/>
        <v>3.1731035416203368</v>
      </c>
    </row>
    <row r="414" spans="1:13">
      <c r="A414" s="2" t="s">
        <v>103</v>
      </c>
      <c r="B414" s="2" t="s">
        <v>170</v>
      </c>
      <c r="C414" s="2" t="s">
        <v>171</v>
      </c>
      <c r="D414" s="2" t="s">
        <v>78</v>
      </c>
      <c r="E414" s="2" t="s">
        <v>72</v>
      </c>
      <c r="F414" s="212">
        <v>1.9981390429575248</v>
      </c>
      <c r="G414" s="212">
        <v>5.7832695116823221</v>
      </c>
      <c r="H414" s="212">
        <v>12.261865114108206</v>
      </c>
      <c r="I414" s="212">
        <v>8.6122908837637464</v>
      </c>
      <c r="J414" s="212">
        <v>3.794116342367257</v>
      </c>
      <c r="K414" s="212">
        <v>2.730552179758583</v>
      </c>
      <c r="L414" s="212">
        <v>2.7192066324299455</v>
      </c>
      <c r="M414" s="180">
        <f t="shared" si="6"/>
        <v>37.899439707067579</v>
      </c>
    </row>
    <row r="415" spans="1:13">
      <c r="A415" s="2" t="s">
        <v>103</v>
      </c>
      <c r="B415" s="2" t="s">
        <v>172</v>
      </c>
      <c r="C415" s="2" t="s">
        <v>173</v>
      </c>
      <c r="D415" s="2" t="s">
        <v>78</v>
      </c>
      <c r="E415" s="2" t="s">
        <v>72</v>
      </c>
      <c r="F415" s="212">
        <v>0</v>
      </c>
      <c r="G415" s="212">
        <v>0</v>
      </c>
      <c r="H415" s="212">
        <v>0</v>
      </c>
      <c r="I415" s="212">
        <v>0</v>
      </c>
      <c r="J415" s="212">
        <v>0</v>
      </c>
      <c r="K415" s="212">
        <v>0</v>
      </c>
      <c r="L415" s="212">
        <v>0</v>
      </c>
      <c r="M415" s="180">
        <f t="shared" si="6"/>
        <v>0</v>
      </c>
    </row>
    <row r="416" spans="1:13">
      <c r="A416" s="2" t="s">
        <v>103</v>
      </c>
      <c r="B416" s="2" t="s">
        <v>174</v>
      </c>
      <c r="C416" s="2" t="s">
        <v>175</v>
      </c>
      <c r="D416" s="2" t="s">
        <v>78</v>
      </c>
      <c r="E416" s="2" t="s">
        <v>72</v>
      </c>
      <c r="F416" s="212">
        <v>0</v>
      </c>
      <c r="G416" s="212">
        <v>0</v>
      </c>
      <c r="H416" s="212">
        <v>0</v>
      </c>
      <c r="I416" s="212">
        <v>0</v>
      </c>
      <c r="J416" s="212">
        <v>0</v>
      </c>
      <c r="K416" s="212">
        <v>0</v>
      </c>
      <c r="L416" s="212">
        <v>0</v>
      </c>
      <c r="M416" s="180">
        <f t="shared" si="6"/>
        <v>0</v>
      </c>
    </row>
    <row r="417" spans="1:13">
      <c r="A417" s="2" t="s">
        <v>103</v>
      </c>
      <c r="B417" s="2" t="s">
        <v>176</v>
      </c>
      <c r="C417" s="2" t="s">
        <v>177</v>
      </c>
      <c r="D417" s="2" t="s">
        <v>78</v>
      </c>
      <c r="E417" s="2" t="s">
        <v>72</v>
      </c>
      <c r="F417" s="212">
        <v>0</v>
      </c>
      <c r="G417" s="212">
        <v>0</v>
      </c>
      <c r="H417" s="212">
        <v>0</v>
      </c>
      <c r="I417" s="212">
        <v>0</v>
      </c>
      <c r="J417" s="212">
        <v>0.45404662220031755</v>
      </c>
      <c r="K417" s="212">
        <v>2.5986089312868539</v>
      </c>
      <c r="L417" s="212">
        <v>3.8083445490517307</v>
      </c>
      <c r="M417" s="180">
        <f t="shared" si="6"/>
        <v>6.8610001025389025</v>
      </c>
    </row>
    <row r="418" spans="1:13">
      <c r="A418" s="2" t="s">
        <v>103</v>
      </c>
      <c r="B418" s="2" t="s">
        <v>178</v>
      </c>
      <c r="C418" s="2" t="s">
        <v>179</v>
      </c>
      <c r="D418" s="2" t="s">
        <v>78</v>
      </c>
      <c r="E418" s="2" t="s">
        <v>72</v>
      </c>
      <c r="F418" s="212">
        <v>0</v>
      </c>
      <c r="G418" s="212">
        <v>0</v>
      </c>
      <c r="H418" s="212">
        <v>0</v>
      </c>
      <c r="I418" s="212">
        <v>0</v>
      </c>
      <c r="J418" s="212">
        <v>0</v>
      </c>
      <c r="K418" s="212">
        <v>0</v>
      </c>
      <c r="L418" s="212">
        <v>0</v>
      </c>
      <c r="M418" s="180">
        <f t="shared" si="6"/>
        <v>0</v>
      </c>
    </row>
    <row r="419" spans="1:13">
      <c r="A419" s="2" t="s">
        <v>103</v>
      </c>
      <c r="B419" s="2" t="s">
        <v>180</v>
      </c>
      <c r="C419" s="2" t="s">
        <v>181</v>
      </c>
      <c r="D419" s="2" t="s">
        <v>78</v>
      </c>
      <c r="E419" s="2" t="s">
        <v>72</v>
      </c>
      <c r="F419" s="212">
        <v>0</v>
      </c>
      <c r="G419" s="212">
        <v>0</v>
      </c>
      <c r="H419" s="212">
        <v>0</v>
      </c>
      <c r="I419" s="212">
        <v>0</v>
      </c>
      <c r="J419" s="212">
        <v>0</v>
      </c>
      <c r="K419" s="212">
        <v>0</v>
      </c>
      <c r="L419" s="212">
        <v>0</v>
      </c>
      <c r="M419" s="180">
        <f t="shared" si="6"/>
        <v>0</v>
      </c>
    </row>
    <row r="420" spans="1:13">
      <c r="A420" s="2" t="s">
        <v>103</v>
      </c>
      <c r="B420" s="2" t="s">
        <v>182</v>
      </c>
      <c r="C420" s="2" t="s">
        <v>183</v>
      </c>
      <c r="D420" s="2" t="s">
        <v>78</v>
      </c>
      <c r="E420" s="2" t="s">
        <v>72</v>
      </c>
      <c r="F420" s="212">
        <v>0</v>
      </c>
      <c r="G420" s="212">
        <v>0</v>
      </c>
      <c r="H420" s="212">
        <v>0</v>
      </c>
      <c r="I420" s="212">
        <v>0</v>
      </c>
      <c r="J420" s="212">
        <v>0</v>
      </c>
      <c r="K420" s="212">
        <v>0</v>
      </c>
      <c r="L420" s="212">
        <v>0</v>
      </c>
      <c r="M420" s="180">
        <f t="shared" si="6"/>
        <v>0</v>
      </c>
    </row>
    <row r="421" spans="1:13">
      <c r="A421" s="2" t="s">
        <v>103</v>
      </c>
      <c r="B421" s="2" t="s">
        <v>184</v>
      </c>
      <c r="C421" s="2" t="s">
        <v>185</v>
      </c>
      <c r="D421" s="2" t="s">
        <v>78</v>
      </c>
      <c r="E421" s="2" t="s">
        <v>72</v>
      </c>
      <c r="F421" s="212">
        <v>0</v>
      </c>
      <c r="G421" s="212">
        <v>0</v>
      </c>
      <c r="H421" s="212">
        <v>0</v>
      </c>
      <c r="I421" s="212">
        <v>5.841559689222759</v>
      </c>
      <c r="J421" s="212">
        <v>0.27589675947496933</v>
      </c>
      <c r="K421" s="212">
        <v>11.907023709600489</v>
      </c>
      <c r="L421" s="212">
        <v>24.04518142328838</v>
      </c>
      <c r="M421" s="180">
        <f t="shared" si="6"/>
        <v>42.069661581586601</v>
      </c>
    </row>
    <row r="422" spans="1:13">
      <c r="A422" s="2" t="s">
        <v>103</v>
      </c>
      <c r="B422" s="2" t="s">
        <v>186</v>
      </c>
      <c r="C422" s="2" t="s">
        <v>187</v>
      </c>
      <c r="D422" s="2" t="s">
        <v>78</v>
      </c>
      <c r="E422" s="2" t="s">
        <v>72</v>
      </c>
      <c r="F422" s="212">
        <v>0</v>
      </c>
      <c r="G422" s="212">
        <v>0</v>
      </c>
      <c r="H422" s="212">
        <v>0</v>
      </c>
      <c r="I422" s="212">
        <v>0</v>
      </c>
      <c r="J422" s="212">
        <v>0</v>
      </c>
      <c r="K422" s="212">
        <v>0</v>
      </c>
      <c r="L422" s="212">
        <v>0</v>
      </c>
      <c r="M422" s="180">
        <f t="shared" si="6"/>
        <v>0</v>
      </c>
    </row>
    <row r="423" spans="1:13">
      <c r="A423" s="2" t="s">
        <v>103</v>
      </c>
      <c r="B423" s="2" t="s">
        <v>188</v>
      </c>
      <c r="C423" s="2" t="s">
        <v>189</v>
      </c>
      <c r="D423" s="2" t="s">
        <v>78</v>
      </c>
      <c r="E423" s="2" t="s">
        <v>72</v>
      </c>
      <c r="F423" s="212">
        <v>0</v>
      </c>
      <c r="G423" s="212">
        <v>0</v>
      </c>
      <c r="H423" s="212">
        <v>0</v>
      </c>
      <c r="I423" s="212">
        <v>0</v>
      </c>
      <c r="J423" s="212">
        <v>0</v>
      </c>
      <c r="K423" s="212">
        <v>0</v>
      </c>
      <c r="L423" s="212">
        <v>0</v>
      </c>
      <c r="M423" s="180">
        <f t="shared" si="6"/>
        <v>0</v>
      </c>
    </row>
    <row r="424" spans="1:13">
      <c r="A424" s="2" t="s">
        <v>103</v>
      </c>
      <c r="B424" s="2" t="s">
        <v>190</v>
      </c>
      <c r="C424" s="2" t="s">
        <v>191</v>
      </c>
      <c r="D424" s="2" t="s">
        <v>78</v>
      </c>
      <c r="E424" s="2" t="s">
        <v>72</v>
      </c>
      <c r="F424" s="212">
        <v>0</v>
      </c>
      <c r="G424" s="212">
        <v>0</v>
      </c>
      <c r="H424" s="212">
        <v>0</v>
      </c>
      <c r="I424" s="212">
        <v>0</v>
      </c>
      <c r="J424" s="212">
        <v>0</v>
      </c>
      <c r="K424" s="212">
        <v>0</v>
      </c>
      <c r="L424" s="212">
        <v>0</v>
      </c>
      <c r="M424" s="180">
        <f t="shared" si="6"/>
        <v>0</v>
      </c>
    </row>
    <row r="425" spans="1:13">
      <c r="A425" s="2" t="s">
        <v>103</v>
      </c>
      <c r="B425" s="2" t="s">
        <v>192</v>
      </c>
      <c r="C425" s="2" t="s">
        <v>193</v>
      </c>
      <c r="D425" s="2" t="s">
        <v>78</v>
      </c>
      <c r="E425" s="2" t="s">
        <v>72</v>
      </c>
      <c r="F425" s="212">
        <v>0</v>
      </c>
      <c r="G425" s="212">
        <v>0</v>
      </c>
      <c r="H425" s="212">
        <v>0</v>
      </c>
      <c r="I425" s="212">
        <v>0</v>
      </c>
      <c r="J425" s="212">
        <v>0</v>
      </c>
      <c r="K425" s="212">
        <v>0</v>
      </c>
      <c r="L425" s="212">
        <v>0</v>
      </c>
      <c r="M425" s="180">
        <f t="shared" si="6"/>
        <v>0</v>
      </c>
    </row>
    <row r="426" spans="1:13">
      <c r="A426" s="2" t="s">
        <v>103</v>
      </c>
      <c r="B426" s="2" t="s">
        <v>194</v>
      </c>
      <c r="C426" s="2" t="s">
        <v>195</v>
      </c>
      <c r="D426" s="2" t="s">
        <v>78</v>
      </c>
      <c r="E426" s="2" t="s">
        <v>72</v>
      </c>
      <c r="F426" s="212">
        <v>0</v>
      </c>
      <c r="G426" s="212">
        <v>0</v>
      </c>
      <c r="H426" s="212">
        <v>32.126876979462402</v>
      </c>
      <c r="I426" s="212">
        <v>31.367323937949855</v>
      </c>
      <c r="J426" s="212">
        <v>16.706853893814163</v>
      </c>
      <c r="K426" s="212">
        <v>7.8782749434156631</v>
      </c>
      <c r="L426" s="212">
        <v>31.412284298697038</v>
      </c>
      <c r="M426" s="180">
        <f t="shared" si="6"/>
        <v>119.49161405333911</v>
      </c>
    </row>
    <row r="427" spans="1:13">
      <c r="A427" s="2" t="s">
        <v>103</v>
      </c>
      <c r="B427" s="2" t="s">
        <v>196</v>
      </c>
      <c r="C427" s="2" t="s">
        <v>197</v>
      </c>
      <c r="D427" s="2" t="s">
        <v>78</v>
      </c>
      <c r="E427" s="2" t="s">
        <v>72</v>
      </c>
      <c r="F427" s="212">
        <v>0</v>
      </c>
      <c r="G427" s="212">
        <v>0</v>
      </c>
      <c r="H427" s="212">
        <v>0.74270032323586832</v>
      </c>
      <c r="I427" s="212">
        <v>0.74246814216787593</v>
      </c>
      <c r="J427" s="212">
        <v>0.74160158864905656</v>
      </c>
      <c r="K427" s="212">
        <v>0.73980551468104661</v>
      </c>
      <c r="L427" s="212">
        <v>0.73872107790545549</v>
      </c>
      <c r="M427" s="180">
        <f t="shared" si="6"/>
        <v>3.7052966466393027</v>
      </c>
    </row>
    <row r="428" spans="1:13">
      <c r="A428" s="2" t="s">
        <v>103</v>
      </c>
      <c r="B428" s="2" t="s">
        <v>198</v>
      </c>
      <c r="C428" s="2" t="s">
        <v>199</v>
      </c>
      <c r="D428" s="2" t="s">
        <v>78</v>
      </c>
      <c r="E428" s="2" t="s">
        <v>72</v>
      </c>
      <c r="F428" s="212">
        <v>0</v>
      </c>
      <c r="G428" s="212">
        <v>0</v>
      </c>
      <c r="H428" s="212">
        <v>0</v>
      </c>
      <c r="I428" s="212">
        <v>0</v>
      </c>
      <c r="J428" s="212">
        <v>0</v>
      </c>
      <c r="K428" s="212">
        <v>0</v>
      </c>
      <c r="L428" s="212">
        <v>0</v>
      </c>
      <c r="M428" s="180">
        <f t="shared" si="6"/>
        <v>0</v>
      </c>
    </row>
    <row r="429" spans="1:13">
      <c r="A429" s="2" t="s">
        <v>103</v>
      </c>
      <c r="B429" s="2" t="s">
        <v>200</v>
      </c>
      <c r="C429" s="2" t="s">
        <v>201</v>
      </c>
      <c r="D429" s="2" t="s">
        <v>78</v>
      </c>
      <c r="E429" s="2" t="s">
        <v>72</v>
      </c>
      <c r="F429" s="212">
        <v>0</v>
      </c>
      <c r="G429" s="212">
        <v>6.9760282505531984E-2</v>
      </c>
      <c r="H429" s="212">
        <v>1.8730779951476229</v>
      </c>
      <c r="I429" s="212">
        <v>1.9525795972677318</v>
      </c>
      <c r="J429" s="212">
        <v>1.7132749496967383</v>
      </c>
      <c r="K429" s="212">
        <v>1.7305286856842224</v>
      </c>
      <c r="L429" s="212">
        <v>1.8047275377151364</v>
      </c>
      <c r="M429" s="180">
        <f t="shared" si="6"/>
        <v>9.1439490480169834</v>
      </c>
    </row>
    <row r="430" spans="1:13">
      <c r="A430" s="2" t="s">
        <v>103</v>
      </c>
      <c r="B430" s="2" t="s">
        <v>202</v>
      </c>
      <c r="C430" s="2" t="s">
        <v>203</v>
      </c>
      <c r="D430" s="2" t="s">
        <v>78</v>
      </c>
      <c r="E430" s="2" t="s">
        <v>72</v>
      </c>
      <c r="F430" s="212">
        <v>0</v>
      </c>
      <c r="G430" s="212">
        <v>0</v>
      </c>
      <c r="H430" s="212">
        <v>0</v>
      </c>
      <c r="I430" s="212">
        <v>0</v>
      </c>
      <c r="J430" s="212">
        <v>0</v>
      </c>
      <c r="K430" s="212">
        <v>0</v>
      </c>
      <c r="L430" s="212">
        <v>0</v>
      </c>
      <c r="M430" s="180">
        <f t="shared" si="6"/>
        <v>0</v>
      </c>
    </row>
    <row r="431" spans="1:13">
      <c r="A431" s="2" t="s">
        <v>103</v>
      </c>
      <c r="B431" s="2" t="s">
        <v>204</v>
      </c>
      <c r="C431" s="2" t="s">
        <v>205</v>
      </c>
      <c r="D431" s="2" t="s">
        <v>78</v>
      </c>
      <c r="E431" s="2" t="s">
        <v>72</v>
      </c>
      <c r="F431" s="212">
        <v>0</v>
      </c>
      <c r="G431" s="212">
        <v>0</v>
      </c>
      <c r="H431" s="212">
        <v>0</v>
      </c>
      <c r="I431" s="212">
        <v>0</v>
      </c>
      <c r="J431" s="212">
        <v>0</v>
      </c>
      <c r="K431" s="212">
        <v>0</v>
      </c>
      <c r="L431" s="212">
        <v>0</v>
      </c>
      <c r="M431" s="180">
        <f t="shared" si="6"/>
        <v>0</v>
      </c>
    </row>
    <row r="432" spans="1:13">
      <c r="A432" s="2" t="s">
        <v>103</v>
      </c>
      <c r="B432" s="2" t="s">
        <v>206</v>
      </c>
      <c r="C432" s="2" t="s">
        <v>207</v>
      </c>
      <c r="D432" s="2" t="s">
        <v>78</v>
      </c>
      <c r="E432" s="2" t="s">
        <v>72</v>
      </c>
      <c r="F432" s="212">
        <v>0</v>
      </c>
      <c r="G432" s="212">
        <v>0</v>
      </c>
      <c r="H432" s="212">
        <v>0.737109273295112</v>
      </c>
      <c r="I432" s="212">
        <v>0.11577965860238483</v>
      </c>
      <c r="J432" s="212">
        <v>0.89241230263919191</v>
      </c>
      <c r="K432" s="212">
        <v>0.21710953444327291</v>
      </c>
      <c r="L432" s="212">
        <v>0.2167911623681692</v>
      </c>
      <c r="M432" s="180">
        <f t="shared" si="6"/>
        <v>2.179201931348131</v>
      </c>
    </row>
    <row r="433" spans="1:13">
      <c r="A433" s="2" t="s">
        <v>103</v>
      </c>
      <c r="B433" s="2" t="s">
        <v>208</v>
      </c>
      <c r="C433" s="2" t="s">
        <v>209</v>
      </c>
      <c r="D433" s="2" t="s">
        <v>78</v>
      </c>
      <c r="E433" s="2" t="s">
        <v>72</v>
      </c>
      <c r="F433" s="212">
        <v>0</v>
      </c>
      <c r="G433" s="212">
        <v>0</v>
      </c>
      <c r="H433" s="212">
        <v>8.8497325179543285E-2</v>
      </c>
      <c r="I433" s="212">
        <v>0.10324842206197177</v>
      </c>
      <c r="J433" s="212">
        <v>0.14936540568624884</v>
      </c>
      <c r="K433" s="212">
        <v>0.39476665736126193</v>
      </c>
      <c r="L433" s="212">
        <v>0.44358161059150986</v>
      </c>
      <c r="M433" s="180">
        <f t="shared" si="6"/>
        <v>1.1794594208805356</v>
      </c>
    </row>
    <row r="434" spans="1:13">
      <c r="A434" s="2" t="s">
        <v>103</v>
      </c>
      <c r="B434" s="2" t="s">
        <v>210</v>
      </c>
      <c r="C434" s="2" t="s">
        <v>211</v>
      </c>
      <c r="D434" s="2" t="s">
        <v>78</v>
      </c>
      <c r="E434" s="2" t="s">
        <v>72</v>
      </c>
      <c r="F434" s="212">
        <v>0</v>
      </c>
      <c r="G434" s="212">
        <v>0</v>
      </c>
      <c r="H434" s="212">
        <v>6.8329754037935482</v>
      </c>
      <c r="I434" s="212">
        <v>7.4839165481399856</v>
      </c>
      <c r="J434" s="212">
        <v>11.365406139608371</v>
      </c>
      <c r="K434" s="212">
        <v>19.853607391724896</v>
      </c>
      <c r="L434" s="212">
        <v>28.41734039047444</v>
      </c>
      <c r="M434" s="180">
        <f t="shared" si="6"/>
        <v>73.953245873741238</v>
      </c>
    </row>
    <row r="435" spans="1:13">
      <c r="A435" s="2" t="s">
        <v>104</v>
      </c>
      <c r="B435" s="2" t="s">
        <v>126</v>
      </c>
      <c r="C435" s="2" t="s">
        <v>127</v>
      </c>
      <c r="D435" s="2" t="s">
        <v>78</v>
      </c>
      <c r="E435" s="2" t="s">
        <v>72</v>
      </c>
      <c r="F435" s="212">
        <v>2.9448805143540113</v>
      </c>
      <c r="G435" s="212">
        <v>70.485734068586211</v>
      </c>
      <c r="H435" s="212">
        <v>487.35320403158124</v>
      </c>
      <c r="I435" s="212">
        <v>574.56560845914021</v>
      </c>
      <c r="J435" s="212">
        <v>529.53595418174802</v>
      </c>
      <c r="K435" s="212">
        <v>477.79438683034658</v>
      </c>
      <c r="L435" s="212">
        <v>266.41608624284396</v>
      </c>
      <c r="M435" s="180">
        <f t="shared" si="6"/>
        <v>2409.0958543286001</v>
      </c>
    </row>
    <row r="436" spans="1:13">
      <c r="A436" s="2" t="s">
        <v>104</v>
      </c>
      <c r="B436" s="2" t="s">
        <v>128</v>
      </c>
      <c r="C436" s="2" t="s">
        <v>129</v>
      </c>
      <c r="D436" s="2" t="s">
        <v>78</v>
      </c>
      <c r="E436" s="2" t="s">
        <v>72</v>
      </c>
      <c r="F436" s="212">
        <v>0</v>
      </c>
      <c r="G436" s="212">
        <v>0</v>
      </c>
      <c r="H436" s="212">
        <v>0.946085273941765</v>
      </c>
      <c r="I436" s="212">
        <v>5.8940554335101827E-2</v>
      </c>
      <c r="J436" s="212">
        <v>5.8578891020989995E-2</v>
      </c>
      <c r="K436" s="212">
        <v>7.946658088402514E-2</v>
      </c>
      <c r="L436" s="212">
        <v>0.11939577976419449</v>
      </c>
      <c r="M436" s="180">
        <f t="shared" si="6"/>
        <v>1.2624670799460764</v>
      </c>
    </row>
    <row r="437" spans="1:13">
      <c r="A437" s="2" t="s">
        <v>104</v>
      </c>
      <c r="B437" s="2" t="s">
        <v>130</v>
      </c>
      <c r="C437" s="2" t="s">
        <v>131</v>
      </c>
      <c r="D437" s="2" t="s">
        <v>78</v>
      </c>
      <c r="E437" s="2" t="s">
        <v>72</v>
      </c>
      <c r="F437" s="212">
        <v>0</v>
      </c>
      <c r="G437" s="212">
        <v>0.49760571723053171</v>
      </c>
      <c r="H437" s="212">
        <v>4.7434206186092451</v>
      </c>
      <c r="I437" s="212">
        <v>2.613682249061049</v>
      </c>
      <c r="J437" s="212">
        <v>1.6645290893721087E-2</v>
      </c>
      <c r="K437" s="212">
        <v>0.25561068037531764</v>
      </c>
      <c r="L437" s="212">
        <v>0.51579320475122126</v>
      </c>
      <c r="M437" s="180">
        <f t="shared" si="6"/>
        <v>8.6427577609210857</v>
      </c>
    </row>
    <row r="438" spans="1:13">
      <c r="A438" s="2" t="s">
        <v>104</v>
      </c>
      <c r="B438" s="2" t="s">
        <v>132</v>
      </c>
      <c r="C438" s="2" t="s">
        <v>133</v>
      </c>
      <c r="D438" s="2" t="s">
        <v>78</v>
      </c>
      <c r="E438" s="2" t="s">
        <v>72</v>
      </c>
      <c r="F438" s="212">
        <v>0</v>
      </c>
      <c r="G438" s="212">
        <v>0</v>
      </c>
      <c r="H438" s="212">
        <v>2.9034771090193159</v>
      </c>
      <c r="I438" s="212">
        <v>5.3824223659305073</v>
      </c>
      <c r="J438" s="212">
        <v>18.657647546430358</v>
      </c>
      <c r="K438" s="212">
        <v>34.320017539350445</v>
      </c>
      <c r="L438" s="212">
        <v>34.09919425977013</v>
      </c>
      <c r="M438" s="180">
        <f t="shared" si="6"/>
        <v>95.362758820500758</v>
      </c>
    </row>
    <row r="439" spans="1:13">
      <c r="A439" s="2" t="s">
        <v>104</v>
      </c>
      <c r="B439" s="2" t="s">
        <v>134</v>
      </c>
      <c r="C439" s="2" t="s">
        <v>135</v>
      </c>
      <c r="D439" s="2" t="s">
        <v>78</v>
      </c>
      <c r="E439" s="2" t="s">
        <v>72</v>
      </c>
      <c r="F439" s="212">
        <v>0</v>
      </c>
      <c r="G439" s="212">
        <v>0</v>
      </c>
      <c r="H439" s="212">
        <v>6.6159812206209292</v>
      </c>
      <c r="I439" s="212">
        <v>8.8655106856461519</v>
      </c>
      <c r="J439" s="212">
        <v>9.1858154010624418</v>
      </c>
      <c r="K439" s="212">
        <v>7.6339121035890853</v>
      </c>
      <c r="L439" s="212">
        <v>5.1577002914487551</v>
      </c>
      <c r="M439" s="180">
        <f t="shared" si="6"/>
        <v>37.458919702367361</v>
      </c>
    </row>
    <row r="440" spans="1:13">
      <c r="A440" s="2" t="s">
        <v>104</v>
      </c>
      <c r="B440" s="2" t="s">
        <v>136</v>
      </c>
      <c r="C440" s="2" t="s">
        <v>137</v>
      </c>
      <c r="D440" s="2" t="s">
        <v>78</v>
      </c>
      <c r="E440" s="2" t="s">
        <v>72</v>
      </c>
      <c r="F440" s="212">
        <v>0</v>
      </c>
      <c r="G440" s="212">
        <v>0</v>
      </c>
      <c r="H440" s="212">
        <v>0</v>
      </c>
      <c r="I440" s="212">
        <v>0</v>
      </c>
      <c r="J440" s="212">
        <v>0</v>
      </c>
      <c r="K440" s="212">
        <v>0</v>
      </c>
      <c r="L440" s="212">
        <v>0</v>
      </c>
      <c r="M440" s="180">
        <f t="shared" si="6"/>
        <v>0</v>
      </c>
    </row>
    <row r="441" spans="1:13">
      <c r="A441" s="2" t="s">
        <v>104</v>
      </c>
      <c r="B441" s="2" t="s">
        <v>138</v>
      </c>
      <c r="C441" s="2" t="s">
        <v>139</v>
      </c>
      <c r="D441" s="2" t="s">
        <v>78</v>
      </c>
      <c r="E441" s="2" t="s">
        <v>72</v>
      </c>
      <c r="F441" s="212">
        <v>2.8793305143540113</v>
      </c>
      <c r="G441" s="212">
        <v>44.720145770617243</v>
      </c>
      <c r="H441" s="212">
        <v>249.58442362760587</v>
      </c>
      <c r="I441" s="212">
        <v>356.91591885050724</v>
      </c>
      <c r="J441" s="212">
        <v>372.31813045473831</v>
      </c>
      <c r="K441" s="212">
        <v>302.00620307200114</v>
      </c>
      <c r="L441" s="212">
        <v>108.44733533703911</v>
      </c>
      <c r="M441" s="180">
        <f t="shared" si="6"/>
        <v>1436.871487626863</v>
      </c>
    </row>
    <row r="442" spans="1:13">
      <c r="A442" s="2" t="s">
        <v>104</v>
      </c>
      <c r="B442" s="2" t="s">
        <v>140</v>
      </c>
      <c r="C442" s="2" t="s">
        <v>141</v>
      </c>
      <c r="D442" s="2" t="s">
        <v>78</v>
      </c>
      <c r="E442" s="2" t="s">
        <v>72</v>
      </c>
      <c r="F442" s="212">
        <v>0</v>
      </c>
      <c r="G442" s="212">
        <v>0</v>
      </c>
      <c r="H442" s="212">
        <v>0</v>
      </c>
      <c r="I442" s="212">
        <v>0</v>
      </c>
      <c r="J442" s="212">
        <v>0</v>
      </c>
      <c r="K442" s="212">
        <v>0</v>
      </c>
      <c r="L442" s="212">
        <v>0</v>
      </c>
      <c r="M442" s="180">
        <f t="shared" si="6"/>
        <v>0</v>
      </c>
    </row>
    <row r="443" spans="1:13">
      <c r="A443" s="2" t="s">
        <v>104</v>
      </c>
      <c r="B443" s="2" t="s">
        <v>142</v>
      </c>
      <c r="C443" s="2" t="s">
        <v>143</v>
      </c>
      <c r="D443" s="2" t="s">
        <v>78</v>
      </c>
      <c r="E443" s="2" t="s">
        <v>72</v>
      </c>
      <c r="F443" s="212">
        <v>0</v>
      </c>
      <c r="G443" s="212">
        <v>0.41002711099795797</v>
      </c>
      <c r="H443" s="212">
        <v>2.1528871578215529</v>
      </c>
      <c r="I443" s="212">
        <v>1.9160409022381708</v>
      </c>
      <c r="J443" s="212">
        <v>0.8344922720884892</v>
      </c>
      <c r="K443" s="212">
        <v>9.135895040030366E-2</v>
      </c>
      <c r="L443" s="212">
        <v>9.077112485437322E-2</v>
      </c>
      <c r="M443" s="180">
        <f t="shared" si="6"/>
        <v>5.4955775184008484</v>
      </c>
    </row>
    <row r="444" spans="1:13">
      <c r="A444" s="2" t="s">
        <v>104</v>
      </c>
      <c r="B444" s="2" t="s">
        <v>144</v>
      </c>
      <c r="C444" s="2" t="s">
        <v>145</v>
      </c>
      <c r="D444" s="2" t="s">
        <v>78</v>
      </c>
      <c r="E444" s="2" t="s">
        <v>72</v>
      </c>
      <c r="F444" s="212">
        <v>0</v>
      </c>
      <c r="G444" s="212">
        <v>0</v>
      </c>
      <c r="H444" s="212">
        <v>0</v>
      </c>
      <c r="I444" s="212">
        <v>0</v>
      </c>
      <c r="J444" s="212">
        <v>0</v>
      </c>
      <c r="K444" s="212">
        <v>0</v>
      </c>
      <c r="L444" s="212">
        <v>0</v>
      </c>
      <c r="M444" s="180">
        <f t="shared" si="6"/>
        <v>0</v>
      </c>
    </row>
    <row r="445" spans="1:13">
      <c r="A445" s="2" t="s">
        <v>104</v>
      </c>
      <c r="B445" s="2" t="s">
        <v>146</v>
      </c>
      <c r="C445" s="2" t="s">
        <v>147</v>
      </c>
      <c r="D445" s="2" t="s">
        <v>78</v>
      </c>
      <c r="E445" s="2" t="s">
        <v>72</v>
      </c>
      <c r="F445" s="212">
        <v>0</v>
      </c>
      <c r="G445" s="212">
        <v>0</v>
      </c>
      <c r="H445" s="212">
        <v>4.4222043704553668E-2</v>
      </c>
      <c r="I445" s="212">
        <v>0</v>
      </c>
      <c r="J445" s="212">
        <v>0</v>
      </c>
      <c r="K445" s="212">
        <v>0</v>
      </c>
      <c r="L445" s="212">
        <v>0</v>
      </c>
      <c r="M445" s="180">
        <f t="shared" si="6"/>
        <v>4.4222043704553668E-2</v>
      </c>
    </row>
    <row r="446" spans="1:13">
      <c r="A446" s="2" t="s">
        <v>104</v>
      </c>
      <c r="B446" s="2" t="s">
        <v>148</v>
      </c>
      <c r="C446" s="2" t="s">
        <v>149</v>
      </c>
      <c r="D446" s="2" t="s">
        <v>78</v>
      </c>
      <c r="E446" s="2" t="s">
        <v>72</v>
      </c>
      <c r="F446" s="212">
        <v>0</v>
      </c>
      <c r="G446" s="212">
        <v>10.633397599803118</v>
      </c>
      <c r="H446" s="212">
        <v>63.544805583180171</v>
      </c>
      <c r="I446" s="212">
        <v>76.181480838658558</v>
      </c>
      <c r="J446" s="212">
        <v>49.995610567486715</v>
      </c>
      <c r="K446" s="212">
        <v>80.826940026318979</v>
      </c>
      <c r="L446" s="212">
        <v>67.91762918654041</v>
      </c>
      <c r="M446" s="180">
        <f t="shared" si="6"/>
        <v>349.09986380198796</v>
      </c>
    </row>
    <row r="447" spans="1:13">
      <c r="A447" s="2" t="s">
        <v>104</v>
      </c>
      <c r="B447" s="2" t="s">
        <v>150</v>
      </c>
      <c r="C447" s="2" t="s">
        <v>151</v>
      </c>
      <c r="D447" s="2" t="s">
        <v>78</v>
      </c>
      <c r="E447" s="2" t="s">
        <v>72</v>
      </c>
      <c r="F447" s="212">
        <v>0</v>
      </c>
      <c r="G447" s="212">
        <v>0.51627892879764548</v>
      </c>
      <c r="H447" s="212">
        <v>1.8309089954880031</v>
      </c>
      <c r="I447" s="212">
        <v>1.2255385510049286</v>
      </c>
      <c r="J447" s="212">
        <v>0</v>
      </c>
      <c r="K447" s="212">
        <v>0</v>
      </c>
      <c r="L447" s="212">
        <v>0</v>
      </c>
      <c r="M447" s="180">
        <f t="shared" si="6"/>
        <v>3.5727264752905774</v>
      </c>
    </row>
    <row r="448" spans="1:13">
      <c r="A448" s="2" t="s">
        <v>104</v>
      </c>
      <c r="B448" s="2" t="s">
        <v>152</v>
      </c>
      <c r="C448" s="2" t="s">
        <v>153</v>
      </c>
      <c r="D448" s="2" t="s">
        <v>78</v>
      </c>
      <c r="E448" s="2" t="s">
        <v>72</v>
      </c>
      <c r="F448" s="212">
        <v>0</v>
      </c>
      <c r="G448" s="212">
        <v>4.1056102395098204</v>
      </c>
      <c r="H448" s="212">
        <v>15.918628648597778</v>
      </c>
      <c r="I448" s="212">
        <v>6.5866333341655201</v>
      </c>
      <c r="J448" s="212">
        <v>7.0796194456331483</v>
      </c>
      <c r="K448" s="212">
        <v>9.7345790082921209</v>
      </c>
      <c r="L448" s="212">
        <v>9.7876185800138913</v>
      </c>
      <c r="M448" s="180">
        <f t="shared" si="6"/>
        <v>53.212689256212279</v>
      </c>
    </row>
    <row r="449" spans="1:13">
      <c r="A449" s="2" t="s">
        <v>104</v>
      </c>
      <c r="B449" s="2" t="s">
        <v>154</v>
      </c>
      <c r="C449" s="2" t="s">
        <v>155</v>
      </c>
      <c r="D449" s="2" t="s">
        <v>78</v>
      </c>
      <c r="E449" s="2" t="s">
        <v>72</v>
      </c>
      <c r="F449" s="212">
        <v>0</v>
      </c>
      <c r="G449" s="212">
        <v>0</v>
      </c>
      <c r="H449" s="212">
        <v>0</v>
      </c>
      <c r="I449" s="212">
        <v>0</v>
      </c>
      <c r="J449" s="212">
        <v>0</v>
      </c>
      <c r="K449" s="212">
        <v>0</v>
      </c>
      <c r="L449" s="212">
        <v>0</v>
      </c>
      <c r="M449" s="180">
        <f t="shared" si="6"/>
        <v>0</v>
      </c>
    </row>
    <row r="450" spans="1:13">
      <c r="A450" s="2" t="s">
        <v>104</v>
      </c>
      <c r="B450" s="2" t="s">
        <v>156</v>
      </c>
      <c r="C450" s="2" t="s">
        <v>157</v>
      </c>
      <c r="D450" s="2" t="s">
        <v>78</v>
      </c>
      <c r="E450" s="2" t="s">
        <v>72</v>
      </c>
      <c r="F450" s="212">
        <v>0</v>
      </c>
      <c r="G450" s="212">
        <v>0</v>
      </c>
      <c r="H450" s="212">
        <v>0</v>
      </c>
      <c r="I450" s="212">
        <v>0</v>
      </c>
      <c r="J450" s="212">
        <v>0</v>
      </c>
      <c r="K450" s="212">
        <v>0</v>
      </c>
      <c r="L450" s="212">
        <v>0</v>
      </c>
      <c r="M450" s="180">
        <f t="shared" si="6"/>
        <v>0</v>
      </c>
    </row>
    <row r="451" spans="1:13">
      <c r="A451" s="2" t="s">
        <v>104</v>
      </c>
      <c r="B451" s="2" t="s">
        <v>158</v>
      </c>
      <c r="C451" s="2" t="s">
        <v>159</v>
      </c>
      <c r="D451" s="2" t="s">
        <v>78</v>
      </c>
      <c r="E451" s="2" t="s">
        <v>72</v>
      </c>
      <c r="F451" s="212">
        <v>0</v>
      </c>
      <c r="G451" s="212">
        <v>0</v>
      </c>
      <c r="H451" s="212">
        <v>0</v>
      </c>
      <c r="I451" s="212">
        <v>0</v>
      </c>
      <c r="J451" s="212">
        <v>0</v>
      </c>
      <c r="K451" s="212">
        <v>0</v>
      </c>
      <c r="L451" s="212">
        <v>0</v>
      </c>
      <c r="M451" s="180">
        <f t="shared" si="6"/>
        <v>0</v>
      </c>
    </row>
    <row r="452" spans="1:13">
      <c r="A452" s="2" t="s">
        <v>104</v>
      </c>
      <c r="B452" s="2" t="s">
        <v>160</v>
      </c>
      <c r="C452" s="2" t="s">
        <v>161</v>
      </c>
      <c r="D452" s="2" t="s">
        <v>78</v>
      </c>
      <c r="E452" s="2" t="s">
        <v>72</v>
      </c>
      <c r="F452" s="212">
        <v>0</v>
      </c>
      <c r="G452" s="212">
        <v>0</v>
      </c>
      <c r="H452" s="212">
        <v>0</v>
      </c>
      <c r="I452" s="212">
        <v>0</v>
      </c>
      <c r="J452" s="212">
        <v>0</v>
      </c>
      <c r="K452" s="212">
        <v>0</v>
      </c>
      <c r="L452" s="212">
        <v>0</v>
      </c>
      <c r="M452" s="180">
        <f t="shared" si="6"/>
        <v>0</v>
      </c>
    </row>
    <row r="453" spans="1:13">
      <c r="A453" s="2" t="s">
        <v>104</v>
      </c>
      <c r="B453" s="2" t="s">
        <v>162</v>
      </c>
      <c r="C453" s="2" t="s">
        <v>163</v>
      </c>
      <c r="D453" s="2" t="s">
        <v>78</v>
      </c>
      <c r="E453" s="2" t="s">
        <v>72</v>
      </c>
      <c r="F453" s="212">
        <v>6.5549999999999997E-2</v>
      </c>
      <c r="G453" s="212">
        <v>1.9447924246520865</v>
      </c>
      <c r="H453" s="212">
        <v>5.8137271880774479</v>
      </c>
      <c r="I453" s="212">
        <v>5.6809664614235302</v>
      </c>
      <c r="J453" s="212">
        <v>5.5726965210040502</v>
      </c>
      <c r="K453" s="212">
        <v>0.66478214972135841</v>
      </c>
      <c r="L453" s="212">
        <v>0.66050478085522635</v>
      </c>
      <c r="M453" s="180">
        <f t="shared" si="6"/>
        <v>20.403019525733701</v>
      </c>
    </row>
    <row r="454" spans="1:13">
      <c r="A454" s="2" t="s">
        <v>104</v>
      </c>
      <c r="B454" s="2" t="s">
        <v>164</v>
      </c>
      <c r="C454" s="2" t="s">
        <v>165</v>
      </c>
      <c r="D454" s="2" t="s">
        <v>78</v>
      </c>
      <c r="E454" s="2" t="s">
        <v>72</v>
      </c>
      <c r="F454" s="212">
        <v>0</v>
      </c>
      <c r="G454" s="212">
        <v>0.91797594051304965</v>
      </c>
      <c r="H454" s="212">
        <v>4.5218288201580785</v>
      </c>
      <c r="I454" s="212">
        <v>2.5570926870237014</v>
      </c>
      <c r="J454" s="212">
        <v>1.3367775517319767</v>
      </c>
      <c r="K454" s="212">
        <v>0.28253496559784774</v>
      </c>
      <c r="L454" s="212">
        <v>0.28071706740977448</v>
      </c>
      <c r="M454" s="180">
        <f t="shared" ref="M454:M517" si="7">SUM(F454:L454)</f>
        <v>9.8969270324344283</v>
      </c>
    </row>
    <row r="455" spans="1:13">
      <c r="A455" s="2" t="s">
        <v>104</v>
      </c>
      <c r="B455" s="2" t="s">
        <v>166</v>
      </c>
      <c r="C455" s="2" t="s">
        <v>167</v>
      </c>
      <c r="D455" s="2" t="s">
        <v>78</v>
      </c>
      <c r="E455" s="2" t="s">
        <v>72</v>
      </c>
      <c r="F455" s="212">
        <v>0</v>
      </c>
      <c r="G455" s="212">
        <v>0</v>
      </c>
      <c r="H455" s="212">
        <v>0</v>
      </c>
      <c r="I455" s="212">
        <v>0</v>
      </c>
      <c r="J455" s="212">
        <v>0</v>
      </c>
      <c r="K455" s="212">
        <v>0</v>
      </c>
      <c r="L455" s="212">
        <v>0</v>
      </c>
      <c r="M455" s="180">
        <f t="shared" si="7"/>
        <v>0</v>
      </c>
    </row>
    <row r="456" spans="1:13">
      <c r="A456" s="2" t="s">
        <v>104</v>
      </c>
      <c r="B456" s="2" t="s">
        <v>168</v>
      </c>
      <c r="C456" s="2" t="s">
        <v>169</v>
      </c>
      <c r="D456" s="2" t="s">
        <v>78</v>
      </c>
      <c r="E456" s="2" t="s">
        <v>72</v>
      </c>
      <c r="F456" s="212">
        <v>0</v>
      </c>
      <c r="G456" s="212">
        <v>0.18152656564569794</v>
      </c>
      <c r="H456" s="212">
        <v>1.0754560159943447</v>
      </c>
      <c r="I456" s="212">
        <v>2.4116510148779167</v>
      </c>
      <c r="J456" s="212">
        <v>0.82303341884490955</v>
      </c>
      <c r="K456" s="212">
        <v>0</v>
      </c>
      <c r="L456" s="212">
        <v>4.1403375240809399E-2</v>
      </c>
      <c r="M456" s="180">
        <f t="shared" si="7"/>
        <v>4.5330703906036787</v>
      </c>
    </row>
    <row r="457" spans="1:13">
      <c r="A457" s="2" t="s">
        <v>104</v>
      </c>
      <c r="B457" s="2" t="s">
        <v>170</v>
      </c>
      <c r="C457" s="2" t="s">
        <v>171</v>
      </c>
      <c r="D457" s="2" t="s">
        <v>78</v>
      </c>
      <c r="E457" s="2" t="s">
        <v>72</v>
      </c>
      <c r="F457" s="212">
        <v>0</v>
      </c>
      <c r="G457" s="212">
        <v>6.5583737708190508</v>
      </c>
      <c r="H457" s="212">
        <v>50.462002691688838</v>
      </c>
      <c r="I457" s="212">
        <v>42.857665281597583</v>
      </c>
      <c r="J457" s="212">
        <v>26.852484287592457</v>
      </c>
      <c r="K457" s="212">
        <v>13.295974662298313</v>
      </c>
      <c r="L457" s="212">
        <v>13.311778727367281</v>
      </c>
      <c r="M457" s="180">
        <f t="shared" si="7"/>
        <v>153.33827942136352</v>
      </c>
    </row>
    <row r="458" spans="1:13">
      <c r="A458" s="2" t="s">
        <v>104</v>
      </c>
      <c r="B458" s="2" t="s">
        <v>172</v>
      </c>
      <c r="C458" s="2" t="s">
        <v>173</v>
      </c>
      <c r="D458" s="2" t="s">
        <v>78</v>
      </c>
      <c r="E458" s="2" t="s">
        <v>72</v>
      </c>
      <c r="F458" s="212">
        <v>0</v>
      </c>
      <c r="G458" s="212">
        <v>0</v>
      </c>
      <c r="H458" s="212">
        <v>0</v>
      </c>
      <c r="I458" s="212">
        <v>0</v>
      </c>
      <c r="J458" s="212">
        <v>0</v>
      </c>
      <c r="K458" s="212">
        <v>0</v>
      </c>
      <c r="L458" s="212">
        <v>0</v>
      </c>
      <c r="M458" s="180">
        <f t="shared" si="7"/>
        <v>0</v>
      </c>
    </row>
    <row r="459" spans="1:13">
      <c r="A459" s="2" t="s">
        <v>104</v>
      </c>
      <c r="B459" s="2" t="s">
        <v>174</v>
      </c>
      <c r="C459" s="2" t="s">
        <v>175</v>
      </c>
      <c r="D459" s="2" t="s">
        <v>78</v>
      </c>
      <c r="E459" s="2" t="s">
        <v>72</v>
      </c>
      <c r="F459" s="212">
        <v>0</v>
      </c>
      <c r="G459" s="212">
        <v>0</v>
      </c>
      <c r="H459" s="212">
        <v>0</v>
      </c>
      <c r="I459" s="212">
        <v>0</v>
      </c>
      <c r="J459" s="212">
        <v>0</v>
      </c>
      <c r="K459" s="212">
        <v>0</v>
      </c>
      <c r="L459" s="212">
        <v>0</v>
      </c>
      <c r="M459" s="180">
        <f t="shared" si="7"/>
        <v>0</v>
      </c>
    </row>
    <row r="460" spans="1:13">
      <c r="A460" s="2" t="s">
        <v>104</v>
      </c>
      <c r="B460" s="2" t="s">
        <v>176</v>
      </c>
      <c r="C460" s="2" t="s">
        <v>177</v>
      </c>
      <c r="D460" s="2" t="s">
        <v>78</v>
      </c>
      <c r="E460" s="2" t="s">
        <v>72</v>
      </c>
      <c r="F460" s="212">
        <v>0</v>
      </c>
      <c r="G460" s="212">
        <v>0</v>
      </c>
      <c r="H460" s="212">
        <v>0</v>
      </c>
      <c r="I460" s="212">
        <v>0</v>
      </c>
      <c r="J460" s="212">
        <v>0</v>
      </c>
      <c r="K460" s="212">
        <v>0</v>
      </c>
      <c r="L460" s="212">
        <v>0</v>
      </c>
      <c r="M460" s="180">
        <f t="shared" si="7"/>
        <v>0</v>
      </c>
    </row>
    <row r="461" spans="1:13">
      <c r="A461" s="2" t="s">
        <v>104</v>
      </c>
      <c r="B461" s="2" t="s">
        <v>178</v>
      </c>
      <c r="C461" s="2" t="s">
        <v>179</v>
      </c>
      <c r="D461" s="2" t="s">
        <v>78</v>
      </c>
      <c r="E461" s="2" t="s">
        <v>72</v>
      </c>
      <c r="F461" s="212">
        <v>0</v>
      </c>
      <c r="G461" s="212">
        <v>0</v>
      </c>
      <c r="H461" s="212">
        <v>0</v>
      </c>
      <c r="I461" s="212">
        <v>0</v>
      </c>
      <c r="J461" s="212">
        <v>0</v>
      </c>
      <c r="K461" s="212">
        <v>0</v>
      </c>
      <c r="L461" s="212">
        <v>0</v>
      </c>
      <c r="M461" s="180">
        <f t="shared" si="7"/>
        <v>0</v>
      </c>
    </row>
    <row r="462" spans="1:13">
      <c r="A462" s="2" t="s">
        <v>104</v>
      </c>
      <c r="B462" s="2" t="s">
        <v>180</v>
      </c>
      <c r="C462" s="2" t="s">
        <v>181</v>
      </c>
      <c r="D462" s="2" t="s">
        <v>78</v>
      </c>
      <c r="E462" s="2" t="s">
        <v>72</v>
      </c>
      <c r="F462" s="212">
        <v>0</v>
      </c>
      <c r="G462" s="212">
        <v>0</v>
      </c>
      <c r="H462" s="212">
        <v>0</v>
      </c>
      <c r="I462" s="212">
        <v>0</v>
      </c>
      <c r="J462" s="212">
        <v>0</v>
      </c>
      <c r="K462" s="212">
        <v>0</v>
      </c>
      <c r="L462" s="212">
        <v>0</v>
      </c>
      <c r="M462" s="180">
        <f t="shared" si="7"/>
        <v>0</v>
      </c>
    </row>
    <row r="463" spans="1:13">
      <c r="A463" s="2" t="s">
        <v>104</v>
      </c>
      <c r="B463" s="2" t="s">
        <v>182</v>
      </c>
      <c r="C463" s="2" t="s">
        <v>183</v>
      </c>
      <c r="D463" s="2" t="s">
        <v>78</v>
      </c>
      <c r="E463" s="2" t="s">
        <v>72</v>
      </c>
      <c r="F463" s="212">
        <v>0</v>
      </c>
      <c r="G463" s="212">
        <v>0</v>
      </c>
      <c r="H463" s="212">
        <v>0</v>
      </c>
      <c r="I463" s="212">
        <v>0</v>
      </c>
      <c r="J463" s="212">
        <v>0</v>
      </c>
      <c r="K463" s="212">
        <v>0</v>
      </c>
      <c r="L463" s="212">
        <v>0</v>
      </c>
      <c r="M463" s="180">
        <f t="shared" si="7"/>
        <v>0</v>
      </c>
    </row>
    <row r="464" spans="1:13">
      <c r="A464" s="2" t="s">
        <v>104</v>
      </c>
      <c r="B464" s="2" t="s">
        <v>184</v>
      </c>
      <c r="C464" s="2" t="s">
        <v>185</v>
      </c>
      <c r="D464" s="2" t="s">
        <v>78</v>
      </c>
      <c r="E464" s="2" t="s">
        <v>72</v>
      </c>
      <c r="F464" s="212">
        <v>0</v>
      </c>
      <c r="G464" s="212">
        <v>0</v>
      </c>
      <c r="H464" s="212">
        <v>0</v>
      </c>
      <c r="I464" s="212">
        <v>0</v>
      </c>
      <c r="J464" s="212">
        <v>10.507864927749361</v>
      </c>
      <c r="K464" s="212">
        <v>13.821232865040043</v>
      </c>
      <c r="L464" s="212">
        <v>12.288219550413928</v>
      </c>
      <c r="M464" s="180">
        <f t="shared" si="7"/>
        <v>36.617317343203332</v>
      </c>
    </row>
    <row r="465" spans="1:13">
      <c r="A465" s="2" t="s">
        <v>104</v>
      </c>
      <c r="B465" s="2" t="s">
        <v>186</v>
      </c>
      <c r="C465" s="2" t="s">
        <v>187</v>
      </c>
      <c r="D465" s="2" t="s">
        <v>78</v>
      </c>
      <c r="E465" s="2" t="s">
        <v>72</v>
      </c>
      <c r="F465" s="212">
        <v>0</v>
      </c>
      <c r="G465" s="212">
        <v>0</v>
      </c>
      <c r="H465" s="212">
        <v>0</v>
      </c>
      <c r="I465" s="212">
        <v>0</v>
      </c>
      <c r="J465" s="212">
        <v>0</v>
      </c>
      <c r="K465" s="212">
        <v>0</v>
      </c>
      <c r="L465" s="212">
        <v>0</v>
      </c>
      <c r="M465" s="180">
        <f t="shared" si="7"/>
        <v>0</v>
      </c>
    </row>
    <row r="466" spans="1:13">
      <c r="A466" s="2" t="s">
        <v>104</v>
      </c>
      <c r="B466" s="2" t="s">
        <v>188</v>
      </c>
      <c r="C466" s="2" t="s">
        <v>189</v>
      </c>
      <c r="D466" s="2" t="s">
        <v>78</v>
      </c>
      <c r="E466" s="2" t="s">
        <v>72</v>
      </c>
      <c r="F466" s="212">
        <v>0</v>
      </c>
      <c r="G466" s="212">
        <v>0</v>
      </c>
      <c r="H466" s="212">
        <v>0</v>
      </c>
      <c r="I466" s="212">
        <v>0</v>
      </c>
      <c r="J466" s="212">
        <v>1.9775631823912052</v>
      </c>
      <c r="K466" s="212">
        <v>2.3306607899523732</v>
      </c>
      <c r="L466" s="212">
        <v>1.2808460698399813</v>
      </c>
      <c r="M466" s="180">
        <f t="shared" si="7"/>
        <v>5.5890700421835593</v>
      </c>
    </row>
    <row r="467" spans="1:13">
      <c r="A467" s="2" t="s">
        <v>104</v>
      </c>
      <c r="B467" s="2" t="s">
        <v>190</v>
      </c>
      <c r="C467" s="2" t="s">
        <v>191</v>
      </c>
      <c r="D467" s="2" t="s">
        <v>78</v>
      </c>
      <c r="E467" s="2" t="s">
        <v>72</v>
      </c>
      <c r="F467" s="212">
        <v>0</v>
      </c>
      <c r="G467" s="212">
        <v>0</v>
      </c>
      <c r="H467" s="212">
        <v>0</v>
      </c>
      <c r="I467" s="212">
        <v>0</v>
      </c>
      <c r="J467" s="212">
        <v>0</v>
      </c>
      <c r="K467" s="212">
        <v>0</v>
      </c>
      <c r="L467" s="212">
        <v>0</v>
      </c>
      <c r="M467" s="180">
        <f t="shared" si="7"/>
        <v>0</v>
      </c>
    </row>
    <row r="468" spans="1:13">
      <c r="A468" s="2" t="s">
        <v>104</v>
      </c>
      <c r="B468" s="2" t="s">
        <v>192</v>
      </c>
      <c r="C468" s="2" t="s">
        <v>193</v>
      </c>
      <c r="D468" s="2" t="s">
        <v>78</v>
      </c>
      <c r="E468" s="2" t="s">
        <v>72</v>
      </c>
      <c r="F468" s="212">
        <v>0</v>
      </c>
      <c r="G468" s="212">
        <v>0</v>
      </c>
      <c r="H468" s="212">
        <v>0</v>
      </c>
      <c r="I468" s="212">
        <v>0</v>
      </c>
      <c r="J468" s="212">
        <v>0</v>
      </c>
      <c r="K468" s="212">
        <v>0</v>
      </c>
      <c r="L468" s="212">
        <v>0</v>
      </c>
      <c r="M468" s="180">
        <f t="shared" si="7"/>
        <v>0</v>
      </c>
    </row>
    <row r="469" spans="1:13">
      <c r="A469" s="2" t="s">
        <v>104</v>
      </c>
      <c r="B469" s="2" t="s">
        <v>194</v>
      </c>
      <c r="C469" s="2" t="s">
        <v>195</v>
      </c>
      <c r="D469" s="2" t="s">
        <v>78</v>
      </c>
      <c r="E469" s="2" t="s">
        <v>72</v>
      </c>
      <c r="F469" s="212">
        <v>0</v>
      </c>
      <c r="G469" s="212">
        <v>0</v>
      </c>
      <c r="H469" s="212">
        <v>6.3164099410825099</v>
      </c>
      <c r="I469" s="212">
        <v>9.4721114083712123</v>
      </c>
      <c r="J469" s="212">
        <v>7.4612587822551886</v>
      </c>
      <c r="K469" s="212">
        <v>0.50496521366889136</v>
      </c>
      <c r="L469" s="212">
        <v>0.50171614555788324</v>
      </c>
      <c r="M469" s="180">
        <f t="shared" si="7"/>
        <v>24.256461490935685</v>
      </c>
    </row>
    <row r="470" spans="1:13">
      <c r="A470" s="2" t="s">
        <v>104</v>
      </c>
      <c r="B470" s="2" t="s">
        <v>196</v>
      </c>
      <c r="C470" s="2" t="s">
        <v>197</v>
      </c>
      <c r="D470" s="2" t="s">
        <v>78</v>
      </c>
      <c r="E470" s="2" t="s">
        <v>72</v>
      </c>
      <c r="F470" s="212">
        <v>0</v>
      </c>
      <c r="G470" s="212">
        <v>0</v>
      </c>
      <c r="H470" s="212">
        <v>3.6645656565033793</v>
      </c>
      <c r="I470" s="212">
        <v>2.7518092706608863</v>
      </c>
      <c r="J470" s="212">
        <v>1.9500538286725899</v>
      </c>
      <c r="K470" s="212">
        <v>5.7152131123897956E-2</v>
      </c>
      <c r="L470" s="212">
        <v>5.6784400512591787E-2</v>
      </c>
      <c r="M470" s="180">
        <f t="shared" si="7"/>
        <v>8.4803652874733455</v>
      </c>
    </row>
    <row r="471" spans="1:13">
      <c r="A471" s="2" t="s">
        <v>104</v>
      </c>
      <c r="B471" s="2" t="s">
        <v>198</v>
      </c>
      <c r="C471" s="2" t="s">
        <v>199</v>
      </c>
      <c r="D471" s="2" t="s">
        <v>78</v>
      </c>
      <c r="E471" s="2" t="s">
        <v>72</v>
      </c>
      <c r="F471" s="212">
        <v>0</v>
      </c>
      <c r="G471" s="212">
        <v>0</v>
      </c>
      <c r="H471" s="212">
        <v>0</v>
      </c>
      <c r="I471" s="212">
        <v>0</v>
      </c>
      <c r="J471" s="212">
        <v>0</v>
      </c>
      <c r="K471" s="212">
        <v>0</v>
      </c>
      <c r="L471" s="212">
        <v>0</v>
      </c>
      <c r="M471" s="180">
        <f t="shared" si="7"/>
        <v>0</v>
      </c>
    </row>
    <row r="472" spans="1:13">
      <c r="A472" s="2" t="s">
        <v>104</v>
      </c>
      <c r="B472" s="2" t="s">
        <v>200</v>
      </c>
      <c r="C472" s="2" t="s">
        <v>201</v>
      </c>
      <c r="D472" s="2" t="s">
        <v>78</v>
      </c>
      <c r="E472" s="2" t="s">
        <v>72</v>
      </c>
      <c r="F472" s="212">
        <v>0</v>
      </c>
      <c r="G472" s="212">
        <v>0</v>
      </c>
      <c r="H472" s="212">
        <v>2.24525951933306</v>
      </c>
      <c r="I472" s="212">
        <v>3.2488591579199988</v>
      </c>
      <c r="J472" s="212">
        <v>3.2289239336352793</v>
      </c>
      <c r="K472" s="212">
        <v>3.205077932678281</v>
      </c>
      <c r="L472" s="212">
        <v>3.1844556873780552</v>
      </c>
      <c r="M472" s="180">
        <f t="shared" si="7"/>
        <v>15.112576230944674</v>
      </c>
    </row>
    <row r="473" spans="1:13">
      <c r="A473" s="2" t="s">
        <v>104</v>
      </c>
      <c r="B473" s="2" t="s">
        <v>202</v>
      </c>
      <c r="C473" s="2" t="s">
        <v>203</v>
      </c>
      <c r="D473" s="2" t="s">
        <v>78</v>
      </c>
      <c r="E473" s="2" t="s">
        <v>72</v>
      </c>
      <c r="F473" s="212">
        <v>0</v>
      </c>
      <c r="G473" s="212">
        <v>0</v>
      </c>
      <c r="H473" s="212">
        <v>0</v>
      </c>
      <c r="I473" s="212">
        <v>0</v>
      </c>
      <c r="J473" s="212">
        <v>0</v>
      </c>
      <c r="K473" s="212">
        <v>0</v>
      </c>
      <c r="L473" s="212">
        <v>0</v>
      </c>
      <c r="M473" s="180">
        <f t="shared" si="7"/>
        <v>0</v>
      </c>
    </row>
    <row r="474" spans="1:13">
      <c r="A474" s="2" t="s">
        <v>104</v>
      </c>
      <c r="B474" s="2" t="s">
        <v>204</v>
      </c>
      <c r="C474" s="2" t="s">
        <v>205</v>
      </c>
      <c r="D474" s="2" t="s">
        <v>78</v>
      </c>
      <c r="E474" s="2" t="s">
        <v>72</v>
      </c>
      <c r="F474" s="212">
        <v>0</v>
      </c>
      <c r="G474" s="212">
        <v>0</v>
      </c>
      <c r="H474" s="212">
        <v>0</v>
      </c>
      <c r="I474" s="212">
        <v>0</v>
      </c>
      <c r="J474" s="212">
        <v>0</v>
      </c>
      <c r="K474" s="212">
        <v>0</v>
      </c>
      <c r="L474" s="212">
        <v>0</v>
      </c>
      <c r="M474" s="180">
        <f t="shared" si="7"/>
        <v>0</v>
      </c>
    </row>
    <row r="475" spans="1:13">
      <c r="A475" s="2" t="s">
        <v>104</v>
      </c>
      <c r="B475" s="2" t="s">
        <v>206</v>
      </c>
      <c r="C475" s="2" t="s">
        <v>207</v>
      </c>
      <c r="D475" s="2" t="s">
        <v>78</v>
      </c>
      <c r="E475" s="2" t="s">
        <v>72</v>
      </c>
      <c r="F475" s="212">
        <v>0</v>
      </c>
      <c r="G475" s="212">
        <v>0</v>
      </c>
      <c r="H475" s="212">
        <v>8.8939295065373347</v>
      </c>
      <c r="I475" s="212">
        <v>9.8941616386430873</v>
      </c>
      <c r="J475" s="212">
        <v>1.3668721228020373</v>
      </c>
      <c r="K475" s="212">
        <v>1.3567776038172759</v>
      </c>
      <c r="L475" s="212">
        <v>1.347082118849475</v>
      </c>
      <c r="M475" s="180">
        <f t="shared" si="7"/>
        <v>22.858822990649209</v>
      </c>
    </row>
    <row r="476" spans="1:13">
      <c r="A476" s="2" t="s">
        <v>104</v>
      </c>
      <c r="B476" s="2" t="s">
        <v>208</v>
      </c>
      <c r="C476" s="2" t="s">
        <v>209</v>
      </c>
      <c r="D476" s="2" t="s">
        <v>78</v>
      </c>
      <c r="E476" s="2" t="s">
        <v>72</v>
      </c>
      <c r="F476" s="212">
        <v>0</v>
      </c>
      <c r="G476" s="212">
        <v>0</v>
      </c>
      <c r="H476" s="212">
        <v>0</v>
      </c>
      <c r="I476" s="212">
        <v>0</v>
      </c>
      <c r="J476" s="212">
        <v>0</v>
      </c>
      <c r="K476" s="212">
        <v>0</v>
      </c>
      <c r="L476" s="212">
        <v>0</v>
      </c>
      <c r="M476" s="180">
        <f t="shared" si="7"/>
        <v>0</v>
      </c>
    </row>
    <row r="477" spans="1:13">
      <c r="A477" s="2" t="s">
        <v>104</v>
      </c>
      <c r="B477" s="2" t="s">
        <v>210</v>
      </c>
      <c r="C477" s="2" t="s">
        <v>211</v>
      </c>
      <c r="D477" s="2" t="s">
        <v>78</v>
      </c>
      <c r="E477" s="2" t="s">
        <v>72</v>
      </c>
      <c r="F477" s="212">
        <v>0</v>
      </c>
      <c r="G477" s="212">
        <v>0</v>
      </c>
      <c r="H477" s="212">
        <v>48.748043858380157</v>
      </c>
      <c r="I477" s="212">
        <v>28.617982651837938</v>
      </c>
      <c r="J477" s="212">
        <v>2.9847452004776862</v>
      </c>
      <c r="K477" s="212">
        <v>0</v>
      </c>
      <c r="L477" s="212">
        <v>0</v>
      </c>
      <c r="M477" s="180">
        <f t="shared" si="7"/>
        <v>80.350771710695781</v>
      </c>
    </row>
    <row r="478" spans="1:13">
      <c r="A478" s="2" t="s">
        <v>212</v>
      </c>
      <c r="B478" s="2" t="s">
        <v>126</v>
      </c>
      <c r="C478" s="2" t="s">
        <v>127</v>
      </c>
      <c r="D478" s="2" t="s">
        <v>78</v>
      </c>
      <c r="E478" s="2" t="s">
        <v>72</v>
      </c>
      <c r="F478" s="213" t="s">
        <v>79</v>
      </c>
      <c r="G478" s="213" t="s">
        <v>79</v>
      </c>
      <c r="H478" s="213" t="s">
        <v>79</v>
      </c>
      <c r="I478" s="213" t="s">
        <v>79</v>
      </c>
      <c r="J478" s="213" t="s">
        <v>79</v>
      </c>
      <c r="K478" s="213" t="s">
        <v>79</v>
      </c>
      <c r="L478" s="213" t="s">
        <v>79</v>
      </c>
      <c r="M478" s="180">
        <f t="shared" si="7"/>
        <v>0</v>
      </c>
    </row>
    <row r="479" spans="1:13">
      <c r="A479" s="2" t="s">
        <v>212</v>
      </c>
      <c r="B479" s="2" t="s">
        <v>128</v>
      </c>
      <c r="C479" s="2" t="s">
        <v>129</v>
      </c>
      <c r="D479" s="2" t="s">
        <v>78</v>
      </c>
      <c r="E479" s="2" t="s">
        <v>72</v>
      </c>
      <c r="F479" s="213" t="s">
        <v>79</v>
      </c>
      <c r="G479" s="213" t="s">
        <v>79</v>
      </c>
      <c r="H479" s="213" t="s">
        <v>79</v>
      </c>
      <c r="I479" s="213" t="s">
        <v>79</v>
      </c>
      <c r="J479" s="213" t="s">
        <v>79</v>
      </c>
      <c r="K479" s="213" t="s">
        <v>79</v>
      </c>
      <c r="L479" s="213" t="s">
        <v>79</v>
      </c>
      <c r="M479" s="180">
        <f t="shared" si="7"/>
        <v>0</v>
      </c>
    </row>
    <row r="480" spans="1:13">
      <c r="A480" s="2" t="s">
        <v>212</v>
      </c>
      <c r="B480" s="2" t="s">
        <v>130</v>
      </c>
      <c r="C480" s="2" t="s">
        <v>131</v>
      </c>
      <c r="D480" s="2" t="s">
        <v>78</v>
      </c>
      <c r="E480" s="2" t="s">
        <v>72</v>
      </c>
      <c r="F480" s="213" t="s">
        <v>79</v>
      </c>
      <c r="G480" s="213" t="s">
        <v>79</v>
      </c>
      <c r="H480" s="213" t="s">
        <v>79</v>
      </c>
      <c r="I480" s="213" t="s">
        <v>79</v>
      </c>
      <c r="J480" s="213" t="s">
        <v>79</v>
      </c>
      <c r="K480" s="213" t="s">
        <v>79</v>
      </c>
      <c r="L480" s="213" t="s">
        <v>79</v>
      </c>
      <c r="M480" s="180">
        <f t="shared" si="7"/>
        <v>0</v>
      </c>
    </row>
    <row r="481" spans="1:13">
      <c r="A481" s="2" t="s">
        <v>212</v>
      </c>
      <c r="B481" s="2" t="s">
        <v>132</v>
      </c>
      <c r="C481" s="2" t="s">
        <v>133</v>
      </c>
      <c r="D481" s="2" t="s">
        <v>78</v>
      </c>
      <c r="E481" s="2" t="s">
        <v>72</v>
      </c>
      <c r="F481" s="213" t="s">
        <v>79</v>
      </c>
      <c r="G481" s="213" t="s">
        <v>79</v>
      </c>
      <c r="H481" s="213" t="s">
        <v>79</v>
      </c>
      <c r="I481" s="213" t="s">
        <v>79</v>
      </c>
      <c r="J481" s="213" t="s">
        <v>79</v>
      </c>
      <c r="K481" s="213" t="s">
        <v>79</v>
      </c>
      <c r="L481" s="213" t="s">
        <v>79</v>
      </c>
      <c r="M481" s="180">
        <f t="shared" si="7"/>
        <v>0</v>
      </c>
    </row>
    <row r="482" spans="1:13">
      <c r="A482" s="2" t="s">
        <v>212</v>
      </c>
      <c r="B482" s="2" t="s">
        <v>134</v>
      </c>
      <c r="C482" s="2" t="s">
        <v>135</v>
      </c>
      <c r="D482" s="2" t="s">
        <v>78</v>
      </c>
      <c r="E482" s="2" t="s">
        <v>72</v>
      </c>
      <c r="F482" s="213" t="s">
        <v>79</v>
      </c>
      <c r="G482" s="213" t="s">
        <v>79</v>
      </c>
      <c r="H482" s="213" t="s">
        <v>79</v>
      </c>
      <c r="I482" s="213" t="s">
        <v>79</v>
      </c>
      <c r="J482" s="213" t="s">
        <v>79</v>
      </c>
      <c r="K482" s="213" t="s">
        <v>79</v>
      </c>
      <c r="L482" s="213" t="s">
        <v>79</v>
      </c>
      <c r="M482" s="180">
        <f t="shared" si="7"/>
        <v>0</v>
      </c>
    </row>
    <row r="483" spans="1:13">
      <c r="A483" s="2" t="s">
        <v>212</v>
      </c>
      <c r="B483" s="2" t="s">
        <v>136</v>
      </c>
      <c r="C483" s="2" t="s">
        <v>137</v>
      </c>
      <c r="D483" s="2" t="s">
        <v>78</v>
      </c>
      <c r="E483" s="2" t="s">
        <v>72</v>
      </c>
      <c r="F483" s="213" t="s">
        <v>79</v>
      </c>
      <c r="G483" s="213" t="s">
        <v>79</v>
      </c>
      <c r="H483" s="213" t="s">
        <v>79</v>
      </c>
      <c r="I483" s="213" t="s">
        <v>79</v>
      </c>
      <c r="J483" s="213" t="s">
        <v>79</v>
      </c>
      <c r="K483" s="213" t="s">
        <v>79</v>
      </c>
      <c r="L483" s="213" t="s">
        <v>79</v>
      </c>
      <c r="M483" s="180">
        <f t="shared" si="7"/>
        <v>0</v>
      </c>
    </row>
    <row r="484" spans="1:13">
      <c r="A484" s="2" t="s">
        <v>212</v>
      </c>
      <c r="B484" s="2" t="s">
        <v>138</v>
      </c>
      <c r="C484" s="2" t="s">
        <v>139</v>
      </c>
      <c r="D484" s="2" t="s">
        <v>78</v>
      </c>
      <c r="E484" s="2" t="s">
        <v>72</v>
      </c>
      <c r="F484" s="213" t="s">
        <v>79</v>
      </c>
      <c r="G484" s="213" t="s">
        <v>79</v>
      </c>
      <c r="H484" s="213" t="s">
        <v>79</v>
      </c>
      <c r="I484" s="213" t="s">
        <v>79</v>
      </c>
      <c r="J484" s="213" t="s">
        <v>79</v>
      </c>
      <c r="K484" s="213" t="s">
        <v>79</v>
      </c>
      <c r="L484" s="213" t="s">
        <v>79</v>
      </c>
      <c r="M484" s="180">
        <f t="shared" si="7"/>
        <v>0</v>
      </c>
    </row>
    <row r="485" spans="1:13">
      <c r="A485" s="2" t="s">
        <v>212</v>
      </c>
      <c r="B485" s="2" t="s">
        <v>140</v>
      </c>
      <c r="C485" s="2" t="s">
        <v>141</v>
      </c>
      <c r="D485" s="2" t="s">
        <v>78</v>
      </c>
      <c r="E485" s="2" t="s">
        <v>72</v>
      </c>
      <c r="F485" s="213" t="s">
        <v>79</v>
      </c>
      <c r="G485" s="213" t="s">
        <v>79</v>
      </c>
      <c r="H485" s="213" t="s">
        <v>79</v>
      </c>
      <c r="I485" s="213" t="s">
        <v>79</v>
      </c>
      <c r="J485" s="213" t="s">
        <v>79</v>
      </c>
      <c r="K485" s="213" t="s">
        <v>79</v>
      </c>
      <c r="L485" s="213" t="s">
        <v>79</v>
      </c>
      <c r="M485" s="180">
        <f t="shared" si="7"/>
        <v>0</v>
      </c>
    </row>
    <row r="486" spans="1:13">
      <c r="A486" s="2" t="s">
        <v>212</v>
      </c>
      <c r="B486" s="2" t="s">
        <v>142</v>
      </c>
      <c r="C486" s="2" t="s">
        <v>143</v>
      </c>
      <c r="D486" s="2" t="s">
        <v>78</v>
      </c>
      <c r="E486" s="2" t="s">
        <v>72</v>
      </c>
      <c r="F486" s="213" t="s">
        <v>79</v>
      </c>
      <c r="G486" s="213" t="s">
        <v>79</v>
      </c>
      <c r="H486" s="213" t="s">
        <v>79</v>
      </c>
      <c r="I486" s="213" t="s">
        <v>79</v>
      </c>
      <c r="J486" s="213" t="s">
        <v>79</v>
      </c>
      <c r="K486" s="213" t="s">
        <v>79</v>
      </c>
      <c r="L486" s="213" t="s">
        <v>79</v>
      </c>
      <c r="M486" s="180">
        <f t="shared" si="7"/>
        <v>0</v>
      </c>
    </row>
    <row r="487" spans="1:13">
      <c r="A487" s="2" t="s">
        <v>212</v>
      </c>
      <c r="B487" s="2" t="s">
        <v>144</v>
      </c>
      <c r="C487" s="2" t="s">
        <v>145</v>
      </c>
      <c r="D487" s="2" t="s">
        <v>78</v>
      </c>
      <c r="E487" s="2" t="s">
        <v>72</v>
      </c>
      <c r="F487" s="213" t="s">
        <v>79</v>
      </c>
      <c r="G487" s="213" t="s">
        <v>79</v>
      </c>
      <c r="H487" s="213" t="s">
        <v>79</v>
      </c>
      <c r="I487" s="213" t="s">
        <v>79</v>
      </c>
      <c r="J487" s="213" t="s">
        <v>79</v>
      </c>
      <c r="K487" s="213" t="s">
        <v>79</v>
      </c>
      <c r="L487" s="213" t="s">
        <v>79</v>
      </c>
      <c r="M487" s="180">
        <f t="shared" si="7"/>
        <v>0</v>
      </c>
    </row>
    <row r="488" spans="1:13">
      <c r="A488" s="2" t="s">
        <v>212</v>
      </c>
      <c r="B488" s="2" t="s">
        <v>146</v>
      </c>
      <c r="C488" s="2" t="s">
        <v>147</v>
      </c>
      <c r="D488" s="2" t="s">
        <v>78</v>
      </c>
      <c r="E488" s="2" t="s">
        <v>72</v>
      </c>
      <c r="F488" s="213" t="s">
        <v>79</v>
      </c>
      <c r="G488" s="213" t="s">
        <v>79</v>
      </c>
      <c r="H488" s="213" t="s">
        <v>79</v>
      </c>
      <c r="I488" s="213" t="s">
        <v>79</v>
      </c>
      <c r="J488" s="213" t="s">
        <v>79</v>
      </c>
      <c r="K488" s="213" t="s">
        <v>79</v>
      </c>
      <c r="L488" s="213" t="s">
        <v>79</v>
      </c>
      <c r="M488" s="180">
        <f t="shared" si="7"/>
        <v>0</v>
      </c>
    </row>
    <row r="489" spans="1:13">
      <c r="A489" s="2" t="s">
        <v>212</v>
      </c>
      <c r="B489" s="2" t="s">
        <v>148</v>
      </c>
      <c r="C489" s="2" t="s">
        <v>149</v>
      </c>
      <c r="D489" s="2" t="s">
        <v>78</v>
      </c>
      <c r="E489" s="2" t="s">
        <v>72</v>
      </c>
      <c r="F489" s="213" t="s">
        <v>79</v>
      </c>
      <c r="G489" s="213" t="s">
        <v>79</v>
      </c>
      <c r="H489" s="213" t="s">
        <v>79</v>
      </c>
      <c r="I489" s="213" t="s">
        <v>79</v>
      </c>
      <c r="J489" s="213" t="s">
        <v>79</v>
      </c>
      <c r="K489" s="213" t="s">
        <v>79</v>
      </c>
      <c r="L489" s="213" t="s">
        <v>79</v>
      </c>
      <c r="M489" s="180">
        <f t="shared" si="7"/>
        <v>0</v>
      </c>
    </row>
    <row r="490" spans="1:13">
      <c r="A490" s="2" t="s">
        <v>212</v>
      </c>
      <c r="B490" s="2" t="s">
        <v>150</v>
      </c>
      <c r="C490" s="2" t="s">
        <v>151</v>
      </c>
      <c r="D490" s="2" t="s">
        <v>78</v>
      </c>
      <c r="E490" s="2" t="s">
        <v>72</v>
      </c>
      <c r="F490" s="213" t="s">
        <v>79</v>
      </c>
      <c r="G490" s="213" t="s">
        <v>79</v>
      </c>
      <c r="H490" s="213" t="s">
        <v>79</v>
      </c>
      <c r="I490" s="213" t="s">
        <v>79</v>
      </c>
      <c r="J490" s="213" t="s">
        <v>79</v>
      </c>
      <c r="K490" s="213" t="s">
        <v>79</v>
      </c>
      <c r="L490" s="213" t="s">
        <v>79</v>
      </c>
      <c r="M490" s="180">
        <f t="shared" si="7"/>
        <v>0</v>
      </c>
    </row>
    <row r="491" spans="1:13">
      <c r="A491" s="2" t="s">
        <v>212</v>
      </c>
      <c r="B491" s="2" t="s">
        <v>152</v>
      </c>
      <c r="C491" s="2" t="s">
        <v>153</v>
      </c>
      <c r="D491" s="2" t="s">
        <v>78</v>
      </c>
      <c r="E491" s="2" t="s">
        <v>72</v>
      </c>
      <c r="F491" s="213" t="s">
        <v>79</v>
      </c>
      <c r="G491" s="213" t="s">
        <v>79</v>
      </c>
      <c r="H491" s="213" t="s">
        <v>79</v>
      </c>
      <c r="I491" s="213" t="s">
        <v>79</v>
      </c>
      <c r="J491" s="213" t="s">
        <v>79</v>
      </c>
      <c r="K491" s="213" t="s">
        <v>79</v>
      </c>
      <c r="L491" s="213" t="s">
        <v>79</v>
      </c>
      <c r="M491" s="180">
        <f t="shared" si="7"/>
        <v>0</v>
      </c>
    </row>
    <row r="492" spans="1:13">
      <c r="A492" s="2" t="s">
        <v>212</v>
      </c>
      <c r="B492" s="2" t="s">
        <v>154</v>
      </c>
      <c r="C492" s="2" t="s">
        <v>155</v>
      </c>
      <c r="D492" s="2" t="s">
        <v>78</v>
      </c>
      <c r="E492" s="2" t="s">
        <v>72</v>
      </c>
      <c r="F492" s="213" t="s">
        <v>79</v>
      </c>
      <c r="G492" s="213" t="s">
        <v>79</v>
      </c>
      <c r="H492" s="213" t="s">
        <v>79</v>
      </c>
      <c r="I492" s="213" t="s">
        <v>79</v>
      </c>
      <c r="J492" s="213" t="s">
        <v>79</v>
      </c>
      <c r="K492" s="213" t="s">
        <v>79</v>
      </c>
      <c r="L492" s="213" t="s">
        <v>79</v>
      </c>
      <c r="M492" s="180">
        <f t="shared" si="7"/>
        <v>0</v>
      </c>
    </row>
    <row r="493" spans="1:13">
      <c r="A493" s="2" t="s">
        <v>212</v>
      </c>
      <c r="B493" s="2" t="s">
        <v>156</v>
      </c>
      <c r="C493" s="2" t="s">
        <v>157</v>
      </c>
      <c r="D493" s="2" t="s">
        <v>78</v>
      </c>
      <c r="E493" s="2" t="s">
        <v>72</v>
      </c>
      <c r="F493" s="213" t="s">
        <v>79</v>
      </c>
      <c r="G493" s="213" t="s">
        <v>79</v>
      </c>
      <c r="H493" s="213" t="s">
        <v>79</v>
      </c>
      <c r="I493" s="213" t="s">
        <v>79</v>
      </c>
      <c r="J493" s="213" t="s">
        <v>79</v>
      </c>
      <c r="K493" s="213" t="s">
        <v>79</v>
      </c>
      <c r="L493" s="213" t="s">
        <v>79</v>
      </c>
      <c r="M493" s="180">
        <f t="shared" si="7"/>
        <v>0</v>
      </c>
    </row>
    <row r="494" spans="1:13">
      <c r="A494" s="2" t="s">
        <v>212</v>
      </c>
      <c r="B494" s="2" t="s">
        <v>158</v>
      </c>
      <c r="C494" s="2" t="s">
        <v>159</v>
      </c>
      <c r="D494" s="2" t="s">
        <v>78</v>
      </c>
      <c r="E494" s="2" t="s">
        <v>72</v>
      </c>
      <c r="F494" s="213" t="s">
        <v>79</v>
      </c>
      <c r="G494" s="213" t="s">
        <v>79</v>
      </c>
      <c r="H494" s="213" t="s">
        <v>79</v>
      </c>
      <c r="I494" s="213" t="s">
        <v>79</v>
      </c>
      <c r="J494" s="213" t="s">
        <v>79</v>
      </c>
      <c r="K494" s="213" t="s">
        <v>79</v>
      </c>
      <c r="L494" s="213" t="s">
        <v>79</v>
      </c>
      <c r="M494" s="180">
        <f t="shared" si="7"/>
        <v>0</v>
      </c>
    </row>
    <row r="495" spans="1:13">
      <c r="A495" s="2" t="s">
        <v>212</v>
      </c>
      <c r="B495" s="2" t="s">
        <v>160</v>
      </c>
      <c r="C495" s="2" t="s">
        <v>161</v>
      </c>
      <c r="D495" s="2" t="s">
        <v>78</v>
      </c>
      <c r="E495" s="2" t="s">
        <v>72</v>
      </c>
      <c r="F495" s="213" t="s">
        <v>79</v>
      </c>
      <c r="G495" s="213" t="s">
        <v>79</v>
      </c>
      <c r="H495" s="213" t="s">
        <v>79</v>
      </c>
      <c r="I495" s="213" t="s">
        <v>79</v>
      </c>
      <c r="J495" s="213" t="s">
        <v>79</v>
      </c>
      <c r="K495" s="213" t="s">
        <v>79</v>
      </c>
      <c r="L495" s="213" t="s">
        <v>79</v>
      </c>
      <c r="M495" s="180">
        <f t="shared" si="7"/>
        <v>0</v>
      </c>
    </row>
    <row r="496" spans="1:13">
      <c r="A496" s="2" t="s">
        <v>212</v>
      </c>
      <c r="B496" s="2" t="s">
        <v>162</v>
      </c>
      <c r="C496" s="2" t="s">
        <v>163</v>
      </c>
      <c r="D496" s="2" t="s">
        <v>78</v>
      </c>
      <c r="E496" s="2" t="s">
        <v>72</v>
      </c>
      <c r="F496" s="213" t="s">
        <v>79</v>
      </c>
      <c r="G496" s="213" t="s">
        <v>79</v>
      </c>
      <c r="H496" s="213" t="s">
        <v>79</v>
      </c>
      <c r="I496" s="213" t="s">
        <v>79</v>
      </c>
      <c r="J496" s="213" t="s">
        <v>79</v>
      </c>
      <c r="K496" s="213" t="s">
        <v>79</v>
      </c>
      <c r="L496" s="213" t="s">
        <v>79</v>
      </c>
      <c r="M496" s="180">
        <f t="shared" si="7"/>
        <v>0</v>
      </c>
    </row>
    <row r="497" spans="1:13">
      <c r="A497" s="2" t="s">
        <v>212</v>
      </c>
      <c r="B497" s="2" t="s">
        <v>164</v>
      </c>
      <c r="C497" s="2" t="s">
        <v>165</v>
      </c>
      <c r="D497" s="2" t="s">
        <v>78</v>
      </c>
      <c r="E497" s="2" t="s">
        <v>72</v>
      </c>
      <c r="F497" s="213" t="s">
        <v>79</v>
      </c>
      <c r="G497" s="213" t="s">
        <v>79</v>
      </c>
      <c r="H497" s="213" t="s">
        <v>79</v>
      </c>
      <c r="I497" s="213" t="s">
        <v>79</v>
      </c>
      <c r="J497" s="213" t="s">
        <v>79</v>
      </c>
      <c r="K497" s="213" t="s">
        <v>79</v>
      </c>
      <c r="L497" s="213" t="s">
        <v>79</v>
      </c>
      <c r="M497" s="180">
        <f t="shared" si="7"/>
        <v>0</v>
      </c>
    </row>
    <row r="498" spans="1:13">
      <c r="A498" s="2" t="s">
        <v>212</v>
      </c>
      <c r="B498" s="2" t="s">
        <v>166</v>
      </c>
      <c r="C498" s="2" t="s">
        <v>167</v>
      </c>
      <c r="D498" s="2" t="s">
        <v>78</v>
      </c>
      <c r="E498" s="2" t="s">
        <v>72</v>
      </c>
      <c r="F498" s="213" t="s">
        <v>79</v>
      </c>
      <c r="G498" s="213" t="s">
        <v>79</v>
      </c>
      <c r="H498" s="213" t="s">
        <v>79</v>
      </c>
      <c r="I498" s="213" t="s">
        <v>79</v>
      </c>
      <c r="J498" s="213" t="s">
        <v>79</v>
      </c>
      <c r="K498" s="213" t="s">
        <v>79</v>
      </c>
      <c r="L498" s="213" t="s">
        <v>79</v>
      </c>
      <c r="M498" s="180">
        <f t="shared" si="7"/>
        <v>0</v>
      </c>
    </row>
    <row r="499" spans="1:13">
      <c r="A499" s="2" t="s">
        <v>212</v>
      </c>
      <c r="B499" s="2" t="s">
        <v>168</v>
      </c>
      <c r="C499" s="2" t="s">
        <v>169</v>
      </c>
      <c r="D499" s="2" t="s">
        <v>78</v>
      </c>
      <c r="E499" s="2" t="s">
        <v>72</v>
      </c>
      <c r="F499" s="213" t="s">
        <v>79</v>
      </c>
      <c r="G499" s="213" t="s">
        <v>79</v>
      </c>
      <c r="H499" s="213" t="s">
        <v>79</v>
      </c>
      <c r="I499" s="213" t="s">
        <v>79</v>
      </c>
      <c r="J499" s="213" t="s">
        <v>79</v>
      </c>
      <c r="K499" s="213" t="s">
        <v>79</v>
      </c>
      <c r="L499" s="213" t="s">
        <v>79</v>
      </c>
      <c r="M499" s="180">
        <f t="shared" si="7"/>
        <v>0</v>
      </c>
    </row>
    <row r="500" spans="1:13">
      <c r="A500" s="2" t="s">
        <v>212</v>
      </c>
      <c r="B500" s="2" t="s">
        <v>170</v>
      </c>
      <c r="C500" s="2" t="s">
        <v>171</v>
      </c>
      <c r="D500" s="2" t="s">
        <v>78</v>
      </c>
      <c r="E500" s="2" t="s">
        <v>72</v>
      </c>
      <c r="F500" s="213" t="s">
        <v>79</v>
      </c>
      <c r="G500" s="213" t="s">
        <v>79</v>
      </c>
      <c r="H500" s="213" t="s">
        <v>79</v>
      </c>
      <c r="I500" s="213" t="s">
        <v>79</v>
      </c>
      <c r="J500" s="213" t="s">
        <v>79</v>
      </c>
      <c r="K500" s="213" t="s">
        <v>79</v>
      </c>
      <c r="L500" s="213" t="s">
        <v>79</v>
      </c>
      <c r="M500" s="180">
        <f t="shared" si="7"/>
        <v>0</v>
      </c>
    </row>
    <row r="501" spans="1:13">
      <c r="A501" s="2" t="s">
        <v>212</v>
      </c>
      <c r="B501" s="2" t="s">
        <v>172</v>
      </c>
      <c r="C501" s="2" t="s">
        <v>173</v>
      </c>
      <c r="D501" s="2" t="s">
        <v>78</v>
      </c>
      <c r="E501" s="2" t="s">
        <v>72</v>
      </c>
      <c r="F501" s="213" t="s">
        <v>79</v>
      </c>
      <c r="G501" s="213" t="s">
        <v>79</v>
      </c>
      <c r="H501" s="213" t="s">
        <v>79</v>
      </c>
      <c r="I501" s="213" t="s">
        <v>79</v>
      </c>
      <c r="J501" s="213" t="s">
        <v>79</v>
      </c>
      <c r="K501" s="213" t="s">
        <v>79</v>
      </c>
      <c r="L501" s="213" t="s">
        <v>79</v>
      </c>
      <c r="M501" s="180">
        <f t="shared" si="7"/>
        <v>0</v>
      </c>
    </row>
    <row r="502" spans="1:13">
      <c r="A502" s="2" t="s">
        <v>212</v>
      </c>
      <c r="B502" s="2" t="s">
        <v>174</v>
      </c>
      <c r="C502" s="2" t="s">
        <v>175</v>
      </c>
      <c r="D502" s="2" t="s">
        <v>78</v>
      </c>
      <c r="E502" s="2" t="s">
        <v>72</v>
      </c>
      <c r="F502" s="213" t="s">
        <v>79</v>
      </c>
      <c r="G502" s="213" t="s">
        <v>79</v>
      </c>
      <c r="H502" s="213" t="s">
        <v>79</v>
      </c>
      <c r="I502" s="213" t="s">
        <v>79</v>
      </c>
      <c r="J502" s="213" t="s">
        <v>79</v>
      </c>
      <c r="K502" s="213" t="s">
        <v>79</v>
      </c>
      <c r="L502" s="213" t="s">
        <v>79</v>
      </c>
      <c r="M502" s="180">
        <f t="shared" si="7"/>
        <v>0</v>
      </c>
    </row>
    <row r="503" spans="1:13">
      <c r="A503" s="2" t="s">
        <v>212</v>
      </c>
      <c r="B503" s="2" t="s">
        <v>176</v>
      </c>
      <c r="C503" s="2" t="s">
        <v>177</v>
      </c>
      <c r="D503" s="2" t="s">
        <v>78</v>
      </c>
      <c r="E503" s="2" t="s">
        <v>72</v>
      </c>
      <c r="F503" s="213" t="s">
        <v>79</v>
      </c>
      <c r="G503" s="213" t="s">
        <v>79</v>
      </c>
      <c r="H503" s="213" t="s">
        <v>79</v>
      </c>
      <c r="I503" s="213" t="s">
        <v>79</v>
      </c>
      <c r="J503" s="213" t="s">
        <v>79</v>
      </c>
      <c r="K503" s="213" t="s">
        <v>79</v>
      </c>
      <c r="L503" s="213" t="s">
        <v>79</v>
      </c>
      <c r="M503" s="180">
        <f t="shared" si="7"/>
        <v>0</v>
      </c>
    </row>
    <row r="504" spans="1:13">
      <c r="A504" s="2" t="s">
        <v>212</v>
      </c>
      <c r="B504" s="2" t="s">
        <v>178</v>
      </c>
      <c r="C504" s="2" t="s">
        <v>179</v>
      </c>
      <c r="D504" s="2" t="s">
        <v>78</v>
      </c>
      <c r="E504" s="2" t="s">
        <v>72</v>
      </c>
      <c r="F504" s="213" t="s">
        <v>79</v>
      </c>
      <c r="G504" s="213" t="s">
        <v>79</v>
      </c>
      <c r="H504" s="213" t="s">
        <v>79</v>
      </c>
      <c r="I504" s="213" t="s">
        <v>79</v>
      </c>
      <c r="J504" s="213" t="s">
        <v>79</v>
      </c>
      <c r="K504" s="213" t="s">
        <v>79</v>
      </c>
      <c r="L504" s="213" t="s">
        <v>79</v>
      </c>
      <c r="M504" s="180">
        <f t="shared" si="7"/>
        <v>0</v>
      </c>
    </row>
    <row r="505" spans="1:13">
      <c r="A505" s="2" t="s">
        <v>212</v>
      </c>
      <c r="B505" s="2" t="s">
        <v>180</v>
      </c>
      <c r="C505" s="2" t="s">
        <v>181</v>
      </c>
      <c r="D505" s="2" t="s">
        <v>78</v>
      </c>
      <c r="E505" s="2" t="s">
        <v>72</v>
      </c>
      <c r="F505" s="213" t="s">
        <v>79</v>
      </c>
      <c r="G505" s="213" t="s">
        <v>79</v>
      </c>
      <c r="H505" s="213" t="s">
        <v>79</v>
      </c>
      <c r="I505" s="213" t="s">
        <v>79</v>
      </c>
      <c r="J505" s="213" t="s">
        <v>79</v>
      </c>
      <c r="K505" s="213" t="s">
        <v>79</v>
      </c>
      <c r="L505" s="213" t="s">
        <v>79</v>
      </c>
      <c r="M505" s="180">
        <f t="shared" si="7"/>
        <v>0</v>
      </c>
    </row>
    <row r="506" spans="1:13">
      <c r="A506" s="2" t="s">
        <v>212</v>
      </c>
      <c r="B506" s="2" t="s">
        <v>182</v>
      </c>
      <c r="C506" s="2" t="s">
        <v>183</v>
      </c>
      <c r="D506" s="2" t="s">
        <v>78</v>
      </c>
      <c r="E506" s="2" t="s">
        <v>72</v>
      </c>
      <c r="F506" s="213" t="s">
        <v>79</v>
      </c>
      <c r="G506" s="213" t="s">
        <v>79</v>
      </c>
      <c r="H506" s="213" t="s">
        <v>79</v>
      </c>
      <c r="I506" s="213" t="s">
        <v>79</v>
      </c>
      <c r="J506" s="213" t="s">
        <v>79</v>
      </c>
      <c r="K506" s="213" t="s">
        <v>79</v>
      </c>
      <c r="L506" s="213" t="s">
        <v>79</v>
      </c>
      <c r="M506" s="180">
        <f t="shared" si="7"/>
        <v>0</v>
      </c>
    </row>
    <row r="507" spans="1:13">
      <c r="A507" s="2" t="s">
        <v>212</v>
      </c>
      <c r="B507" s="2" t="s">
        <v>184</v>
      </c>
      <c r="C507" s="2" t="s">
        <v>185</v>
      </c>
      <c r="D507" s="2" t="s">
        <v>78</v>
      </c>
      <c r="E507" s="2" t="s">
        <v>72</v>
      </c>
      <c r="F507" s="213" t="s">
        <v>79</v>
      </c>
      <c r="G507" s="213" t="s">
        <v>79</v>
      </c>
      <c r="H507" s="213" t="s">
        <v>79</v>
      </c>
      <c r="I507" s="213" t="s">
        <v>79</v>
      </c>
      <c r="J507" s="213" t="s">
        <v>79</v>
      </c>
      <c r="K507" s="213" t="s">
        <v>79</v>
      </c>
      <c r="L507" s="213" t="s">
        <v>79</v>
      </c>
      <c r="M507" s="180">
        <f t="shared" si="7"/>
        <v>0</v>
      </c>
    </row>
    <row r="508" spans="1:13">
      <c r="A508" s="2" t="s">
        <v>212</v>
      </c>
      <c r="B508" s="2" t="s">
        <v>186</v>
      </c>
      <c r="C508" s="2" t="s">
        <v>187</v>
      </c>
      <c r="D508" s="2" t="s">
        <v>78</v>
      </c>
      <c r="E508" s="2" t="s">
        <v>72</v>
      </c>
      <c r="F508" s="213" t="s">
        <v>79</v>
      </c>
      <c r="G508" s="213" t="s">
        <v>79</v>
      </c>
      <c r="H508" s="213" t="s">
        <v>79</v>
      </c>
      <c r="I508" s="213" t="s">
        <v>79</v>
      </c>
      <c r="J508" s="213" t="s">
        <v>79</v>
      </c>
      <c r="K508" s="213" t="s">
        <v>79</v>
      </c>
      <c r="L508" s="213" t="s">
        <v>79</v>
      </c>
      <c r="M508" s="180">
        <f t="shared" si="7"/>
        <v>0</v>
      </c>
    </row>
    <row r="509" spans="1:13">
      <c r="A509" s="2" t="s">
        <v>212</v>
      </c>
      <c r="B509" s="2" t="s">
        <v>188</v>
      </c>
      <c r="C509" s="2" t="s">
        <v>189</v>
      </c>
      <c r="D509" s="2" t="s">
        <v>78</v>
      </c>
      <c r="E509" s="2" t="s">
        <v>72</v>
      </c>
      <c r="F509" s="213" t="s">
        <v>79</v>
      </c>
      <c r="G509" s="213" t="s">
        <v>79</v>
      </c>
      <c r="H509" s="213" t="s">
        <v>79</v>
      </c>
      <c r="I509" s="213" t="s">
        <v>79</v>
      </c>
      <c r="J509" s="213" t="s">
        <v>79</v>
      </c>
      <c r="K509" s="213" t="s">
        <v>79</v>
      </c>
      <c r="L509" s="213" t="s">
        <v>79</v>
      </c>
      <c r="M509" s="180">
        <f t="shared" si="7"/>
        <v>0</v>
      </c>
    </row>
    <row r="510" spans="1:13">
      <c r="A510" s="2" t="s">
        <v>212</v>
      </c>
      <c r="B510" s="2" t="s">
        <v>190</v>
      </c>
      <c r="C510" s="2" t="s">
        <v>191</v>
      </c>
      <c r="D510" s="2" t="s">
        <v>78</v>
      </c>
      <c r="E510" s="2" t="s">
        <v>72</v>
      </c>
      <c r="F510" s="213" t="s">
        <v>79</v>
      </c>
      <c r="G510" s="213" t="s">
        <v>79</v>
      </c>
      <c r="H510" s="213" t="s">
        <v>79</v>
      </c>
      <c r="I510" s="213" t="s">
        <v>79</v>
      </c>
      <c r="J510" s="213" t="s">
        <v>79</v>
      </c>
      <c r="K510" s="213" t="s">
        <v>79</v>
      </c>
      <c r="L510" s="213" t="s">
        <v>79</v>
      </c>
      <c r="M510" s="180">
        <f t="shared" si="7"/>
        <v>0</v>
      </c>
    </row>
    <row r="511" spans="1:13">
      <c r="A511" s="2" t="s">
        <v>212</v>
      </c>
      <c r="B511" s="2" t="s">
        <v>192</v>
      </c>
      <c r="C511" s="2" t="s">
        <v>193</v>
      </c>
      <c r="D511" s="2" t="s">
        <v>78</v>
      </c>
      <c r="E511" s="2" t="s">
        <v>72</v>
      </c>
      <c r="F511" s="213" t="s">
        <v>79</v>
      </c>
      <c r="G511" s="213" t="s">
        <v>79</v>
      </c>
      <c r="H511" s="213" t="s">
        <v>79</v>
      </c>
      <c r="I511" s="213" t="s">
        <v>79</v>
      </c>
      <c r="J511" s="213" t="s">
        <v>79</v>
      </c>
      <c r="K511" s="213" t="s">
        <v>79</v>
      </c>
      <c r="L511" s="213" t="s">
        <v>79</v>
      </c>
      <c r="M511" s="180">
        <f t="shared" si="7"/>
        <v>0</v>
      </c>
    </row>
    <row r="512" spans="1:13">
      <c r="A512" s="2" t="s">
        <v>212</v>
      </c>
      <c r="B512" s="2" t="s">
        <v>194</v>
      </c>
      <c r="C512" s="2" t="s">
        <v>195</v>
      </c>
      <c r="D512" s="2" t="s">
        <v>78</v>
      </c>
      <c r="E512" s="2" t="s">
        <v>72</v>
      </c>
      <c r="F512" s="213" t="s">
        <v>79</v>
      </c>
      <c r="G512" s="213" t="s">
        <v>79</v>
      </c>
      <c r="H512" s="213" t="s">
        <v>79</v>
      </c>
      <c r="I512" s="213" t="s">
        <v>79</v>
      </c>
      <c r="J512" s="213" t="s">
        <v>79</v>
      </c>
      <c r="K512" s="213" t="s">
        <v>79</v>
      </c>
      <c r="L512" s="213" t="s">
        <v>79</v>
      </c>
      <c r="M512" s="180">
        <f t="shared" si="7"/>
        <v>0</v>
      </c>
    </row>
    <row r="513" spans="1:13">
      <c r="A513" s="2" t="s">
        <v>212</v>
      </c>
      <c r="B513" s="2" t="s">
        <v>196</v>
      </c>
      <c r="C513" s="2" t="s">
        <v>197</v>
      </c>
      <c r="D513" s="2" t="s">
        <v>78</v>
      </c>
      <c r="E513" s="2" t="s">
        <v>72</v>
      </c>
      <c r="F513" s="213" t="s">
        <v>79</v>
      </c>
      <c r="G513" s="213" t="s">
        <v>79</v>
      </c>
      <c r="H513" s="213" t="s">
        <v>79</v>
      </c>
      <c r="I513" s="213" t="s">
        <v>79</v>
      </c>
      <c r="J513" s="213" t="s">
        <v>79</v>
      </c>
      <c r="K513" s="213" t="s">
        <v>79</v>
      </c>
      <c r="L513" s="213" t="s">
        <v>79</v>
      </c>
      <c r="M513" s="180">
        <f t="shared" si="7"/>
        <v>0</v>
      </c>
    </row>
    <row r="514" spans="1:13">
      <c r="A514" s="2" t="s">
        <v>212</v>
      </c>
      <c r="B514" s="2" t="s">
        <v>198</v>
      </c>
      <c r="C514" s="2" t="s">
        <v>199</v>
      </c>
      <c r="D514" s="2" t="s">
        <v>78</v>
      </c>
      <c r="E514" s="2" t="s">
        <v>72</v>
      </c>
      <c r="F514" s="213" t="s">
        <v>79</v>
      </c>
      <c r="G514" s="213" t="s">
        <v>79</v>
      </c>
      <c r="H514" s="213" t="s">
        <v>79</v>
      </c>
      <c r="I514" s="213" t="s">
        <v>79</v>
      </c>
      <c r="J514" s="213" t="s">
        <v>79</v>
      </c>
      <c r="K514" s="213" t="s">
        <v>79</v>
      </c>
      <c r="L514" s="213" t="s">
        <v>79</v>
      </c>
      <c r="M514" s="180">
        <f t="shared" si="7"/>
        <v>0</v>
      </c>
    </row>
    <row r="515" spans="1:13">
      <c r="A515" s="2" t="s">
        <v>212</v>
      </c>
      <c r="B515" s="2" t="s">
        <v>200</v>
      </c>
      <c r="C515" s="2" t="s">
        <v>201</v>
      </c>
      <c r="D515" s="2" t="s">
        <v>78</v>
      </c>
      <c r="E515" s="2" t="s">
        <v>72</v>
      </c>
      <c r="F515" s="213" t="s">
        <v>79</v>
      </c>
      <c r="G515" s="213" t="s">
        <v>79</v>
      </c>
      <c r="H515" s="213" t="s">
        <v>79</v>
      </c>
      <c r="I515" s="213" t="s">
        <v>79</v>
      </c>
      <c r="J515" s="213" t="s">
        <v>79</v>
      </c>
      <c r="K515" s="213" t="s">
        <v>79</v>
      </c>
      <c r="L515" s="213" t="s">
        <v>79</v>
      </c>
      <c r="M515" s="180">
        <f t="shared" si="7"/>
        <v>0</v>
      </c>
    </row>
    <row r="516" spans="1:13">
      <c r="A516" s="2" t="s">
        <v>212</v>
      </c>
      <c r="B516" s="2" t="s">
        <v>202</v>
      </c>
      <c r="C516" s="2" t="s">
        <v>203</v>
      </c>
      <c r="D516" s="2" t="s">
        <v>78</v>
      </c>
      <c r="E516" s="2" t="s">
        <v>72</v>
      </c>
      <c r="F516" s="213" t="s">
        <v>79</v>
      </c>
      <c r="G516" s="213" t="s">
        <v>79</v>
      </c>
      <c r="H516" s="213" t="s">
        <v>79</v>
      </c>
      <c r="I516" s="213" t="s">
        <v>79</v>
      </c>
      <c r="J516" s="213" t="s">
        <v>79</v>
      </c>
      <c r="K516" s="213" t="s">
        <v>79</v>
      </c>
      <c r="L516" s="213" t="s">
        <v>79</v>
      </c>
      <c r="M516" s="180">
        <f t="shared" si="7"/>
        <v>0</v>
      </c>
    </row>
    <row r="517" spans="1:13">
      <c r="A517" s="2" t="s">
        <v>212</v>
      </c>
      <c r="B517" s="2" t="s">
        <v>204</v>
      </c>
      <c r="C517" s="2" t="s">
        <v>205</v>
      </c>
      <c r="D517" s="2" t="s">
        <v>78</v>
      </c>
      <c r="E517" s="2" t="s">
        <v>72</v>
      </c>
      <c r="F517" s="213" t="s">
        <v>79</v>
      </c>
      <c r="G517" s="213" t="s">
        <v>79</v>
      </c>
      <c r="H517" s="213" t="s">
        <v>79</v>
      </c>
      <c r="I517" s="213" t="s">
        <v>79</v>
      </c>
      <c r="J517" s="213" t="s">
        <v>79</v>
      </c>
      <c r="K517" s="213" t="s">
        <v>79</v>
      </c>
      <c r="L517" s="213" t="s">
        <v>79</v>
      </c>
      <c r="M517" s="180">
        <f t="shared" si="7"/>
        <v>0</v>
      </c>
    </row>
    <row r="518" spans="1:13">
      <c r="A518" s="2" t="s">
        <v>212</v>
      </c>
      <c r="B518" s="2" t="s">
        <v>206</v>
      </c>
      <c r="C518" s="2" t="s">
        <v>207</v>
      </c>
      <c r="D518" s="2" t="s">
        <v>78</v>
      </c>
      <c r="E518" s="2" t="s">
        <v>72</v>
      </c>
      <c r="F518" s="213" t="s">
        <v>79</v>
      </c>
      <c r="G518" s="213" t="s">
        <v>79</v>
      </c>
      <c r="H518" s="213" t="s">
        <v>79</v>
      </c>
      <c r="I518" s="213" t="s">
        <v>79</v>
      </c>
      <c r="J518" s="213" t="s">
        <v>79</v>
      </c>
      <c r="K518" s="213" t="s">
        <v>79</v>
      </c>
      <c r="L518" s="213" t="s">
        <v>79</v>
      </c>
      <c r="M518" s="180">
        <f t="shared" ref="M518:M581" si="8">SUM(F518:L518)</f>
        <v>0</v>
      </c>
    </row>
    <row r="519" spans="1:13">
      <c r="A519" s="2" t="s">
        <v>212</v>
      </c>
      <c r="B519" s="2" t="s">
        <v>208</v>
      </c>
      <c r="C519" s="2" t="s">
        <v>209</v>
      </c>
      <c r="D519" s="2" t="s">
        <v>78</v>
      </c>
      <c r="E519" s="2" t="s">
        <v>72</v>
      </c>
      <c r="F519" s="213" t="s">
        <v>79</v>
      </c>
      <c r="G519" s="213" t="s">
        <v>79</v>
      </c>
      <c r="H519" s="213" t="s">
        <v>79</v>
      </c>
      <c r="I519" s="213" t="s">
        <v>79</v>
      </c>
      <c r="J519" s="213" t="s">
        <v>79</v>
      </c>
      <c r="K519" s="213" t="s">
        <v>79</v>
      </c>
      <c r="L519" s="213" t="s">
        <v>79</v>
      </c>
      <c r="M519" s="180">
        <f t="shared" si="8"/>
        <v>0</v>
      </c>
    </row>
    <row r="520" spans="1:13">
      <c r="A520" s="2" t="s">
        <v>212</v>
      </c>
      <c r="B520" s="2" t="s">
        <v>210</v>
      </c>
      <c r="C520" s="2" t="s">
        <v>211</v>
      </c>
      <c r="D520" s="2" t="s">
        <v>78</v>
      </c>
      <c r="E520" s="2" t="s">
        <v>72</v>
      </c>
      <c r="F520" s="213" t="s">
        <v>79</v>
      </c>
      <c r="G520" s="213" t="s">
        <v>79</v>
      </c>
      <c r="H520" s="213" t="s">
        <v>79</v>
      </c>
      <c r="I520" s="213" t="s">
        <v>79</v>
      </c>
      <c r="J520" s="213" t="s">
        <v>79</v>
      </c>
      <c r="K520" s="213" t="s">
        <v>79</v>
      </c>
      <c r="L520" s="213" t="s">
        <v>79</v>
      </c>
      <c r="M520" s="180">
        <f t="shared" si="8"/>
        <v>0</v>
      </c>
    </row>
    <row r="521" spans="1:13">
      <c r="A521" s="2" t="s">
        <v>213</v>
      </c>
      <c r="B521" s="2" t="s">
        <v>126</v>
      </c>
      <c r="C521" s="2" t="s">
        <v>127</v>
      </c>
      <c r="D521" s="2" t="s">
        <v>78</v>
      </c>
      <c r="E521" s="2" t="s">
        <v>72</v>
      </c>
      <c r="F521" s="213" t="s">
        <v>79</v>
      </c>
      <c r="G521" s="213" t="s">
        <v>79</v>
      </c>
      <c r="H521" s="213" t="s">
        <v>79</v>
      </c>
      <c r="I521" s="213" t="s">
        <v>79</v>
      </c>
      <c r="J521" s="213" t="s">
        <v>79</v>
      </c>
      <c r="K521" s="213" t="s">
        <v>79</v>
      </c>
      <c r="L521" s="213" t="s">
        <v>79</v>
      </c>
      <c r="M521" s="180">
        <f t="shared" si="8"/>
        <v>0</v>
      </c>
    </row>
    <row r="522" spans="1:13">
      <c r="A522" s="2" t="s">
        <v>213</v>
      </c>
      <c r="B522" s="2" t="s">
        <v>128</v>
      </c>
      <c r="C522" s="2" t="s">
        <v>129</v>
      </c>
      <c r="D522" s="2" t="s">
        <v>78</v>
      </c>
      <c r="E522" s="2" t="s">
        <v>72</v>
      </c>
      <c r="F522" s="213" t="s">
        <v>79</v>
      </c>
      <c r="G522" s="213" t="s">
        <v>79</v>
      </c>
      <c r="H522" s="213" t="s">
        <v>79</v>
      </c>
      <c r="I522" s="213" t="s">
        <v>79</v>
      </c>
      <c r="J522" s="213" t="s">
        <v>79</v>
      </c>
      <c r="K522" s="213" t="s">
        <v>79</v>
      </c>
      <c r="L522" s="213" t="s">
        <v>79</v>
      </c>
      <c r="M522" s="180">
        <f t="shared" si="8"/>
        <v>0</v>
      </c>
    </row>
    <row r="523" spans="1:13">
      <c r="A523" s="2" t="s">
        <v>213</v>
      </c>
      <c r="B523" s="2" t="s">
        <v>130</v>
      </c>
      <c r="C523" s="2" t="s">
        <v>131</v>
      </c>
      <c r="D523" s="2" t="s">
        <v>78</v>
      </c>
      <c r="E523" s="2" t="s">
        <v>72</v>
      </c>
      <c r="F523" s="213" t="s">
        <v>79</v>
      </c>
      <c r="G523" s="213" t="s">
        <v>79</v>
      </c>
      <c r="H523" s="213" t="s">
        <v>79</v>
      </c>
      <c r="I523" s="213" t="s">
        <v>79</v>
      </c>
      <c r="J523" s="213" t="s">
        <v>79</v>
      </c>
      <c r="K523" s="213" t="s">
        <v>79</v>
      </c>
      <c r="L523" s="213" t="s">
        <v>79</v>
      </c>
      <c r="M523" s="180">
        <f t="shared" si="8"/>
        <v>0</v>
      </c>
    </row>
    <row r="524" spans="1:13">
      <c r="A524" s="2" t="s">
        <v>213</v>
      </c>
      <c r="B524" s="2" t="s">
        <v>132</v>
      </c>
      <c r="C524" s="2" t="s">
        <v>133</v>
      </c>
      <c r="D524" s="2" t="s">
        <v>78</v>
      </c>
      <c r="E524" s="2" t="s">
        <v>72</v>
      </c>
      <c r="F524" s="213" t="s">
        <v>79</v>
      </c>
      <c r="G524" s="213" t="s">
        <v>79</v>
      </c>
      <c r="H524" s="213" t="s">
        <v>79</v>
      </c>
      <c r="I524" s="213" t="s">
        <v>79</v>
      </c>
      <c r="J524" s="213" t="s">
        <v>79</v>
      </c>
      <c r="K524" s="213" t="s">
        <v>79</v>
      </c>
      <c r="L524" s="213" t="s">
        <v>79</v>
      </c>
      <c r="M524" s="180">
        <f t="shared" si="8"/>
        <v>0</v>
      </c>
    </row>
    <row r="525" spans="1:13">
      <c r="A525" s="2" t="s">
        <v>213</v>
      </c>
      <c r="B525" s="2" t="s">
        <v>134</v>
      </c>
      <c r="C525" s="2" t="s">
        <v>135</v>
      </c>
      <c r="D525" s="2" t="s">
        <v>78</v>
      </c>
      <c r="E525" s="2" t="s">
        <v>72</v>
      </c>
      <c r="F525" s="213" t="s">
        <v>79</v>
      </c>
      <c r="G525" s="213" t="s">
        <v>79</v>
      </c>
      <c r="H525" s="213" t="s">
        <v>79</v>
      </c>
      <c r="I525" s="213" t="s">
        <v>79</v>
      </c>
      <c r="J525" s="213" t="s">
        <v>79</v>
      </c>
      <c r="K525" s="213" t="s">
        <v>79</v>
      </c>
      <c r="L525" s="213" t="s">
        <v>79</v>
      </c>
      <c r="M525" s="180">
        <f t="shared" si="8"/>
        <v>0</v>
      </c>
    </row>
    <row r="526" spans="1:13">
      <c r="A526" s="2" t="s">
        <v>213</v>
      </c>
      <c r="B526" s="2" t="s">
        <v>136</v>
      </c>
      <c r="C526" s="2" t="s">
        <v>137</v>
      </c>
      <c r="D526" s="2" t="s">
        <v>78</v>
      </c>
      <c r="E526" s="2" t="s">
        <v>72</v>
      </c>
      <c r="F526" s="213" t="s">
        <v>79</v>
      </c>
      <c r="G526" s="213" t="s">
        <v>79</v>
      </c>
      <c r="H526" s="213" t="s">
        <v>79</v>
      </c>
      <c r="I526" s="213" t="s">
        <v>79</v>
      </c>
      <c r="J526" s="213" t="s">
        <v>79</v>
      </c>
      <c r="K526" s="213" t="s">
        <v>79</v>
      </c>
      <c r="L526" s="213" t="s">
        <v>79</v>
      </c>
      <c r="M526" s="180">
        <f t="shared" si="8"/>
        <v>0</v>
      </c>
    </row>
    <row r="527" spans="1:13">
      <c r="A527" s="2" t="s">
        <v>213</v>
      </c>
      <c r="B527" s="2" t="s">
        <v>138</v>
      </c>
      <c r="C527" s="2" t="s">
        <v>139</v>
      </c>
      <c r="D527" s="2" t="s">
        <v>78</v>
      </c>
      <c r="E527" s="2" t="s">
        <v>72</v>
      </c>
      <c r="F527" s="213" t="s">
        <v>79</v>
      </c>
      <c r="G527" s="213" t="s">
        <v>79</v>
      </c>
      <c r="H527" s="213" t="s">
        <v>79</v>
      </c>
      <c r="I527" s="213" t="s">
        <v>79</v>
      </c>
      <c r="J527" s="213" t="s">
        <v>79</v>
      </c>
      <c r="K527" s="213" t="s">
        <v>79</v>
      </c>
      <c r="L527" s="213" t="s">
        <v>79</v>
      </c>
      <c r="M527" s="180">
        <f t="shared" si="8"/>
        <v>0</v>
      </c>
    </row>
    <row r="528" spans="1:13">
      <c r="A528" s="2" t="s">
        <v>213</v>
      </c>
      <c r="B528" s="2" t="s">
        <v>140</v>
      </c>
      <c r="C528" s="2" t="s">
        <v>141</v>
      </c>
      <c r="D528" s="2" t="s">
        <v>78</v>
      </c>
      <c r="E528" s="2" t="s">
        <v>72</v>
      </c>
      <c r="F528" s="213" t="s">
        <v>79</v>
      </c>
      <c r="G528" s="213" t="s">
        <v>79</v>
      </c>
      <c r="H528" s="213" t="s">
        <v>79</v>
      </c>
      <c r="I528" s="213" t="s">
        <v>79</v>
      </c>
      <c r="J528" s="213" t="s">
        <v>79</v>
      </c>
      <c r="K528" s="213" t="s">
        <v>79</v>
      </c>
      <c r="L528" s="213" t="s">
        <v>79</v>
      </c>
      <c r="M528" s="180">
        <f t="shared" si="8"/>
        <v>0</v>
      </c>
    </row>
    <row r="529" spans="1:13">
      <c r="A529" s="2" t="s">
        <v>213</v>
      </c>
      <c r="B529" s="2" t="s">
        <v>142</v>
      </c>
      <c r="C529" s="2" t="s">
        <v>143</v>
      </c>
      <c r="D529" s="2" t="s">
        <v>78</v>
      </c>
      <c r="E529" s="2" t="s">
        <v>72</v>
      </c>
      <c r="F529" s="213" t="s">
        <v>79</v>
      </c>
      <c r="G529" s="213" t="s">
        <v>79</v>
      </c>
      <c r="H529" s="213" t="s">
        <v>79</v>
      </c>
      <c r="I529" s="213" t="s">
        <v>79</v>
      </c>
      <c r="J529" s="213" t="s">
        <v>79</v>
      </c>
      <c r="K529" s="213" t="s">
        <v>79</v>
      </c>
      <c r="L529" s="213" t="s">
        <v>79</v>
      </c>
      <c r="M529" s="180">
        <f t="shared" si="8"/>
        <v>0</v>
      </c>
    </row>
    <row r="530" spans="1:13">
      <c r="A530" s="2" t="s">
        <v>213</v>
      </c>
      <c r="B530" s="2" t="s">
        <v>144</v>
      </c>
      <c r="C530" s="2" t="s">
        <v>145</v>
      </c>
      <c r="D530" s="2" t="s">
        <v>78</v>
      </c>
      <c r="E530" s="2" t="s">
        <v>72</v>
      </c>
      <c r="F530" s="213" t="s">
        <v>79</v>
      </c>
      <c r="G530" s="213" t="s">
        <v>79</v>
      </c>
      <c r="H530" s="213" t="s">
        <v>79</v>
      </c>
      <c r="I530" s="213" t="s">
        <v>79</v>
      </c>
      <c r="J530" s="213" t="s">
        <v>79</v>
      </c>
      <c r="K530" s="213" t="s">
        <v>79</v>
      </c>
      <c r="L530" s="213" t="s">
        <v>79</v>
      </c>
      <c r="M530" s="180">
        <f t="shared" si="8"/>
        <v>0</v>
      </c>
    </row>
    <row r="531" spans="1:13">
      <c r="A531" s="2" t="s">
        <v>213</v>
      </c>
      <c r="B531" s="2" t="s">
        <v>146</v>
      </c>
      <c r="C531" s="2" t="s">
        <v>147</v>
      </c>
      <c r="D531" s="2" t="s">
        <v>78</v>
      </c>
      <c r="E531" s="2" t="s">
        <v>72</v>
      </c>
      <c r="F531" s="213" t="s">
        <v>79</v>
      </c>
      <c r="G531" s="213" t="s">
        <v>79</v>
      </c>
      <c r="H531" s="213" t="s">
        <v>79</v>
      </c>
      <c r="I531" s="213" t="s">
        <v>79</v>
      </c>
      <c r="J531" s="213" t="s">
        <v>79</v>
      </c>
      <c r="K531" s="213" t="s">
        <v>79</v>
      </c>
      <c r="L531" s="213" t="s">
        <v>79</v>
      </c>
      <c r="M531" s="180">
        <f t="shared" si="8"/>
        <v>0</v>
      </c>
    </row>
    <row r="532" spans="1:13">
      <c r="A532" s="2" t="s">
        <v>213</v>
      </c>
      <c r="B532" s="2" t="s">
        <v>148</v>
      </c>
      <c r="C532" s="2" t="s">
        <v>149</v>
      </c>
      <c r="D532" s="2" t="s">
        <v>78</v>
      </c>
      <c r="E532" s="2" t="s">
        <v>72</v>
      </c>
      <c r="F532" s="213" t="s">
        <v>79</v>
      </c>
      <c r="G532" s="213" t="s">
        <v>79</v>
      </c>
      <c r="H532" s="213" t="s">
        <v>79</v>
      </c>
      <c r="I532" s="213" t="s">
        <v>79</v>
      </c>
      <c r="J532" s="213" t="s">
        <v>79</v>
      </c>
      <c r="K532" s="213" t="s">
        <v>79</v>
      </c>
      <c r="L532" s="213" t="s">
        <v>79</v>
      </c>
      <c r="M532" s="180">
        <f t="shared" si="8"/>
        <v>0</v>
      </c>
    </row>
    <row r="533" spans="1:13">
      <c r="A533" s="2" t="s">
        <v>213</v>
      </c>
      <c r="B533" s="2" t="s">
        <v>150</v>
      </c>
      <c r="C533" s="2" t="s">
        <v>151</v>
      </c>
      <c r="D533" s="2" t="s">
        <v>78</v>
      </c>
      <c r="E533" s="2" t="s">
        <v>72</v>
      </c>
      <c r="F533" s="213" t="s">
        <v>79</v>
      </c>
      <c r="G533" s="213" t="s">
        <v>79</v>
      </c>
      <c r="H533" s="213" t="s">
        <v>79</v>
      </c>
      <c r="I533" s="213" t="s">
        <v>79</v>
      </c>
      <c r="J533" s="213" t="s">
        <v>79</v>
      </c>
      <c r="K533" s="213" t="s">
        <v>79</v>
      </c>
      <c r="L533" s="213" t="s">
        <v>79</v>
      </c>
      <c r="M533" s="180">
        <f t="shared" si="8"/>
        <v>0</v>
      </c>
    </row>
    <row r="534" spans="1:13">
      <c r="A534" s="2" t="s">
        <v>213</v>
      </c>
      <c r="B534" s="2" t="s">
        <v>152</v>
      </c>
      <c r="C534" s="2" t="s">
        <v>153</v>
      </c>
      <c r="D534" s="2" t="s">
        <v>78</v>
      </c>
      <c r="E534" s="2" t="s">
        <v>72</v>
      </c>
      <c r="F534" s="213" t="s">
        <v>79</v>
      </c>
      <c r="G534" s="213" t="s">
        <v>79</v>
      </c>
      <c r="H534" s="213" t="s">
        <v>79</v>
      </c>
      <c r="I534" s="213" t="s">
        <v>79</v>
      </c>
      <c r="J534" s="213" t="s">
        <v>79</v>
      </c>
      <c r="K534" s="213" t="s">
        <v>79</v>
      </c>
      <c r="L534" s="213" t="s">
        <v>79</v>
      </c>
      <c r="M534" s="180">
        <f t="shared" si="8"/>
        <v>0</v>
      </c>
    </row>
    <row r="535" spans="1:13">
      <c r="A535" s="2" t="s">
        <v>213</v>
      </c>
      <c r="B535" s="2" t="s">
        <v>154</v>
      </c>
      <c r="C535" s="2" t="s">
        <v>155</v>
      </c>
      <c r="D535" s="2" t="s">
        <v>78</v>
      </c>
      <c r="E535" s="2" t="s">
        <v>72</v>
      </c>
      <c r="F535" s="213" t="s">
        <v>79</v>
      </c>
      <c r="G535" s="213" t="s">
        <v>79</v>
      </c>
      <c r="H535" s="213" t="s">
        <v>79</v>
      </c>
      <c r="I535" s="213" t="s">
        <v>79</v>
      </c>
      <c r="J535" s="213" t="s">
        <v>79</v>
      </c>
      <c r="K535" s="213" t="s">
        <v>79</v>
      </c>
      <c r="L535" s="213" t="s">
        <v>79</v>
      </c>
      <c r="M535" s="180">
        <f t="shared" si="8"/>
        <v>0</v>
      </c>
    </row>
    <row r="536" spans="1:13">
      <c r="A536" s="2" t="s">
        <v>213</v>
      </c>
      <c r="B536" s="2" t="s">
        <v>156</v>
      </c>
      <c r="C536" s="2" t="s">
        <v>157</v>
      </c>
      <c r="D536" s="2" t="s">
        <v>78</v>
      </c>
      <c r="E536" s="2" t="s">
        <v>72</v>
      </c>
      <c r="F536" s="213" t="s">
        <v>79</v>
      </c>
      <c r="G536" s="213" t="s">
        <v>79</v>
      </c>
      <c r="H536" s="213" t="s">
        <v>79</v>
      </c>
      <c r="I536" s="213" t="s">
        <v>79</v>
      </c>
      <c r="J536" s="213" t="s">
        <v>79</v>
      </c>
      <c r="K536" s="213" t="s">
        <v>79</v>
      </c>
      <c r="L536" s="213" t="s">
        <v>79</v>
      </c>
      <c r="M536" s="180">
        <f t="shared" si="8"/>
        <v>0</v>
      </c>
    </row>
    <row r="537" spans="1:13">
      <c r="A537" s="2" t="s">
        <v>213</v>
      </c>
      <c r="B537" s="2" t="s">
        <v>158</v>
      </c>
      <c r="C537" s="2" t="s">
        <v>159</v>
      </c>
      <c r="D537" s="2" t="s">
        <v>78</v>
      </c>
      <c r="E537" s="2" t="s">
        <v>72</v>
      </c>
      <c r="F537" s="213" t="s">
        <v>79</v>
      </c>
      <c r="G537" s="213" t="s">
        <v>79</v>
      </c>
      <c r="H537" s="213" t="s">
        <v>79</v>
      </c>
      <c r="I537" s="213" t="s">
        <v>79</v>
      </c>
      <c r="J537" s="213" t="s">
        <v>79</v>
      </c>
      <c r="K537" s="213" t="s">
        <v>79</v>
      </c>
      <c r="L537" s="213" t="s">
        <v>79</v>
      </c>
      <c r="M537" s="180">
        <f t="shared" si="8"/>
        <v>0</v>
      </c>
    </row>
    <row r="538" spans="1:13">
      <c r="A538" s="2" t="s">
        <v>213</v>
      </c>
      <c r="B538" s="2" t="s">
        <v>160</v>
      </c>
      <c r="C538" s="2" t="s">
        <v>161</v>
      </c>
      <c r="D538" s="2" t="s">
        <v>78</v>
      </c>
      <c r="E538" s="2" t="s">
        <v>72</v>
      </c>
      <c r="F538" s="213" t="s">
        <v>79</v>
      </c>
      <c r="G538" s="213" t="s">
        <v>79</v>
      </c>
      <c r="H538" s="213" t="s">
        <v>79</v>
      </c>
      <c r="I538" s="213" t="s">
        <v>79</v>
      </c>
      <c r="J538" s="213" t="s">
        <v>79</v>
      </c>
      <c r="K538" s="213" t="s">
        <v>79</v>
      </c>
      <c r="L538" s="213" t="s">
        <v>79</v>
      </c>
      <c r="M538" s="180">
        <f t="shared" si="8"/>
        <v>0</v>
      </c>
    </row>
    <row r="539" spans="1:13">
      <c r="A539" s="2" t="s">
        <v>213</v>
      </c>
      <c r="B539" s="2" t="s">
        <v>162</v>
      </c>
      <c r="C539" s="2" t="s">
        <v>163</v>
      </c>
      <c r="D539" s="2" t="s">
        <v>78</v>
      </c>
      <c r="E539" s="2" t="s">
        <v>72</v>
      </c>
      <c r="F539" s="213" t="s">
        <v>79</v>
      </c>
      <c r="G539" s="213" t="s">
        <v>79</v>
      </c>
      <c r="H539" s="213" t="s">
        <v>79</v>
      </c>
      <c r="I539" s="213" t="s">
        <v>79</v>
      </c>
      <c r="J539" s="213" t="s">
        <v>79</v>
      </c>
      <c r="K539" s="213" t="s">
        <v>79</v>
      </c>
      <c r="L539" s="213" t="s">
        <v>79</v>
      </c>
      <c r="M539" s="180">
        <f t="shared" si="8"/>
        <v>0</v>
      </c>
    </row>
    <row r="540" spans="1:13">
      <c r="A540" s="2" t="s">
        <v>213</v>
      </c>
      <c r="B540" s="2" t="s">
        <v>164</v>
      </c>
      <c r="C540" s="2" t="s">
        <v>165</v>
      </c>
      <c r="D540" s="2" t="s">
        <v>78</v>
      </c>
      <c r="E540" s="2" t="s">
        <v>72</v>
      </c>
      <c r="F540" s="213" t="s">
        <v>79</v>
      </c>
      <c r="G540" s="213" t="s">
        <v>79</v>
      </c>
      <c r="H540" s="213" t="s">
        <v>79</v>
      </c>
      <c r="I540" s="213" t="s">
        <v>79</v>
      </c>
      <c r="J540" s="213" t="s">
        <v>79</v>
      </c>
      <c r="K540" s="213" t="s">
        <v>79</v>
      </c>
      <c r="L540" s="213" t="s">
        <v>79</v>
      </c>
      <c r="M540" s="180">
        <f t="shared" si="8"/>
        <v>0</v>
      </c>
    </row>
    <row r="541" spans="1:13">
      <c r="A541" s="2" t="s">
        <v>213</v>
      </c>
      <c r="B541" s="2" t="s">
        <v>166</v>
      </c>
      <c r="C541" s="2" t="s">
        <v>167</v>
      </c>
      <c r="D541" s="2" t="s">
        <v>78</v>
      </c>
      <c r="E541" s="2" t="s">
        <v>72</v>
      </c>
      <c r="F541" s="213" t="s">
        <v>79</v>
      </c>
      <c r="G541" s="213" t="s">
        <v>79</v>
      </c>
      <c r="H541" s="213" t="s">
        <v>79</v>
      </c>
      <c r="I541" s="213" t="s">
        <v>79</v>
      </c>
      <c r="J541" s="213" t="s">
        <v>79</v>
      </c>
      <c r="K541" s="213" t="s">
        <v>79</v>
      </c>
      <c r="L541" s="213" t="s">
        <v>79</v>
      </c>
      <c r="M541" s="180">
        <f t="shared" si="8"/>
        <v>0</v>
      </c>
    </row>
    <row r="542" spans="1:13">
      <c r="A542" s="2" t="s">
        <v>213</v>
      </c>
      <c r="B542" s="2" t="s">
        <v>168</v>
      </c>
      <c r="C542" s="2" t="s">
        <v>169</v>
      </c>
      <c r="D542" s="2" t="s">
        <v>78</v>
      </c>
      <c r="E542" s="2" t="s">
        <v>72</v>
      </c>
      <c r="F542" s="213" t="s">
        <v>79</v>
      </c>
      <c r="G542" s="213" t="s">
        <v>79</v>
      </c>
      <c r="H542" s="213" t="s">
        <v>79</v>
      </c>
      <c r="I542" s="213" t="s">
        <v>79</v>
      </c>
      <c r="J542" s="213" t="s">
        <v>79</v>
      </c>
      <c r="K542" s="213" t="s">
        <v>79</v>
      </c>
      <c r="L542" s="213" t="s">
        <v>79</v>
      </c>
      <c r="M542" s="180">
        <f t="shared" si="8"/>
        <v>0</v>
      </c>
    </row>
    <row r="543" spans="1:13">
      <c r="A543" s="2" t="s">
        <v>213</v>
      </c>
      <c r="B543" s="2" t="s">
        <v>170</v>
      </c>
      <c r="C543" s="2" t="s">
        <v>171</v>
      </c>
      <c r="D543" s="2" t="s">
        <v>78</v>
      </c>
      <c r="E543" s="2" t="s">
        <v>72</v>
      </c>
      <c r="F543" s="213" t="s">
        <v>79</v>
      </c>
      <c r="G543" s="213" t="s">
        <v>79</v>
      </c>
      <c r="H543" s="213" t="s">
        <v>79</v>
      </c>
      <c r="I543" s="213" t="s">
        <v>79</v>
      </c>
      <c r="J543" s="213" t="s">
        <v>79</v>
      </c>
      <c r="K543" s="213" t="s">
        <v>79</v>
      </c>
      <c r="L543" s="213" t="s">
        <v>79</v>
      </c>
      <c r="M543" s="180">
        <f t="shared" si="8"/>
        <v>0</v>
      </c>
    </row>
    <row r="544" spans="1:13">
      <c r="A544" s="2" t="s">
        <v>213</v>
      </c>
      <c r="B544" s="2" t="s">
        <v>172</v>
      </c>
      <c r="C544" s="2" t="s">
        <v>173</v>
      </c>
      <c r="D544" s="2" t="s">
        <v>78</v>
      </c>
      <c r="E544" s="2" t="s">
        <v>72</v>
      </c>
      <c r="F544" s="213" t="s">
        <v>79</v>
      </c>
      <c r="G544" s="213" t="s">
        <v>79</v>
      </c>
      <c r="H544" s="213" t="s">
        <v>79</v>
      </c>
      <c r="I544" s="213" t="s">
        <v>79</v>
      </c>
      <c r="J544" s="213" t="s">
        <v>79</v>
      </c>
      <c r="K544" s="213" t="s">
        <v>79</v>
      </c>
      <c r="L544" s="213" t="s">
        <v>79</v>
      </c>
      <c r="M544" s="180">
        <f t="shared" si="8"/>
        <v>0</v>
      </c>
    </row>
    <row r="545" spans="1:13">
      <c r="A545" s="2" t="s">
        <v>213</v>
      </c>
      <c r="B545" s="2" t="s">
        <v>174</v>
      </c>
      <c r="C545" s="2" t="s">
        <v>175</v>
      </c>
      <c r="D545" s="2" t="s">
        <v>78</v>
      </c>
      <c r="E545" s="2" t="s">
        <v>72</v>
      </c>
      <c r="F545" s="213" t="s">
        <v>79</v>
      </c>
      <c r="G545" s="213" t="s">
        <v>79</v>
      </c>
      <c r="H545" s="213" t="s">
        <v>79</v>
      </c>
      <c r="I545" s="213" t="s">
        <v>79</v>
      </c>
      <c r="J545" s="213" t="s">
        <v>79</v>
      </c>
      <c r="K545" s="213" t="s">
        <v>79</v>
      </c>
      <c r="L545" s="213" t="s">
        <v>79</v>
      </c>
      <c r="M545" s="180">
        <f t="shared" si="8"/>
        <v>0</v>
      </c>
    </row>
    <row r="546" spans="1:13">
      <c r="A546" s="2" t="s">
        <v>213</v>
      </c>
      <c r="B546" s="2" t="s">
        <v>176</v>
      </c>
      <c r="C546" s="2" t="s">
        <v>177</v>
      </c>
      <c r="D546" s="2" t="s">
        <v>78</v>
      </c>
      <c r="E546" s="2" t="s">
        <v>72</v>
      </c>
      <c r="F546" s="213" t="s">
        <v>79</v>
      </c>
      <c r="G546" s="213" t="s">
        <v>79</v>
      </c>
      <c r="H546" s="213" t="s">
        <v>79</v>
      </c>
      <c r="I546" s="213" t="s">
        <v>79</v>
      </c>
      <c r="J546" s="213" t="s">
        <v>79</v>
      </c>
      <c r="K546" s="213" t="s">
        <v>79</v>
      </c>
      <c r="L546" s="213" t="s">
        <v>79</v>
      </c>
      <c r="M546" s="180">
        <f t="shared" si="8"/>
        <v>0</v>
      </c>
    </row>
    <row r="547" spans="1:13">
      <c r="A547" s="2" t="s">
        <v>213</v>
      </c>
      <c r="B547" s="2" t="s">
        <v>178</v>
      </c>
      <c r="C547" s="2" t="s">
        <v>179</v>
      </c>
      <c r="D547" s="2" t="s">
        <v>78</v>
      </c>
      <c r="E547" s="2" t="s">
        <v>72</v>
      </c>
      <c r="F547" s="213" t="s">
        <v>79</v>
      </c>
      <c r="G547" s="213" t="s">
        <v>79</v>
      </c>
      <c r="H547" s="213" t="s">
        <v>79</v>
      </c>
      <c r="I547" s="213" t="s">
        <v>79</v>
      </c>
      <c r="J547" s="213" t="s">
        <v>79</v>
      </c>
      <c r="K547" s="213" t="s">
        <v>79</v>
      </c>
      <c r="L547" s="213" t="s">
        <v>79</v>
      </c>
      <c r="M547" s="180">
        <f t="shared" si="8"/>
        <v>0</v>
      </c>
    </row>
    <row r="548" spans="1:13">
      <c r="A548" s="2" t="s">
        <v>213</v>
      </c>
      <c r="B548" s="2" t="s">
        <v>180</v>
      </c>
      <c r="C548" s="2" t="s">
        <v>181</v>
      </c>
      <c r="D548" s="2" t="s">
        <v>78</v>
      </c>
      <c r="E548" s="2" t="s">
        <v>72</v>
      </c>
      <c r="F548" s="213" t="s">
        <v>79</v>
      </c>
      <c r="G548" s="213" t="s">
        <v>79</v>
      </c>
      <c r="H548" s="213" t="s">
        <v>79</v>
      </c>
      <c r="I548" s="213" t="s">
        <v>79</v>
      </c>
      <c r="J548" s="213" t="s">
        <v>79</v>
      </c>
      <c r="K548" s="213" t="s">
        <v>79</v>
      </c>
      <c r="L548" s="213" t="s">
        <v>79</v>
      </c>
      <c r="M548" s="180">
        <f t="shared" si="8"/>
        <v>0</v>
      </c>
    </row>
    <row r="549" spans="1:13">
      <c r="A549" s="2" t="s">
        <v>213</v>
      </c>
      <c r="B549" s="2" t="s">
        <v>182</v>
      </c>
      <c r="C549" s="2" t="s">
        <v>183</v>
      </c>
      <c r="D549" s="2" t="s">
        <v>78</v>
      </c>
      <c r="E549" s="2" t="s">
        <v>72</v>
      </c>
      <c r="F549" s="213" t="s">
        <v>79</v>
      </c>
      <c r="G549" s="213" t="s">
        <v>79</v>
      </c>
      <c r="H549" s="213" t="s">
        <v>79</v>
      </c>
      <c r="I549" s="213" t="s">
        <v>79</v>
      </c>
      <c r="J549" s="213" t="s">
        <v>79</v>
      </c>
      <c r="K549" s="213" t="s">
        <v>79</v>
      </c>
      <c r="L549" s="213" t="s">
        <v>79</v>
      </c>
      <c r="M549" s="180">
        <f t="shared" si="8"/>
        <v>0</v>
      </c>
    </row>
    <row r="550" spans="1:13">
      <c r="A550" s="2" t="s">
        <v>213</v>
      </c>
      <c r="B550" s="2" t="s">
        <v>184</v>
      </c>
      <c r="C550" s="2" t="s">
        <v>185</v>
      </c>
      <c r="D550" s="2" t="s">
        <v>78</v>
      </c>
      <c r="E550" s="2" t="s">
        <v>72</v>
      </c>
      <c r="F550" s="213" t="s">
        <v>79</v>
      </c>
      <c r="G550" s="213" t="s">
        <v>79</v>
      </c>
      <c r="H550" s="213" t="s">
        <v>79</v>
      </c>
      <c r="I550" s="213" t="s">
        <v>79</v>
      </c>
      <c r="J550" s="213" t="s">
        <v>79</v>
      </c>
      <c r="K550" s="213" t="s">
        <v>79</v>
      </c>
      <c r="L550" s="213" t="s">
        <v>79</v>
      </c>
      <c r="M550" s="180">
        <f t="shared" si="8"/>
        <v>0</v>
      </c>
    </row>
    <row r="551" spans="1:13">
      <c r="A551" s="2" t="s">
        <v>213</v>
      </c>
      <c r="B551" s="2" t="s">
        <v>186</v>
      </c>
      <c r="C551" s="2" t="s">
        <v>187</v>
      </c>
      <c r="D551" s="2" t="s">
        <v>78</v>
      </c>
      <c r="E551" s="2" t="s">
        <v>72</v>
      </c>
      <c r="F551" s="213" t="s">
        <v>79</v>
      </c>
      <c r="G551" s="213" t="s">
        <v>79</v>
      </c>
      <c r="H551" s="213" t="s">
        <v>79</v>
      </c>
      <c r="I551" s="213" t="s">
        <v>79</v>
      </c>
      <c r="J551" s="213" t="s">
        <v>79</v>
      </c>
      <c r="K551" s="213" t="s">
        <v>79</v>
      </c>
      <c r="L551" s="213" t="s">
        <v>79</v>
      </c>
      <c r="M551" s="180">
        <f t="shared" si="8"/>
        <v>0</v>
      </c>
    </row>
    <row r="552" spans="1:13">
      <c r="A552" s="2" t="s">
        <v>213</v>
      </c>
      <c r="B552" s="2" t="s">
        <v>188</v>
      </c>
      <c r="C552" s="2" t="s">
        <v>189</v>
      </c>
      <c r="D552" s="2" t="s">
        <v>78</v>
      </c>
      <c r="E552" s="2" t="s">
        <v>72</v>
      </c>
      <c r="F552" s="213" t="s">
        <v>79</v>
      </c>
      <c r="G552" s="213" t="s">
        <v>79</v>
      </c>
      <c r="H552" s="213" t="s">
        <v>79</v>
      </c>
      <c r="I552" s="213" t="s">
        <v>79</v>
      </c>
      <c r="J552" s="213" t="s">
        <v>79</v>
      </c>
      <c r="K552" s="213" t="s">
        <v>79</v>
      </c>
      <c r="L552" s="213" t="s">
        <v>79</v>
      </c>
      <c r="M552" s="180">
        <f t="shared" si="8"/>
        <v>0</v>
      </c>
    </row>
    <row r="553" spans="1:13">
      <c r="A553" s="2" t="s">
        <v>213</v>
      </c>
      <c r="B553" s="2" t="s">
        <v>190</v>
      </c>
      <c r="C553" s="2" t="s">
        <v>191</v>
      </c>
      <c r="D553" s="2" t="s">
        <v>78</v>
      </c>
      <c r="E553" s="2" t="s">
        <v>72</v>
      </c>
      <c r="F553" s="213" t="s">
        <v>79</v>
      </c>
      <c r="G553" s="213" t="s">
        <v>79</v>
      </c>
      <c r="H553" s="213" t="s">
        <v>79</v>
      </c>
      <c r="I553" s="213" t="s">
        <v>79</v>
      </c>
      <c r="J553" s="213" t="s">
        <v>79</v>
      </c>
      <c r="K553" s="213" t="s">
        <v>79</v>
      </c>
      <c r="L553" s="213" t="s">
        <v>79</v>
      </c>
      <c r="M553" s="180">
        <f t="shared" si="8"/>
        <v>0</v>
      </c>
    </row>
    <row r="554" spans="1:13">
      <c r="A554" s="2" t="s">
        <v>213</v>
      </c>
      <c r="B554" s="2" t="s">
        <v>192</v>
      </c>
      <c r="C554" s="2" t="s">
        <v>193</v>
      </c>
      <c r="D554" s="2" t="s">
        <v>78</v>
      </c>
      <c r="E554" s="2" t="s">
        <v>72</v>
      </c>
      <c r="F554" s="213" t="s">
        <v>79</v>
      </c>
      <c r="G554" s="213" t="s">
        <v>79</v>
      </c>
      <c r="H554" s="213" t="s">
        <v>79</v>
      </c>
      <c r="I554" s="213" t="s">
        <v>79</v>
      </c>
      <c r="J554" s="213" t="s">
        <v>79</v>
      </c>
      <c r="K554" s="213" t="s">
        <v>79</v>
      </c>
      <c r="L554" s="213" t="s">
        <v>79</v>
      </c>
      <c r="M554" s="180">
        <f t="shared" si="8"/>
        <v>0</v>
      </c>
    </row>
    <row r="555" spans="1:13">
      <c r="A555" s="2" t="s">
        <v>213</v>
      </c>
      <c r="B555" s="2" t="s">
        <v>194</v>
      </c>
      <c r="C555" s="2" t="s">
        <v>195</v>
      </c>
      <c r="D555" s="2" t="s">
        <v>78</v>
      </c>
      <c r="E555" s="2" t="s">
        <v>72</v>
      </c>
      <c r="F555" s="213" t="s">
        <v>79</v>
      </c>
      <c r="G555" s="213" t="s">
        <v>79</v>
      </c>
      <c r="H555" s="213" t="s">
        <v>79</v>
      </c>
      <c r="I555" s="213" t="s">
        <v>79</v>
      </c>
      <c r="J555" s="213" t="s">
        <v>79</v>
      </c>
      <c r="K555" s="213" t="s">
        <v>79</v>
      </c>
      <c r="L555" s="213" t="s">
        <v>79</v>
      </c>
      <c r="M555" s="180">
        <f t="shared" si="8"/>
        <v>0</v>
      </c>
    </row>
    <row r="556" spans="1:13">
      <c r="A556" s="2" t="s">
        <v>213</v>
      </c>
      <c r="B556" s="2" t="s">
        <v>196</v>
      </c>
      <c r="C556" s="2" t="s">
        <v>197</v>
      </c>
      <c r="D556" s="2" t="s">
        <v>78</v>
      </c>
      <c r="E556" s="2" t="s">
        <v>72</v>
      </c>
      <c r="F556" s="213" t="s">
        <v>79</v>
      </c>
      <c r="G556" s="213" t="s">
        <v>79</v>
      </c>
      <c r="H556" s="213" t="s">
        <v>79</v>
      </c>
      <c r="I556" s="213" t="s">
        <v>79</v>
      </c>
      <c r="J556" s="213" t="s">
        <v>79</v>
      </c>
      <c r="K556" s="213" t="s">
        <v>79</v>
      </c>
      <c r="L556" s="213" t="s">
        <v>79</v>
      </c>
      <c r="M556" s="180">
        <f t="shared" si="8"/>
        <v>0</v>
      </c>
    </row>
    <row r="557" spans="1:13">
      <c r="A557" s="2" t="s">
        <v>213</v>
      </c>
      <c r="B557" s="2" t="s">
        <v>198</v>
      </c>
      <c r="C557" s="2" t="s">
        <v>199</v>
      </c>
      <c r="D557" s="2" t="s">
        <v>78</v>
      </c>
      <c r="E557" s="2" t="s">
        <v>72</v>
      </c>
      <c r="F557" s="213" t="s">
        <v>79</v>
      </c>
      <c r="G557" s="213" t="s">
        <v>79</v>
      </c>
      <c r="H557" s="213" t="s">
        <v>79</v>
      </c>
      <c r="I557" s="213" t="s">
        <v>79</v>
      </c>
      <c r="J557" s="213" t="s">
        <v>79</v>
      </c>
      <c r="K557" s="213" t="s">
        <v>79</v>
      </c>
      <c r="L557" s="213" t="s">
        <v>79</v>
      </c>
      <c r="M557" s="180">
        <f t="shared" si="8"/>
        <v>0</v>
      </c>
    </row>
    <row r="558" spans="1:13">
      <c r="A558" s="2" t="s">
        <v>213</v>
      </c>
      <c r="B558" s="2" t="s">
        <v>200</v>
      </c>
      <c r="C558" s="2" t="s">
        <v>201</v>
      </c>
      <c r="D558" s="2" t="s">
        <v>78</v>
      </c>
      <c r="E558" s="2" t="s">
        <v>72</v>
      </c>
      <c r="F558" s="213" t="s">
        <v>79</v>
      </c>
      <c r="G558" s="213" t="s">
        <v>79</v>
      </c>
      <c r="H558" s="213" t="s">
        <v>79</v>
      </c>
      <c r="I558" s="213" t="s">
        <v>79</v>
      </c>
      <c r="J558" s="213" t="s">
        <v>79</v>
      </c>
      <c r="K558" s="213" t="s">
        <v>79</v>
      </c>
      <c r="L558" s="213" t="s">
        <v>79</v>
      </c>
      <c r="M558" s="180">
        <f t="shared" si="8"/>
        <v>0</v>
      </c>
    </row>
    <row r="559" spans="1:13">
      <c r="A559" s="2" t="s">
        <v>213</v>
      </c>
      <c r="B559" s="2" t="s">
        <v>202</v>
      </c>
      <c r="C559" s="2" t="s">
        <v>203</v>
      </c>
      <c r="D559" s="2" t="s">
        <v>78</v>
      </c>
      <c r="E559" s="2" t="s">
        <v>72</v>
      </c>
      <c r="F559" s="213" t="s">
        <v>79</v>
      </c>
      <c r="G559" s="213" t="s">
        <v>79</v>
      </c>
      <c r="H559" s="213" t="s">
        <v>79</v>
      </c>
      <c r="I559" s="213" t="s">
        <v>79</v>
      </c>
      <c r="J559" s="213" t="s">
        <v>79</v>
      </c>
      <c r="K559" s="213" t="s">
        <v>79</v>
      </c>
      <c r="L559" s="213" t="s">
        <v>79</v>
      </c>
      <c r="M559" s="180">
        <f t="shared" si="8"/>
        <v>0</v>
      </c>
    </row>
    <row r="560" spans="1:13">
      <c r="A560" s="2" t="s">
        <v>213</v>
      </c>
      <c r="B560" s="2" t="s">
        <v>204</v>
      </c>
      <c r="C560" s="2" t="s">
        <v>205</v>
      </c>
      <c r="D560" s="2" t="s">
        <v>78</v>
      </c>
      <c r="E560" s="2" t="s">
        <v>72</v>
      </c>
      <c r="F560" s="213" t="s">
        <v>79</v>
      </c>
      <c r="G560" s="213" t="s">
        <v>79</v>
      </c>
      <c r="H560" s="213" t="s">
        <v>79</v>
      </c>
      <c r="I560" s="213" t="s">
        <v>79</v>
      </c>
      <c r="J560" s="213" t="s">
        <v>79</v>
      </c>
      <c r="K560" s="213" t="s">
        <v>79</v>
      </c>
      <c r="L560" s="213" t="s">
        <v>79</v>
      </c>
      <c r="M560" s="180">
        <f t="shared" si="8"/>
        <v>0</v>
      </c>
    </row>
    <row r="561" spans="1:13">
      <c r="A561" s="2" t="s">
        <v>213</v>
      </c>
      <c r="B561" s="2" t="s">
        <v>206</v>
      </c>
      <c r="C561" s="2" t="s">
        <v>207</v>
      </c>
      <c r="D561" s="2" t="s">
        <v>78</v>
      </c>
      <c r="E561" s="2" t="s">
        <v>72</v>
      </c>
      <c r="F561" s="213" t="s">
        <v>79</v>
      </c>
      <c r="G561" s="213" t="s">
        <v>79</v>
      </c>
      <c r="H561" s="213" t="s">
        <v>79</v>
      </c>
      <c r="I561" s="213" t="s">
        <v>79</v>
      </c>
      <c r="J561" s="213" t="s">
        <v>79</v>
      </c>
      <c r="K561" s="213" t="s">
        <v>79</v>
      </c>
      <c r="L561" s="213" t="s">
        <v>79</v>
      </c>
      <c r="M561" s="180">
        <f t="shared" si="8"/>
        <v>0</v>
      </c>
    </row>
    <row r="562" spans="1:13">
      <c r="A562" s="2" t="s">
        <v>213</v>
      </c>
      <c r="B562" s="2" t="s">
        <v>208</v>
      </c>
      <c r="C562" s="2" t="s">
        <v>209</v>
      </c>
      <c r="D562" s="2" t="s">
        <v>78</v>
      </c>
      <c r="E562" s="2" t="s">
        <v>72</v>
      </c>
      <c r="F562" s="213" t="s">
        <v>79</v>
      </c>
      <c r="G562" s="213" t="s">
        <v>79</v>
      </c>
      <c r="H562" s="213" t="s">
        <v>79</v>
      </c>
      <c r="I562" s="213" t="s">
        <v>79</v>
      </c>
      <c r="J562" s="213" t="s">
        <v>79</v>
      </c>
      <c r="K562" s="213" t="s">
        <v>79</v>
      </c>
      <c r="L562" s="213" t="s">
        <v>79</v>
      </c>
      <c r="M562" s="180">
        <f t="shared" si="8"/>
        <v>0</v>
      </c>
    </row>
    <row r="563" spans="1:13">
      <c r="A563" s="2" t="s">
        <v>213</v>
      </c>
      <c r="B563" s="2" t="s">
        <v>210</v>
      </c>
      <c r="C563" s="2" t="s">
        <v>211</v>
      </c>
      <c r="D563" s="2" t="s">
        <v>78</v>
      </c>
      <c r="E563" s="2" t="s">
        <v>72</v>
      </c>
      <c r="F563" s="213" t="s">
        <v>79</v>
      </c>
      <c r="G563" s="213" t="s">
        <v>79</v>
      </c>
      <c r="H563" s="213" t="s">
        <v>79</v>
      </c>
      <c r="I563" s="213" t="s">
        <v>79</v>
      </c>
      <c r="J563" s="213" t="s">
        <v>79</v>
      </c>
      <c r="K563" s="213" t="s">
        <v>79</v>
      </c>
      <c r="L563" s="213" t="s">
        <v>79</v>
      </c>
      <c r="M563" s="180">
        <f t="shared" si="8"/>
        <v>0</v>
      </c>
    </row>
    <row r="564" spans="1:13">
      <c r="A564" s="2" t="s">
        <v>214</v>
      </c>
      <c r="B564" s="2" t="s">
        <v>126</v>
      </c>
      <c r="C564" s="2" t="s">
        <v>127</v>
      </c>
      <c r="D564" s="2" t="s">
        <v>78</v>
      </c>
      <c r="E564" s="2" t="s">
        <v>72</v>
      </c>
      <c r="F564" s="213" t="s">
        <v>79</v>
      </c>
      <c r="G564" s="213" t="s">
        <v>79</v>
      </c>
      <c r="H564" s="213" t="s">
        <v>79</v>
      </c>
      <c r="I564" s="213" t="s">
        <v>79</v>
      </c>
      <c r="J564" s="213" t="s">
        <v>79</v>
      </c>
      <c r="K564" s="213" t="s">
        <v>79</v>
      </c>
      <c r="L564" s="213" t="s">
        <v>79</v>
      </c>
      <c r="M564" s="180">
        <f t="shared" si="8"/>
        <v>0</v>
      </c>
    </row>
    <row r="565" spans="1:13">
      <c r="A565" s="2" t="s">
        <v>214</v>
      </c>
      <c r="B565" s="2" t="s">
        <v>128</v>
      </c>
      <c r="C565" s="2" t="s">
        <v>129</v>
      </c>
      <c r="D565" s="2" t="s">
        <v>78</v>
      </c>
      <c r="E565" s="2" t="s">
        <v>72</v>
      </c>
      <c r="F565" s="213" t="s">
        <v>79</v>
      </c>
      <c r="G565" s="213" t="s">
        <v>79</v>
      </c>
      <c r="H565" s="213" t="s">
        <v>79</v>
      </c>
      <c r="I565" s="213" t="s">
        <v>79</v>
      </c>
      <c r="J565" s="213" t="s">
        <v>79</v>
      </c>
      <c r="K565" s="213" t="s">
        <v>79</v>
      </c>
      <c r="L565" s="213" t="s">
        <v>79</v>
      </c>
      <c r="M565" s="180">
        <f t="shared" si="8"/>
        <v>0</v>
      </c>
    </row>
    <row r="566" spans="1:13">
      <c r="A566" s="2" t="s">
        <v>214</v>
      </c>
      <c r="B566" s="2" t="s">
        <v>130</v>
      </c>
      <c r="C566" s="2" t="s">
        <v>131</v>
      </c>
      <c r="D566" s="2" t="s">
        <v>78</v>
      </c>
      <c r="E566" s="2" t="s">
        <v>72</v>
      </c>
      <c r="F566" s="213" t="s">
        <v>79</v>
      </c>
      <c r="G566" s="213" t="s">
        <v>79</v>
      </c>
      <c r="H566" s="213" t="s">
        <v>79</v>
      </c>
      <c r="I566" s="213" t="s">
        <v>79</v>
      </c>
      <c r="J566" s="213" t="s">
        <v>79</v>
      </c>
      <c r="K566" s="213" t="s">
        <v>79</v>
      </c>
      <c r="L566" s="213" t="s">
        <v>79</v>
      </c>
      <c r="M566" s="180">
        <f t="shared" si="8"/>
        <v>0</v>
      </c>
    </row>
    <row r="567" spans="1:13">
      <c r="A567" s="2" t="s">
        <v>214</v>
      </c>
      <c r="B567" s="2" t="s">
        <v>132</v>
      </c>
      <c r="C567" s="2" t="s">
        <v>133</v>
      </c>
      <c r="D567" s="2" t="s">
        <v>78</v>
      </c>
      <c r="E567" s="2" t="s">
        <v>72</v>
      </c>
      <c r="F567" s="213" t="s">
        <v>79</v>
      </c>
      <c r="G567" s="213" t="s">
        <v>79</v>
      </c>
      <c r="H567" s="213" t="s">
        <v>79</v>
      </c>
      <c r="I567" s="213" t="s">
        <v>79</v>
      </c>
      <c r="J567" s="213" t="s">
        <v>79</v>
      </c>
      <c r="K567" s="213" t="s">
        <v>79</v>
      </c>
      <c r="L567" s="213" t="s">
        <v>79</v>
      </c>
      <c r="M567" s="180">
        <f t="shared" si="8"/>
        <v>0</v>
      </c>
    </row>
    <row r="568" spans="1:13">
      <c r="A568" s="2" t="s">
        <v>214</v>
      </c>
      <c r="B568" s="2" t="s">
        <v>134</v>
      </c>
      <c r="C568" s="2" t="s">
        <v>135</v>
      </c>
      <c r="D568" s="2" t="s">
        <v>78</v>
      </c>
      <c r="E568" s="2" t="s">
        <v>72</v>
      </c>
      <c r="F568" s="213" t="s">
        <v>79</v>
      </c>
      <c r="G568" s="213" t="s">
        <v>79</v>
      </c>
      <c r="H568" s="213" t="s">
        <v>79</v>
      </c>
      <c r="I568" s="213" t="s">
        <v>79</v>
      </c>
      <c r="J568" s="213" t="s">
        <v>79</v>
      </c>
      <c r="K568" s="213" t="s">
        <v>79</v>
      </c>
      <c r="L568" s="213" t="s">
        <v>79</v>
      </c>
      <c r="M568" s="180">
        <f t="shared" si="8"/>
        <v>0</v>
      </c>
    </row>
    <row r="569" spans="1:13">
      <c r="A569" s="2" t="s">
        <v>214</v>
      </c>
      <c r="B569" s="2" t="s">
        <v>136</v>
      </c>
      <c r="C569" s="2" t="s">
        <v>137</v>
      </c>
      <c r="D569" s="2" t="s">
        <v>78</v>
      </c>
      <c r="E569" s="2" t="s">
        <v>72</v>
      </c>
      <c r="F569" s="213" t="s">
        <v>79</v>
      </c>
      <c r="G569" s="213" t="s">
        <v>79</v>
      </c>
      <c r="H569" s="213" t="s">
        <v>79</v>
      </c>
      <c r="I569" s="213" t="s">
        <v>79</v>
      </c>
      <c r="J569" s="213" t="s">
        <v>79</v>
      </c>
      <c r="K569" s="213" t="s">
        <v>79</v>
      </c>
      <c r="L569" s="213" t="s">
        <v>79</v>
      </c>
      <c r="M569" s="180">
        <f t="shared" si="8"/>
        <v>0</v>
      </c>
    </row>
    <row r="570" spans="1:13">
      <c r="A570" s="2" t="s">
        <v>214</v>
      </c>
      <c r="B570" s="2" t="s">
        <v>138</v>
      </c>
      <c r="C570" s="2" t="s">
        <v>139</v>
      </c>
      <c r="D570" s="2" t="s">
        <v>78</v>
      </c>
      <c r="E570" s="2" t="s">
        <v>72</v>
      </c>
      <c r="F570" s="213" t="s">
        <v>79</v>
      </c>
      <c r="G570" s="213" t="s">
        <v>79</v>
      </c>
      <c r="H570" s="213" t="s">
        <v>79</v>
      </c>
      <c r="I570" s="213" t="s">
        <v>79</v>
      </c>
      <c r="J570" s="213" t="s">
        <v>79</v>
      </c>
      <c r="K570" s="213" t="s">
        <v>79</v>
      </c>
      <c r="L570" s="213" t="s">
        <v>79</v>
      </c>
      <c r="M570" s="180">
        <f t="shared" si="8"/>
        <v>0</v>
      </c>
    </row>
    <row r="571" spans="1:13">
      <c r="A571" s="2" t="s">
        <v>214</v>
      </c>
      <c r="B571" s="2" t="s">
        <v>140</v>
      </c>
      <c r="C571" s="2" t="s">
        <v>141</v>
      </c>
      <c r="D571" s="2" t="s">
        <v>78</v>
      </c>
      <c r="E571" s="2" t="s">
        <v>72</v>
      </c>
      <c r="F571" s="213" t="s">
        <v>79</v>
      </c>
      <c r="G571" s="213" t="s">
        <v>79</v>
      </c>
      <c r="H571" s="213" t="s">
        <v>79</v>
      </c>
      <c r="I571" s="213" t="s">
        <v>79</v>
      </c>
      <c r="J571" s="213" t="s">
        <v>79</v>
      </c>
      <c r="K571" s="213" t="s">
        <v>79</v>
      </c>
      <c r="L571" s="213" t="s">
        <v>79</v>
      </c>
      <c r="M571" s="180">
        <f t="shared" si="8"/>
        <v>0</v>
      </c>
    </row>
    <row r="572" spans="1:13">
      <c r="A572" s="2" t="s">
        <v>214</v>
      </c>
      <c r="B572" s="2" t="s">
        <v>142</v>
      </c>
      <c r="C572" s="2" t="s">
        <v>143</v>
      </c>
      <c r="D572" s="2" t="s">
        <v>78</v>
      </c>
      <c r="E572" s="2" t="s">
        <v>72</v>
      </c>
      <c r="F572" s="213" t="s">
        <v>79</v>
      </c>
      <c r="G572" s="213" t="s">
        <v>79</v>
      </c>
      <c r="H572" s="213" t="s">
        <v>79</v>
      </c>
      <c r="I572" s="213" t="s">
        <v>79</v>
      </c>
      <c r="J572" s="213" t="s">
        <v>79</v>
      </c>
      <c r="K572" s="213" t="s">
        <v>79</v>
      </c>
      <c r="L572" s="213" t="s">
        <v>79</v>
      </c>
      <c r="M572" s="180">
        <f t="shared" si="8"/>
        <v>0</v>
      </c>
    </row>
    <row r="573" spans="1:13">
      <c r="A573" s="2" t="s">
        <v>214</v>
      </c>
      <c r="B573" s="2" t="s">
        <v>144</v>
      </c>
      <c r="C573" s="2" t="s">
        <v>145</v>
      </c>
      <c r="D573" s="2" t="s">
        <v>78</v>
      </c>
      <c r="E573" s="2" t="s">
        <v>72</v>
      </c>
      <c r="F573" s="213" t="s">
        <v>79</v>
      </c>
      <c r="G573" s="213" t="s">
        <v>79</v>
      </c>
      <c r="H573" s="213" t="s">
        <v>79</v>
      </c>
      <c r="I573" s="213" t="s">
        <v>79</v>
      </c>
      <c r="J573" s="213" t="s">
        <v>79</v>
      </c>
      <c r="K573" s="213" t="s">
        <v>79</v>
      </c>
      <c r="L573" s="213" t="s">
        <v>79</v>
      </c>
      <c r="M573" s="180">
        <f t="shared" si="8"/>
        <v>0</v>
      </c>
    </row>
    <row r="574" spans="1:13">
      <c r="A574" s="2" t="s">
        <v>214</v>
      </c>
      <c r="B574" s="2" t="s">
        <v>146</v>
      </c>
      <c r="C574" s="2" t="s">
        <v>147</v>
      </c>
      <c r="D574" s="2" t="s">
        <v>78</v>
      </c>
      <c r="E574" s="2" t="s">
        <v>72</v>
      </c>
      <c r="F574" s="213" t="s">
        <v>79</v>
      </c>
      <c r="G574" s="213" t="s">
        <v>79</v>
      </c>
      <c r="H574" s="213" t="s">
        <v>79</v>
      </c>
      <c r="I574" s="213" t="s">
        <v>79</v>
      </c>
      <c r="J574" s="213" t="s">
        <v>79</v>
      </c>
      <c r="K574" s="213" t="s">
        <v>79</v>
      </c>
      <c r="L574" s="213" t="s">
        <v>79</v>
      </c>
      <c r="M574" s="180">
        <f t="shared" si="8"/>
        <v>0</v>
      </c>
    </row>
    <row r="575" spans="1:13">
      <c r="A575" s="2" t="s">
        <v>214</v>
      </c>
      <c r="B575" s="2" t="s">
        <v>148</v>
      </c>
      <c r="C575" s="2" t="s">
        <v>149</v>
      </c>
      <c r="D575" s="2" t="s">
        <v>78</v>
      </c>
      <c r="E575" s="2" t="s">
        <v>72</v>
      </c>
      <c r="F575" s="213" t="s">
        <v>79</v>
      </c>
      <c r="G575" s="213" t="s">
        <v>79</v>
      </c>
      <c r="H575" s="213" t="s">
        <v>79</v>
      </c>
      <c r="I575" s="213" t="s">
        <v>79</v>
      </c>
      <c r="J575" s="213" t="s">
        <v>79</v>
      </c>
      <c r="K575" s="213" t="s">
        <v>79</v>
      </c>
      <c r="L575" s="213" t="s">
        <v>79</v>
      </c>
      <c r="M575" s="180">
        <f t="shared" si="8"/>
        <v>0</v>
      </c>
    </row>
    <row r="576" spans="1:13">
      <c r="A576" s="2" t="s">
        <v>214</v>
      </c>
      <c r="B576" s="2" t="s">
        <v>150</v>
      </c>
      <c r="C576" s="2" t="s">
        <v>151</v>
      </c>
      <c r="D576" s="2" t="s">
        <v>78</v>
      </c>
      <c r="E576" s="2" t="s">
        <v>72</v>
      </c>
      <c r="F576" s="213" t="s">
        <v>79</v>
      </c>
      <c r="G576" s="213" t="s">
        <v>79</v>
      </c>
      <c r="H576" s="213" t="s">
        <v>79</v>
      </c>
      <c r="I576" s="213" t="s">
        <v>79</v>
      </c>
      <c r="J576" s="213" t="s">
        <v>79</v>
      </c>
      <c r="K576" s="213" t="s">
        <v>79</v>
      </c>
      <c r="L576" s="213" t="s">
        <v>79</v>
      </c>
      <c r="M576" s="180">
        <f t="shared" si="8"/>
        <v>0</v>
      </c>
    </row>
    <row r="577" spans="1:13">
      <c r="A577" s="2" t="s">
        <v>214</v>
      </c>
      <c r="B577" s="2" t="s">
        <v>152</v>
      </c>
      <c r="C577" s="2" t="s">
        <v>153</v>
      </c>
      <c r="D577" s="2" t="s">
        <v>78</v>
      </c>
      <c r="E577" s="2" t="s">
        <v>72</v>
      </c>
      <c r="F577" s="213" t="s">
        <v>79</v>
      </c>
      <c r="G577" s="213" t="s">
        <v>79</v>
      </c>
      <c r="H577" s="213" t="s">
        <v>79</v>
      </c>
      <c r="I577" s="213" t="s">
        <v>79</v>
      </c>
      <c r="J577" s="213" t="s">
        <v>79</v>
      </c>
      <c r="K577" s="213" t="s">
        <v>79</v>
      </c>
      <c r="L577" s="213" t="s">
        <v>79</v>
      </c>
      <c r="M577" s="180">
        <f t="shared" si="8"/>
        <v>0</v>
      </c>
    </row>
    <row r="578" spans="1:13">
      <c r="A578" s="2" t="s">
        <v>214</v>
      </c>
      <c r="B578" s="2" t="s">
        <v>154</v>
      </c>
      <c r="C578" s="2" t="s">
        <v>155</v>
      </c>
      <c r="D578" s="2" t="s">
        <v>78</v>
      </c>
      <c r="E578" s="2" t="s">
        <v>72</v>
      </c>
      <c r="F578" s="213" t="s">
        <v>79</v>
      </c>
      <c r="G578" s="213" t="s">
        <v>79</v>
      </c>
      <c r="H578" s="213" t="s">
        <v>79</v>
      </c>
      <c r="I578" s="213" t="s">
        <v>79</v>
      </c>
      <c r="J578" s="213" t="s">
        <v>79</v>
      </c>
      <c r="K578" s="213" t="s">
        <v>79</v>
      </c>
      <c r="L578" s="213" t="s">
        <v>79</v>
      </c>
      <c r="M578" s="180">
        <f t="shared" si="8"/>
        <v>0</v>
      </c>
    </row>
    <row r="579" spans="1:13">
      <c r="A579" s="2" t="s">
        <v>214</v>
      </c>
      <c r="B579" s="2" t="s">
        <v>156</v>
      </c>
      <c r="C579" s="2" t="s">
        <v>157</v>
      </c>
      <c r="D579" s="2" t="s">
        <v>78</v>
      </c>
      <c r="E579" s="2" t="s">
        <v>72</v>
      </c>
      <c r="F579" s="213" t="s">
        <v>79</v>
      </c>
      <c r="G579" s="213" t="s">
        <v>79</v>
      </c>
      <c r="H579" s="213" t="s">
        <v>79</v>
      </c>
      <c r="I579" s="213" t="s">
        <v>79</v>
      </c>
      <c r="J579" s="213" t="s">
        <v>79</v>
      </c>
      <c r="K579" s="213" t="s">
        <v>79</v>
      </c>
      <c r="L579" s="213" t="s">
        <v>79</v>
      </c>
      <c r="M579" s="180">
        <f t="shared" si="8"/>
        <v>0</v>
      </c>
    </row>
    <row r="580" spans="1:13">
      <c r="A580" s="2" t="s">
        <v>214</v>
      </c>
      <c r="B580" s="2" t="s">
        <v>158</v>
      </c>
      <c r="C580" s="2" t="s">
        <v>159</v>
      </c>
      <c r="D580" s="2" t="s">
        <v>78</v>
      </c>
      <c r="E580" s="2" t="s">
        <v>72</v>
      </c>
      <c r="F580" s="213" t="s">
        <v>79</v>
      </c>
      <c r="G580" s="213" t="s">
        <v>79</v>
      </c>
      <c r="H580" s="213" t="s">
        <v>79</v>
      </c>
      <c r="I580" s="213" t="s">
        <v>79</v>
      </c>
      <c r="J580" s="213" t="s">
        <v>79</v>
      </c>
      <c r="K580" s="213" t="s">
        <v>79</v>
      </c>
      <c r="L580" s="213" t="s">
        <v>79</v>
      </c>
      <c r="M580" s="180">
        <f t="shared" si="8"/>
        <v>0</v>
      </c>
    </row>
    <row r="581" spans="1:13">
      <c r="A581" s="2" t="s">
        <v>214</v>
      </c>
      <c r="B581" s="2" t="s">
        <v>160</v>
      </c>
      <c r="C581" s="2" t="s">
        <v>161</v>
      </c>
      <c r="D581" s="2" t="s">
        <v>78</v>
      </c>
      <c r="E581" s="2" t="s">
        <v>72</v>
      </c>
      <c r="F581" s="213" t="s">
        <v>79</v>
      </c>
      <c r="G581" s="213" t="s">
        <v>79</v>
      </c>
      <c r="H581" s="213" t="s">
        <v>79</v>
      </c>
      <c r="I581" s="213" t="s">
        <v>79</v>
      </c>
      <c r="J581" s="213" t="s">
        <v>79</v>
      </c>
      <c r="K581" s="213" t="s">
        <v>79</v>
      </c>
      <c r="L581" s="213" t="s">
        <v>79</v>
      </c>
      <c r="M581" s="180">
        <f t="shared" si="8"/>
        <v>0</v>
      </c>
    </row>
    <row r="582" spans="1:13">
      <c r="A582" s="2" t="s">
        <v>214</v>
      </c>
      <c r="B582" s="2" t="s">
        <v>162</v>
      </c>
      <c r="C582" s="2" t="s">
        <v>163</v>
      </c>
      <c r="D582" s="2" t="s">
        <v>78</v>
      </c>
      <c r="E582" s="2" t="s">
        <v>72</v>
      </c>
      <c r="F582" s="213" t="s">
        <v>79</v>
      </c>
      <c r="G582" s="213" t="s">
        <v>79</v>
      </c>
      <c r="H582" s="213" t="s">
        <v>79</v>
      </c>
      <c r="I582" s="213" t="s">
        <v>79</v>
      </c>
      <c r="J582" s="213" t="s">
        <v>79</v>
      </c>
      <c r="K582" s="213" t="s">
        <v>79</v>
      </c>
      <c r="L582" s="213" t="s">
        <v>79</v>
      </c>
      <c r="M582" s="180">
        <f t="shared" ref="M582:M645" si="9">SUM(F582:L582)</f>
        <v>0</v>
      </c>
    </row>
    <row r="583" spans="1:13">
      <c r="A583" s="2" t="s">
        <v>214</v>
      </c>
      <c r="B583" s="2" t="s">
        <v>164</v>
      </c>
      <c r="C583" s="2" t="s">
        <v>165</v>
      </c>
      <c r="D583" s="2" t="s">
        <v>78</v>
      </c>
      <c r="E583" s="2" t="s">
        <v>72</v>
      </c>
      <c r="F583" s="213" t="s">
        <v>79</v>
      </c>
      <c r="G583" s="213" t="s">
        <v>79</v>
      </c>
      <c r="H583" s="213" t="s">
        <v>79</v>
      </c>
      <c r="I583" s="213" t="s">
        <v>79</v>
      </c>
      <c r="J583" s="213" t="s">
        <v>79</v>
      </c>
      <c r="K583" s="213" t="s">
        <v>79</v>
      </c>
      <c r="L583" s="213" t="s">
        <v>79</v>
      </c>
      <c r="M583" s="180">
        <f t="shared" si="9"/>
        <v>0</v>
      </c>
    </row>
    <row r="584" spans="1:13">
      <c r="A584" s="2" t="s">
        <v>214</v>
      </c>
      <c r="B584" s="2" t="s">
        <v>166</v>
      </c>
      <c r="C584" s="2" t="s">
        <v>167</v>
      </c>
      <c r="D584" s="2" t="s">
        <v>78</v>
      </c>
      <c r="E584" s="2" t="s">
        <v>72</v>
      </c>
      <c r="F584" s="213" t="s">
        <v>79</v>
      </c>
      <c r="G584" s="213" t="s">
        <v>79</v>
      </c>
      <c r="H584" s="213" t="s">
        <v>79</v>
      </c>
      <c r="I584" s="213" t="s">
        <v>79</v>
      </c>
      <c r="J584" s="213" t="s">
        <v>79</v>
      </c>
      <c r="K584" s="213" t="s">
        <v>79</v>
      </c>
      <c r="L584" s="213" t="s">
        <v>79</v>
      </c>
      <c r="M584" s="180">
        <f t="shared" si="9"/>
        <v>0</v>
      </c>
    </row>
    <row r="585" spans="1:13">
      <c r="A585" s="2" t="s">
        <v>214</v>
      </c>
      <c r="B585" s="2" t="s">
        <v>168</v>
      </c>
      <c r="C585" s="2" t="s">
        <v>169</v>
      </c>
      <c r="D585" s="2" t="s">
        <v>78</v>
      </c>
      <c r="E585" s="2" t="s">
        <v>72</v>
      </c>
      <c r="F585" s="213" t="s">
        <v>79</v>
      </c>
      <c r="G585" s="213" t="s">
        <v>79</v>
      </c>
      <c r="H585" s="213" t="s">
        <v>79</v>
      </c>
      <c r="I585" s="213" t="s">
        <v>79</v>
      </c>
      <c r="J585" s="213" t="s">
        <v>79</v>
      </c>
      <c r="K585" s="213" t="s">
        <v>79</v>
      </c>
      <c r="L585" s="213" t="s">
        <v>79</v>
      </c>
      <c r="M585" s="180">
        <f t="shared" si="9"/>
        <v>0</v>
      </c>
    </row>
    <row r="586" spans="1:13">
      <c r="A586" s="2" t="s">
        <v>214</v>
      </c>
      <c r="B586" s="2" t="s">
        <v>170</v>
      </c>
      <c r="C586" s="2" t="s">
        <v>171</v>
      </c>
      <c r="D586" s="2" t="s">
        <v>78</v>
      </c>
      <c r="E586" s="2" t="s">
        <v>72</v>
      </c>
      <c r="F586" s="213" t="s">
        <v>79</v>
      </c>
      <c r="G586" s="213" t="s">
        <v>79</v>
      </c>
      <c r="H586" s="213" t="s">
        <v>79</v>
      </c>
      <c r="I586" s="213" t="s">
        <v>79</v>
      </c>
      <c r="J586" s="213" t="s">
        <v>79</v>
      </c>
      <c r="K586" s="213" t="s">
        <v>79</v>
      </c>
      <c r="L586" s="213" t="s">
        <v>79</v>
      </c>
      <c r="M586" s="180">
        <f t="shared" si="9"/>
        <v>0</v>
      </c>
    </row>
    <row r="587" spans="1:13">
      <c r="A587" s="2" t="s">
        <v>214</v>
      </c>
      <c r="B587" s="2" t="s">
        <v>172</v>
      </c>
      <c r="C587" s="2" t="s">
        <v>173</v>
      </c>
      <c r="D587" s="2" t="s">
        <v>78</v>
      </c>
      <c r="E587" s="2" t="s">
        <v>72</v>
      </c>
      <c r="F587" s="213" t="s">
        <v>79</v>
      </c>
      <c r="G587" s="213" t="s">
        <v>79</v>
      </c>
      <c r="H587" s="213" t="s">
        <v>79</v>
      </c>
      <c r="I587" s="213" t="s">
        <v>79</v>
      </c>
      <c r="J587" s="213" t="s">
        <v>79</v>
      </c>
      <c r="K587" s="213" t="s">
        <v>79</v>
      </c>
      <c r="L587" s="213" t="s">
        <v>79</v>
      </c>
      <c r="M587" s="180">
        <f t="shared" si="9"/>
        <v>0</v>
      </c>
    </row>
    <row r="588" spans="1:13">
      <c r="A588" s="2" t="s">
        <v>214</v>
      </c>
      <c r="B588" s="2" t="s">
        <v>174</v>
      </c>
      <c r="C588" s="2" t="s">
        <v>175</v>
      </c>
      <c r="D588" s="2" t="s">
        <v>78</v>
      </c>
      <c r="E588" s="2" t="s">
        <v>72</v>
      </c>
      <c r="F588" s="213" t="s">
        <v>79</v>
      </c>
      <c r="G588" s="213" t="s">
        <v>79</v>
      </c>
      <c r="H588" s="213" t="s">
        <v>79</v>
      </c>
      <c r="I588" s="213" t="s">
        <v>79</v>
      </c>
      <c r="J588" s="213" t="s">
        <v>79</v>
      </c>
      <c r="K588" s="213" t="s">
        <v>79</v>
      </c>
      <c r="L588" s="213" t="s">
        <v>79</v>
      </c>
      <c r="M588" s="180">
        <f t="shared" si="9"/>
        <v>0</v>
      </c>
    </row>
    <row r="589" spans="1:13">
      <c r="A589" s="2" t="s">
        <v>214</v>
      </c>
      <c r="B589" s="2" t="s">
        <v>176</v>
      </c>
      <c r="C589" s="2" t="s">
        <v>177</v>
      </c>
      <c r="D589" s="2" t="s">
        <v>78</v>
      </c>
      <c r="E589" s="2" t="s">
        <v>72</v>
      </c>
      <c r="F589" s="213" t="s">
        <v>79</v>
      </c>
      <c r="G589" s="213" t="s">
        <v>79</v>
      </c>
      <c r="H589" s="213" t="s">
        <v>79</v>
      </c>
      <c r="I589" s="213" t="s">
        <v>79</v>
      </c>
      <c r="J589" s="213" t="s">
        <v>79</v>
      </c>
      <c r="K589" s="213" t="s">
        <v>79</v>
      </c>
      <c r="L589" s="213" t="s">
        <v>79</v>
      </c>
      <c r="M589" s="180">
        <f t="shared" si="9"/>
        <v>0</v>
      </c>
    </row>
    <row r="590" spans="1:13">
      <c r="A590" s="2" t="s">
        <v>214</v>
      </c>
      <c r="B590" s="2" t="s">
        <v>178</v>
      </c>
      <c r="C590" s="2" t="s">
        <v>179</v>
      </c>
      <c r="D590" s="2" t="s">
        <v>78</v>
      </c>
      <c r="E590" s="2" t="s">
        <v>72</v>
      </c>
      <c r="F590" s="213" t="s">
        <v>79</v>
      </c>
      <c r="G590" s="213" t="s">
        <v>79</v>
      </c>
      <c r="H590" s="213" t="s">
        <v>79</v>
      </c>
      <c r="I590" s="213" t="s">
        <v>79</v>
      </c>
      <c r="J590" s="213" t="s">
        <v>79</v>
      </c>
      <c r="K590" s="213" t="s">
        <v>79</v>
      </c>
      <c r="L590" s="213" t="s">
        <v>79</v>
      </c>
      <c r="M590" s="180">
        <f t="shared" si="9"/>
        <v>0</v>
      </c>
    </row>
    <row r="591" spans="1:13">
      <c r="A591" s="2" t="s">
        <v>214</v>
      </c>
      <c r="B591" s="2" t="s">
        <v>180</v>
      </c>
      <c r="C591" s="2" t="s">
        <v>181</v>
      </c>
      <c r="D591" s="2" t="s">
        <v>78</v>
      </c>
      <c r="E591" s="2" t="s">
        <v>72</v>
      </c>
      <c r="F591" s="213" t="s">
        <v>79</v>
      </c>
      <c r="G591" s="213" t="s">
        <v>79</v>
      </c>
      <c r="H591" s="213" t="s">
        <v>79</v>
      </c>
      <c r="I591" s="213" t="s">
        <v>79</v>
      </c>
      <c r="J591" s="213" t="s">
        <v>79</v>
      </c>
      <c r="K591" s="213" t="s">
        <v>79</v>
      </c>
      <c r="L591" s="213" t="s">
        <v>79</v>
      </c>
      <c r="M591" s="180">
        <f t="shared" si="9"/>
        <v>0</v>
      </c>
    </row>
    <row r="592" spans="1:13">
      <c r="A592" s="2" t="s">
        <v>214</v>
      </c>
      <c r="B592" s="2" t="s">
        <v>182</v>
      </c>
      <c r="C592" s="2" t="s">
        <v>183</v>
      </c>
      <c r="D592" s="2" t="s">
        <v>78</v>
      </c>
      <c r="E592" s="2" t="s">
        <v>72</v>
      </c>
      <c r="F592" s="213" t="s">
        <v>79</v>
      </c>
      <c r="G592" s="213" t="s">
        <v>79</v>
      </c>
      <c r="H592" s="213" t="s">
        <v>79</v>
      </c>
      <c r="I592" s="213" t="s">
        <v>79</v>
      </c>
      <c r="J592" s="213" t="s">
        <v>79</v>
      </c>
      <c r="K592" s="213" t="s">
        <v>79</v>
      </c>
      <c r="L592" s="213" t="s">
        <v>79</v>
      </c>
      <c r="M592" s="180">
        <f t="shared" si="9"/>
        <v>0</v>
      </c>
    </row>
    <row r="593" spans="1:13">
      <c r="A593" s="2" t="s">
        <v>214</v>
      </c>
      <c r="B593" s="2" t="s">
        <v>184</v>
      </c>
      <c r="C593" s="2" t="s">
        <v>185</v>
      </c>
      <c r="D593" s="2" t="s">
        <v>78</v>
      </c>
      <c r="E593" s="2" t="s">
        <v>72</v>
      </c>
      <c r="F593" s="213" t="s">
        <v>79</v>
      </c>
      <c r="G593" s="213" t="s">
        <v>79</v>
      </c>
      <c r="H593" s="213" t="s">
        <v>79</v>
      </c>
      <c r="I593" s="213" t="s">
        <v>79</v>
      </c>
      <c r="J593" s="213" t="s">
        <v>79</v>
      </c>
      <c r="K593" s="213" t="s">
        <v>79</v>
      </c>
      <c r="L593" s="213" t="s">
        <v>79</v>
      </c>
      <c r="M593" s="180">
        <f t="shared" si="9"/>
        <v>0</v>
      </c>
    </row>
    <row r="594" spans="1:13">
      <c r="A594" s="2" t="s">
        <v>214</v>
      </c>
      <c r="B594" s="2" t="s">
        <v>186</v>
      </c>
      <c r="C594" s="2" t="s">
        <v>187</v>
      </c>
      <c r="D594" s="2" t="s">
        <v>78</v>
      </c>
      <c r="E594" s="2" t="s">
        <v>72</v>
      </c>
      <c r="F594" s="213" t="s">
        <v>79</v>
      </c>
      <c r="G594" s="213" t="s">
        <v>79</v>
      </c>
      <c r="H594" s="213" t="s">
        <v>79</v>
      </c>
      <c r="I594" s="213" t="s">
        <v>79</v>
      </c>
      <c r="J594" s="213" t="s">
        <v>79</v>
      </c>
      <c r="K594" s="213" t="s">
        <v>79</v>
      </c>
      <c r="L594" s="213" t="s">
        <v>79</v>
      </c>
      <c r="M594" s="180">
        <f t="shared" si="9"/>
        <v>0</v>
      </c>
    </row>
    <row r="595" spans="1:13">
      <c r="A595" s="2" t="s">
        <v>214</v>
      </c>
      <c r="B595" s="2" t="s">
        <v>188</v>
      </c>
      <c r="C595" s="2" t="s">
        <v>189</v>
      </c>
      <c r="D595" s="2" t="s">
        <v>78</v>
      </c>
      <c r="E595" s="2" t="s">
        <v>72</v>
      </c>
      <c r="F595" s="213" t="s">
        <v>79</v>
      </c>
      <c r="G595" s="213" t="s">
        <v>79</v>
      </c>
      <c r="H595" s="213" t="s">
        <v>79</v>
      </c>
      <c r="I595" s="213" t="s">
        <v>79</v>
      </c>
      <c r="J595" s="213" t="s">
        <v>79</v>
      </c>
      <c r="K595" s="213" t="s">
        <v>79</v>
      </c>
      <c r="L595" s="213" t="s">
        <v>79</v>
      </c>
      <c r="M595" s="180">
        <f t="shared" si="9"/>
        <v>0</v>
      </c>
    </row>
    <row r="596" spans="1:13">
      <c r="A596" s="2" t="s">
        <v>214</v>
      </c>
      <c r="B596" s="2" t="s">
        <v>190</v>
      </c>
      <c r="C596" s="2" t="s">
        <v>191</v>
      </c>
      <c r="D596" s="2" t="s">
        <v>78</v>
      </c>
      <c r="E596" s="2" t="s">
        <v>72</v>
      </c>
      <c r="F596" s="213" t="s">
        <v>79</v>
      </c>
      <c r="G596" s="213" t="s">
        <v>79</v>
      </c>
      <c r="H596" s="213" t="s">
        <v>79</v>
      </c>
      <c r="I596" s="213" t="s">
        <v>79</v>
      </c>
      <c r="J596" s="213" t="s">
        <v>79</v>
      </c>
      <c r="K596" s="213" t="s">
        <v>79</v>
      </c>
      <c r="L596" s="213" t="s">
        <v>79</v>
      </c>
      <c r="M596" s="180">
        <f t="shared" si="9"/>
        <v>0</v>
      </c>
    </row>
    <row r="597" spans="1:13">
      <c r="A597" s="2" t="s">
        <v>214</v>
      </c>
      <c r="B597" s="2" t="s">
        <v>192</v>
      </c>
      <c r="C597" s="2" t="s">
        <v>193</v>
      </c>
      <c r="D597" s="2" t="s">
        <v>78</v>
      </c>
      <c r="E597" s="2" t="s">
        <v>72</v>
      </c>
      <c r="F597" s="213" t="s">
        <v>79</v>
      </c>
      <c r="G597" s="213" t="s">
        <v>79</v>
      </c>
      <c r="H597" s="213" t="s">
        <v>79</v>
      </c>
      <c r="I597" s="213" t="s">
        <v>79</v>
      </c>
      <c r="J597" s="213" t="s">
        <v>79</v>
      </c>
      <c r="K597" s="213" t="s">
        <v>79</v>
      </c>
      <c r="L597" s="213" t="s">
        <v>79</v>
      </c>
      <c r="M597" s="180">
        <f t="shared" si="9"/>
        <v>0</v>
      </c>
    </row>
    <row r="598" spans="1:13">
      <c r="A598" s="2" t="s">
        <v>214</v>
      </c>
      <c r="B598" s="2" t="s">
        <v>194</v>
      </c>
      <c r="C598" s="2" t="s">
        <v>195</v>
      </c>
      <c r="D598" s="2" t="s">
        <v>78</v>
      </c>
      <c r="E598" s="2" t="s">
        <v>72</v>
      </c>
      <c r="F598" s="213" t="s">
        <v>79</v>
      </c>
      <c r="G598" s="213" t="s">
        <v>79</v>
      </c>
      <c r="H598" s="213" t="s">
        <v>79</v>
      </c>
      <c r="I598" s="213" t="s">
        <v>79</v>
      </c>
      <c r="J598" s="213" t="s">
        <v>79</v>
      </c>
      <c r="K598" s="213" t="s">
        <v>79</v>
      </c>
      <c r="L598" s="213" t="s">
        <v>79</v>
      </c>
      <c r="M598" s="180">
        <f t="shared" si="9"/>
        <v>0</v>
      </c>
    </row>
    <row r="599" spans="1:13">
      <c r="A599" s="2" t="s">
        <v>214</v>
      </c>
      <c r="B599" s="2" t="s">
        <v>196</v>
      </c>
      <c r="C599" s="2" t="s">
        <v>197</v>
      </c>
      <c r="D599" s="2" t="s">
        <v>78</v>
      </c>
      <c r="E599" s="2" t="s">
        <v>72</v>
      </c>
      <c r="F599" s="213" t="s">
        <v>79</v>
      </c>
      <c r="G599" s="213" t="s">
        <v>79</v>
      </c>
      <c r="H599" s="213" t="s">
        <v>79</v>
      </c>
      <c r="I599" s="213" t="s">
        <v>79</v>
      </c>
      <c r="J599" s="213" t="s">
        <v>79</v>
      </c>
      <c r="K599" s="213" t="s">
        <v>79</v>
      </c>
      <c r="L599" s="213" t="s">
        <v>79</v>
      </c>
      <c r="M599" s="180">
        <f t="shared" si="9"/>
        <v>0</v>
      </c>
    </row>
    <row r="600" spans="1:13">
      <c r="A600" s="2" t="s">
        <v>214</v>
      </c>
      <c r="B600" s="2" t="s">
        <v>198</v>
      </c>
      <c r="C600" s="2" t="s">
        <v>199</v>
      </c>
      <c r="D600" s="2" t="s">
        <v>78</v>
      </c>
      <c r="E600" s="2" t="s">
        <v>72</v>
      </c>
      <c r="F600" s="213" t="s">
        <v>79</v>
      </c>
      <c r="G600" s="213" t="s">
        <v>79</v>
      </c>
      <c r="H600" s="213" t="s">
        <v>79</v>
      </c>
      <c r="I600" s="213" t="s">
        <v>79</v>
      </c>
      <c r="J600" s="213" t="s">
        <v>79</v>
      </c>
      <c r="K600" s="213" t="s">
        <v>79</v>
      </c>
      <c r="L600" s="213" t="s">
        <v>79</v>
      </c>
      <c r="M600" s="180">
        <f t="shared" si="9"/>
        <v>0</v>
      </c>
    </row>
    <row r="601" spans="1:13">
      <c r="A601" s="2" t="s">
        <v>214</v>
      </c>
      <c r="B601" s="2" t="s">
        <v>200</v>
      </c>
      <c r="C601" s="2" t="s">
        <v>201</v>
      </c>
      <c r="D601" s="2" t="s">
        <v>78</v>
      </c>
      <c r="E601" s="2" t="s">
        <v>72</v>
      </c>
      <c r="F601" s="213" t="s">
        <v>79</v>
      </c>
      <c r="G601" s="213" t="s">
        <v>79</v>
      </c>
      <c r="H601" s="213" t="s">
        <v>79</v>
      </c>
      <c r="I601" s="213" t="s">
        <v>79</v>
      </c>
      <c r="J601" s="213" t="s">
        <v>79</v>
      </c>
      <c r="K601" s="213" t="s">
        <v>79</v>
      </c>
      <c r="L601" s="213" t="s">
        <v>79</v>
      </c>
      <c r="M601" s="180">
        <f t="shared" si="9"/>
        <v>0</v>
      </c>
    </row>
    <row r="602" spans="1:13">
      <c r="A602" s="2" t="s">
        <v>214</v>
      </c>
      <c r="B602" s="2" t="s">
        <v>202</v>
      </c>
      <c r="C602" s="2" t="s">
        <v>203</v>
      </c>
      <c r="D602" s="2" t="s">
        <v>78</v>
      </c>
      <c r="E602" s="2" t="s">
        <v>72</v>
      </c>
      <c r="F602" s="213" t="s">
        <v>79</v>
      </c>
      <c r="G602" s="213" t="s">
        <v>79</v>
      </c>
      <c r="H602" s="213" t="s">
        <v>79</v>
      </c>
      <c r="I602" s="213" t="s">
        <v>79</v>
      </c>
      <c r="J602" s="213" t="s">
        <v>79</v>
      </c>
      <c r="K602" s="213" t="s">
        <v>79</v>
      </c>
      <c r="L602" s="213" t="s">
        <v>79</v>
      </c>
      <c r="M602" s="180">
        <f t="shared" si="9"/>
        <v>0</v>
      </c>
    </row>
    <row r="603" spans="1:13">
      <c r="A603" s="2" t="s">
        <v>214</v>
      </c>
      <c r="B603" s="2" t="s">
        <v>204</v>
      </c>
      <c r="C603" s="2" t="s">
        <v>205</v>
      </c>
      <c r="D603" s="2" t="s">
        <v>78</v>
      </c>
      <c r="E603" s="2" t="s">
        <v>72</v>
      </c>
      <c r="F603" s="213" t="s">
        <v>79</v>
      </c>
      <c r="G603" s="213" t="s">
        <v>79</v>
      </c>
      <c r="H603" s="213" t="s">
        <v>79</v>
      </c>
      <c r="I603" s="213" t="s">
        <v>79</v>
      </c>
      <c r="J603" s="213" t="s">
        <v>79</v>
      </c>
      <c r="K603" s="213" t="s">
        <v>79</v>
      </c>
      <c r="L603" s="213" t="s">
        <v>79</v>
      </c>
      <c r="M603" s="180">
        <f t="shared" si="9"/>
        <v>0</v>
      </c>
    </row>
    <row r="604" spans="1:13">
      <c r="A604" s="2" t="s">
        <v>214</v>
      </c>
      <c r="B604" s="2" t="s">
        <v>206</v>
      </c>
      <c r="C604" s="2" t="s">
        <v>207</v>
      </c>
      <c r="D604" s="2" t="s">
        <v>78</v>
      </c>
      <c r="E604" s="2" t="s">
        <v>72</v>
      </c>
      <c r="F604" s="213" t="s">
        <v>79</v>
      </c>
      <c r="G604" s="213" t="s">
        <v>79</v>
      </c>
      <c r="H604" s="213" t="s">
        <v>79</v>
      </c>
      <c r="I604" s="213" t="s">
        <v>79</v>
      </c>
      <c r="J604" s="213" t="s">
        <v>79</v>
      </c>
      <c r="K604" s="213" t="s">
        <v>79</v>
      </c>
      <c r="L604" s="213" t="s">
        <v>79</v>
      </c>
      <c r="M604" s="180">
        <f t="shared" si="9"/>
        <v>0</v>
      </c>
    </row>
    <row r="605" spans="1:13">
      <c r="A605" s="2" t="s">
        <v>214</v>
      </c>
      <c r="B605" s="2" t="s">
        <v>208</v>
      </c>
      <c r="C605" s="2" t="s">
        <v>209</v>
      </c>
      <c r="D605" s="2" t="s">
        <v>78</v>
      </c>
      <c r="E605" s="2" t="s">
        <v>72</v>
      </c>
      <c r="F605" s="213" t="s">
        <v>79</v>
      </c>
      <c r="G605" s="213" t="s">
        <v>79</v>
      </c>
      <c r="H605" s="213" t="s">
        <v>79</v>
      </c>
      <c r="I605" s="213" t="s">
        <v>79</v>
      </c>
      <c r="J605" s="213" t="s">
        <v>79</v>
      </c>
      <c r="K605" s="213" t="s">
        <v>79</v>
      </c>
      <c r="L605" s="213" t="s">
        <v>79</v>
      </c>
      <c r="M605" s="180">
        <f t="shared" si="9"/>
        <v>0</v>
      </c>
    </row>
    <row r="606" spans="1:13">
      <c r="A606" s="2" t="s">
        <v>214</v>
      </c>
      <c r="B606" s="2" t="s">
        <v>210</v>
      </c>
      <c r="C606" s="2" t="s">
        <v>211</v>
      </c>
      <c r="D606" s="2" t="s">
        <v>78</v>
      </c>
      <c r="E606" s="2" t="s">
        <v>72</v>
      </c>
      <c r="F606" s="213" t="s">
        <v>79</v>
      </c>
      <c r="G606" s="213" t="s">
        <v>79</v>
      </c>
      <c r="H606" s="213" t="s">
        <v>79</v>
      </c>
      <c r="I606" s="213" t="s">
        <v>79</v>
      </c>
      <c r="J606" s="213" t="s">
        <v>79</v>
      </c>
      <c r="K606" s="213" t="s">
        <v>79</v>
      </c>
      <c r="L606" s="213" t="s">
        <v>79</v>
      </c>
      <c r="M606" s="180">
        <f t="shared" si="9"/>
        <v>0</v>
      </c>
    </row>
    <row r="607" spans="1:13">
      <c r="A607" s="2" t="s">
        <v>215</v>
      </c>
      <c r="B607" s="2" t="s">
        <v>126</v>
      </c>
      <c r="C607" s="2" t="s">
        <v>127</v>
      </c>
      <c r="D607" s="2" t="s">
        <v>78</v>
      </c>
      <c r="E607" s="2" t="s">
        <v>72</v>
      </c>
      <c r="F607" s="213" t="s">
        <v>79</v>
      </c>
      <c r="G607" s="213" t="s">
        <v>79</v>
      </c>
      <c r="H607" s="213" t="s">
        <v>79</v>
      </c>
      <c r="I607" s="213" t="s">
        <v>79</v>
      </c>
      <c r="J607" s="213" t="s">
        <v>79</v>
      </c>
      <c r="K607" s="213" t="s">
        <v>79</v>
      </c>
      <c r="L607" s="213" t="s">
        <v>79</v>
      </c>
      <c r="M607" s="180">
        <f t="shared" si="9"/>
        <v>0</v>
      </c>
    </row>
    <row r="608" spans="1:13">
      <c r="A608" s="2" t="s">
        <v>215</v>
      </c>
      <c r="B608" s="2" t="s">
        <v>128</v>
      </c>
      <c r="C608" s="2" t="s">
        <v>129</v>
      </c>
      <c r="D608" s="2" t="s">
        <v>78</v>
      </c>
      <c r="E608" s="2" t="s">
        <v>72</v>
      </c>
      <c r="F608" s="213" t="s">
        <v>79</v>
      </c>
      <c r="G608" s="213" t="s">
        <v>79</v>
      </c>
      <c r="H608" s="213" t="s">
        <v>79</v>
      </c>
      <c r="I608" s="213" t="s">
        <v>79</v>
      </c>
      <c r="J608" s="213" t="s">
        <v>79</v>
      </c>
      <c r="K608" s="213" t="s">
        <v>79</v>
      </c>
      <c r="L608" s="213" t="s">
        <v>79</v>
      </c>
      <c r="M608" s="180">
        <f t="shared" si="9"/>
        <v>0</v>
      </c>
    </row>
    <row r="609" spans="1:13">
      <c r="A609" s="2" t="s">
        <v>215</v>
      </c>
      <c r="B609" s="2" t="s">
        <v>130</v>
      </c>
      <c r="C609" s="2" t="s">
        <v>131</v>
      </c>
      <c r="D609" s="2" t="s">
        <v>78</v>
      </c>
      <c r="E609" s="2" t="s">
        <v>72</v>
      </c>
      <c r="F609" s="213" t="s">
        <v>79</v>
      </c>
      <c r="G609" s="213" t="s">
        <v>79</v>
      </c>
      <c r="H609" s="213" t="s">
        <v>79</v>
      </c>
      <c r="I609" s="213" t="s">
        <v>79</v>
      </c>
      <c r="J609" s="213" t="s">
        <v>79</v>
      </c>
      <c r="K609" s="213" t="s">
        <v>79</v>
      </c>
      <c r="L609" s="213" t="s">
        <v>79</v>
      </c>
      <c r="M609" s="180">
        <f t="shared" si="9"/>
        <v>0</v>
      </c>
    </row>
    <row r="610" spans="1:13">
      <c r="A610" s="2" t="s">
        <v>215</v>
      </c>
      <c r="B610" s="2" t="s">
        <v>132</v>
      </c>
      <c r="C610" s="2" t="s">
        <v>133</v>
      </c>
      <c r="D610" s="2" t="s">
        <v>78</v>
      </c>
      <c r="E610" s="2" t="s">
        <v>72</v>
      </c>
      <c r="F610" s="213" t="s">
        <v>79</v>
      </c>
      <c r="G610" s="213" t="s">
        <v>79</v>
      </c>
      <c r="H610" s="213" t="s">
        <v>79</v>
      </c>
      <c r="I610" s="213" t="s">
        <v>79</v>
      </c>
      <c r="J610" s="213" t="s">
        <v>79</v>
      </c>
      <c r="K610" s="213" t="s">
        <v>79</v>
      </c>
      <c r="L610" s="213" t="s">
        <v>79</v>
      </c>
      <c r="M610" s="180">
        <f t="shared" si="9"/>
        <v>0</v>
      </c>
    </row>
    <row r="611" spans="1:13">
      <c r="A611" s="2" t="s">
        <v>215</v>
      </c>
      <c r="B611" s="2" t="s">
        <v>134</v>
      </c>
      <c r="C611" s="2" t="s">
        <v>135</v>
      </c>
      <c r="D611" s="2" t="s">
        <v>78</v>
      </c>
      <c r="E611" s="2" t="s">
        <v>72</v>
      </c>
      <c r="F611" s="213" t="s">
        <v>79</v>
      </c>
      <c r="G611" s="213" t="s">
        <v>79</v>
      </c>
      <c r="H611" s="213" t="s">
        <v>79</v>
      </c>
      <c r="I611" s="213" t="s">
        <v>79</v>
      </c>
      <c r="J611" s="213" t="s">
        <v>79</v>
      </c>
      <c r="K611" s="213" t="s">
        <v>79</v>
      </c>
      <c r="L611" s="213" t="s">
        <v>79</v>
      </c>
      <c r="M611" s="180">
        <f t="shared" si="9"/>
        <v>0</v>
      </c>
    </row>
    <row r="612" spans="1:13">
      <c r="A612" s="2" t="s">
        <v>215</v>
      </c>
      <c r="B612" s="2" t="s">
        <v>136</v>
      </c>
      <c r="C612" s="2" t="s">
        <v>137</v>
      </c>
      <c r="D612" s="2" t="s">
        <v>78</v>
      </c>
      <c r="E612" s="2" t="s">
        <v>72</v>
      </c>
      <c r="F612" s="213" t="s">
        <v>79</v>
      </c>
      <c r="G612" s="213" t="s">
        <v>79</v>
      </c>
      <c r="H612" s="213" t="s">
        <v>79</v>
      </c>
      <c r="I612" s="213" t="s">
        <v>79</v>
      </c>
      <c r="J612" s="213" t="s">
        <v>79</v>
      </c>
      <c r="K612" s="213" t="s">
        <v>79</v>
      </c>
      <c r="L612" s="213" t="s">
        <v>79</v>
      </c>
      <c r="M612" s="180">
        <f t="shared" si="9"/>
        <v>0</v>
      </c>
    </row>
    <row r="613" spans="1:13">
      <c r="A613" s="2" t="s">
        <v>215</v>
      </c>
      <c r="B613" s="2" t="s">
        <v>138</v>
      </c>
      <c r="C613" s="2" t="s">
        <v>139</v>
      </c>
      <c r="D613" s="2" t="s">
        <v>78</v>
      </c>
      <c r="E613" s="2" t="s">
        <v>72</v>
      </c>
      <c r="F613" s="213" t="s">
        <v>79</v>
      </c>
      <c r="G613" s="213" t="s">
        <v>79</v>
      </c>
      <c r="H613" s="213" t="s">
        <v>79</v>
      </c>
      <c r="I613" s="213" t="s">
        <v>79</v>
      </c>
      <c r="J613" s="213" t="s">
        <v>79</v>
      </c>
      <c r="K613" s="213" t="s">
        <v>79</v>
      </c>
      <c r="L613" s="213" t="s">
        <v>79</v>
      </c>
      <c r="M613" s="180">
        <f t="shared" si="9"/>
        <v>0</v>
      </c>
    </row>
    <row r="614" spans="1:13">
      <c r="A614" s="2" t="s">
        <v>215</v>
      </c>
      <c r="B614" s="2" t="s">
        <v>140</v>
      </c>
      <c r="C614" s="2" t="s">
        <v>141</v>
      </c>
      <c r="D614" s="2" t="s">
        <v>78</v>
      </c>
      <c r="E614" s="2" t="s">
        <v>72</v>
      </c>
      <c r="F614" s="213" t="s">
        <v>79</v>
      </c>
      <c r="G614" s="213" t="s">
        <v>79</v>
      </c>
      <c r="H614" s="213" t="s">
        <v>79</v>
      </c>
      <c r="I614" s="213" t="s">
        <v>79</v>
      </c>
      <c r="J614" s="213" t="s">
        <v>79</v>
      </c>
      <c r="K614" s="213" t="s">
        <v>79</v>
      </c>
      <c r="L614" s="213" t="s">
        <v>79</v>
      </c>
      <c r="M614" s="180">
        <f t="shared" si="9"/>
        <v>0</v>
      </c>
    </row>
    <row r="615" spans="1:13">
      <c r="A615" s="2" t="s">
        <v>215</v>
      </c>
      <c r="B615" s="2" t="s">
        <v>142</v>
      </c>
      <c r="C615" s="2" t="s">
        <v>143</v>
      </c>
      <c r="D615" s="2" t="s">
        <v>78</v>
      </c>
      <c r="E615" s="2" t="s">
        <v>72</v>
      </c>
      <c r="F615" s="213" t="s">
        <v>79</v>
      </c>
      <c r="G615" s="213" t="s">
        <v>79</v>
      </c>
      <c r="H615" s="213" t="s">
        <v>79</v>
      </c>
      <c r="I615" s="213" t="s">
        <v>79</v>
      </c>
      <c r="J615" s="213" t="s">
        <v>79</v>
      </c>
      <c r="K615" s="213" t="s">
        <v>79</v>
      </c>
      <c r="L615" s="213" t="s">
        <v>79</v>
      </c>
      <c r="M615" s="180">
        <f t="shared" si="9"/>
        <v>0</v>
      </c>
    </row>
    <row r="616" spans="1:13">
      <c r="A616" s="2" t="s">
        <v>215</v>
      </c>
      <c r="B616" s="2" t="s">
        <v>144</v>
      </c>
      <c r="C616" s="2" t="s">
        <v>145</v>
      </c>
      <c r="D616" s="2" t="s">
        <v>78</v>
      </c>
      <c r="E616" s="2" t="s">
        <v>72</v>
      </c>
      <c r="F616" s="213" t="s">
        <v>79</v>
      </c>
      <c r="G616" s="213" t="s">
        <v>79</v>
      </c>
      <c r="H616" s="213" t="s">
        <v>79</v>
      </c>
      <c r="I616" s="213" t="s">
        <v>79</v>
      </c>
      <c r="J616" s="213" t="s">
        <v>79</v>
      </c>
      <c r="K616" s="213" t="s">
        <v>79</v>
      </c>
      <c r="L616" s="213" t="s">
        <v>79</v>
      </c>
      <c r="M616" s="180">
        <f t="shared" si="9"/>
        <v>0</v>
      </c>
    </row>
    <row r="617" spans="1:13">
      <c r="A617" s="2" t="s">
        <v>215</v>
      </c>
      <c r="B617" s="2" t="s">
        <v>146</v>
      </c>
      <c r="C617" s="2" t="s">
        <v>147</v>
      </c>
      <c r="D617" s="2" t="s">
        <v>78</v>
      </c>
      <c r="E617" s="2" t="s">
        <v>72</v>
      </c>
      <c r="F617" s="213" t="s">
        <v>79</v>
      </c>
      <c r="G617" s="213" t="s">
        <v>79</v>
      </c>
      <c r="H617" s="213" t="s">
        <v>79</v>
      </c>
      <c r="I617" s="213" t="s">
        <v>79</v>
      </c>
      <c r="J617" s="213" t="s">
        <v>79</v>
      </c>
      <c r="K617" s="213" t="s">
        <v>79</v>
      </c>
      <c r="L617" s="213" t="s">
        <v>79</v>
      </c>
      <c r="M617" s="180">
        <f t="shared" si="9"/>
        <v>0</v>
      </c>
    </row>
    <row r="618" spans="1:13">
      <c r="A618" s="2" t="s">
        <v>215</v>
      </c>
      <c r="B618" s="2" t="s">
        <v>148</v>
      </c>
      <c r="C618" s="2" t="s">
        <v>149</v>
      </c>
      <c r="D618" s="2" t="s">
        <v>78</v>
      </c>
      <c r="E618" s="2" t="s">
        <v>72</v>
      </c>
      <c r="F618" s="213" t="s">
        <v>79</v>
      </c>
      <c r="G618" s="213" t="s">
        <v>79</v>
      </c>
      <c r="H618" s="213" t="s">
        <v>79</v>
      </c>
      <c r="I618" s="213" t="s">
        <v>79</v>
      </c>
      <c r="J618" s="213" t="s">
        <v>79</v>
      </c>
      <c r="K618" s="213" t="s">
        <v>79</v>
      </c>
      <c r="L618" s="213" t="s">
        <v>79</v>
      </c>
      <c r="M618" s="180">
        <f t="shared" si="9"/>
        <v>0</v>
      </c>
    </row>
    <row r="619" spans="1:13">
      <c r="A619" s="2" t="s">
        <v>215</v>
      </c>
      <c r="B619" s="2" t="s">
        <v>150</v>
      </c>
      <c r="C619" s="2" t="s">
        <v>151</v>
      </c>
      <c r="D619" s="2" t="s">
        <v>78</v>
      </c>
      <c r="E619" s="2" t="s">
        <v>72</v>
      </c>
      <c r="F619" s="213" t="s">
        <v>79</v>
      </c>
      <c r="G619" s="213" t="s">
        <v>79</v>
      </c>
      <c r="H619" s="213" t="s">
        <v>79</v>
      </c>
      <c r="I619" s="213" t="s">
        <v>79</v>
      </c>
      <c r="J619" s="213" t="s">
        <v>79</v>
      </c>
      <c r="K619" s="213" t="s">
        <v>79</v>
      </c>
      <c r="L619" s="213" t="s">
        <v>79</v>
      </c>
      <c r="M619" s="180">
        <f t="shared" si="9"/>
        <v>0</v>
      </c>
    </row>
    <row r="620" spans="1:13">
      <c r="A620" s="2" t="s">
        <v>215</v>
      </c>
      <c r="B620" s="2" t="s">
        <v>152</v>
      </c>
      <c r="C620" s="2" t="s">
        <v>153</v>
      </c>
      <c r="D620" s="2" t="s">
        <v>78</v>
      </c>
      <c r="E620" s="2" t="s">
        <v>72</v>
      </c>
      <c r="F620" s="213" t="s">
        <v>79</v>
      </c>
      <c r="G620" s="213" t="s">
        <v>79</v>
      </c>
      <c r="H620" s="213" t="s">
        <v>79</v>
      </c>
      <c r="I620" s="213" t="s">
        <v>79</v>
      </c>
      <c r="J620" s="213" t="s">
        <v>79</v>
      </c>
      <c r="K620" s="213" t="s">
        <v>79</v>
      </c>
      <c r="L620" s="213" t="s">
        <v>79</v>
      </c>
      <c r="M620" s="180">
        <f t="shared" si="9"/>
        <v>0</v>
      </c>
    </row>
    <row r="621" spans="1:13">
      <c r="A621" s="2" t="s">
        <v>215</v>
      </c>
      <c r="B621" s="2" t="s">
        <v>154</v>
      </c>
      <c r="C621" s="2" t="s">
        <v>155</v>
      </c>
      <c r="D621" s="2" t="s">
        <v>78</v>
      </c>
      <c r="E621" s="2" t="s">
        <v>72</v>
      </c>
      <c r="F621" s="213" t="s">
        <v>79</v>
      </c>
      <c r="G621" s="213" t="s">
        <v>79</v>
      </c>
      <c r="H621" s="213" t="s">
        <v>79</v>
      </c>
      <c r="I621" s="213" t="s">
        <v>79</v>
      </c>
      <c r="J621" s="213" t="s">
        <v>79</v>
      </c>
      <c r="K621" s="213" t="s">
        <v>79</v>
      </c>
      <c r="L621" s="213" t="s">
        <v>79</v>
      </c>
      <c r="M621" s="180">
        <f t="shared" si="9"/>
        <v>0</v>
      </c>
    </row>
    <row r="622" spans="1:13">
      <c r="A622" s="2" t="s">
        <v>215</v>
      </c>
      <c r="B622" s="2" t="s">
        <v>156</v>
      </c>
      <c r="C622" s="2" t="s">
        <v>157</v>
      </c>
      <c r="D622" s="2" t="s">
        <v>78</v>
      </c>
      <c r="E622" s="2" t="s">
        <v>72</v>
      </c>
      <c r="F622" s="213" t="s">
        <v>79</v>
      </c>
      <c r="G622" s="213" t="s">
        <v>79</v>
      </c>
      <c r="H622" s="213" t="s">
        <v>79</v>
      </c>
      <c r="I622" s="213" t="s">
        <v>79</v>
      </c>
      <c r="J622" s="213" t="s">
        <v>79</v>
      </c>
      <c r="K622" s="213" t="s">
        <v>79</v>
      </c>
      <c r="L622" s="213" t="s">
        <v>79</v>
      </c>
      <c r="M622" s="180">
        <f t="shared" si="9"/>
        <v>0</v>
      </c>
    </row>
    <row r="623" spans="1:13">
      <c r="A623" s="2" t="s">
        <v>215</v>
      </c>
      <c r="B623" s="2" t="s">
        <v>158</v>
      </c>
      <c r="C623" s="2" t="s">
        <v>159</v>
      </c>
      <c r="D623" s="2" t="s">
        <v>78</v>
      </c>
      <c r="E623" s="2" t="s">
        <v>72</v>
      </c>
      <c r="F623" s="213" t="s">
        <v>79</v>
      </c>
      <c r="G623" s="213" t="s">
        <v>79</v>
      </c>
      <c r="H623" s="213" t="s">
        <v>79</v>
      </c>
      <c r="I623" s="213" t="s">
        <v>79</v>
      </c>
      <c r="J623" s="213" t="s">
        <v>79</v>
      </c>
      <c r="K623" s="213" t="s">
        <v>79</v>
      </c>
      <c r="L623" s="213" t="s">
        <v>79</v>
      </c>
      <c r="M623" s="180">
        <f t="shared" si="9"/>
        <v>0</v>
      </c>
    </row>
    <row r="624" spans="1:13">
      <c r="A624" s="2" t="s">
        <v>215</v>
      </c>
      <c r="B624" s="2" t="s">
        <v>160</v>
      </c>
      <c r="C624" s="2" t="s">
        <v>161</v>
      </c>
      <c r="D624" s="2" t="s">
        <v>78</v>
      </c>
      <c r="E624" s="2" t="s">
        <v>72</v>
      </c>
      <c r="F624" s="213" t="s">
        <v>79</v>
      </c>
      <c r="G624" s="213" t="s">
        <v>79</v>
      </c>
      <c r="H624" s="213" t="s">
        <v>79</v>
      </c>
      <c r="I624" s="213" t="s">
        <v>79</v>
      </c>
      <c r="J624" s="213" t="s">
        <v>79</v>
      </c>
      <c r="K624" s="213" t="s">
        <v>79</v>
      </c>
      <c r="L624" s="213" t="s">
        <v>79</v>
      </c>
      <c r="M624" s="180">
        <f t="shared" si="9"/>
        <v>0</v>
      </c>
    </row>
    <row r="625" spans="1:13">
      <c r="A625" s="2" t="s">
        <v>215</v>
      </c>
      <c r="B625" s="2" t="s">
        <v>162</v>
      </c>
      <c r="C625" s="2" t="s">
        <v>163</v>
      </c>
      <c r="D625" s="2" t="s">
        <v>78</v>
      </c>
      <c r="E625" s="2" t="s">
        <v>72</v>
      </c>
      <c r="F625" s="213" t="s">
        <v>79</v>
      </c>
      <c r="G625" s="213" t="s">
        <v>79</v>
      </c>
      <c r="H625" s="213" t="s">
        <v>79</v>
      </c>
      <c r="I625" s="213" t="s">
        <v>79</v>
      </c>
      <c r="J625" s="213" t="s">
        <v>79</v>
      </c>
      <c r="K625" s="213" t="s">
        <v>79</v>
      </c>
      <c r="L625" s="213" t="s">
        <v>79</v>
      </c>
      <c r="M625" s="180">
        <f t="shared" si="9"/>
        <v>0</v>
      </c>
    </row>
    <row r="626" spans="1:13">
      <c r="A626" s="2" t="s">
        <v>215</v>
      </c>
      <c r="B626" s="2" t="s">
        <v>164</v>
      </c>
      <c r="C626" s="2" t="s">
        <v>165</v>
      </c>
      <c r="D626" s="2" t="s">
        <v>78</v>
      </c>
      <c r="E626" s="2" t="s">
        <v>72</v>
      </c>
      <c r="F626" s="213" t="s">
        <v>79</v>
      </c>
      <c r="G626" s="213" t="s">
        <v>79</v>
      </c>
      <c r="H626" s="213" t="s">
        <v>79</v>
      </c>
      <c r="I626" s="213" t="s">
        <v>79</v>
      </c>
      <c r="J626" s="213" t="s">
        <v>79</v>
      </c>
      <c r="K626" s="213" t="s">
        <v>79</v>
      </c>
      <c r="L626" s="213" t="s">
        <v>79</v>
      </c>
      <c r="M626" s="180">
        <f t="shared" si="9"/>
        <v>0</v>
      </c>
    </row>
    <row r="627" spans="1:13">
      <c r="A627" s="2" t="s">
        <v>215</v>
      </c>
      <c r="B627" s="2" t="s">
        <v>166</v>
      </c>
      <c r="C627" s="2" t="s">
        <v>167</v>
      </c>
      <c r="D627" s="2" t="s">
        <v>78</v>
      </c>
      <c r="E627" s="2" t="s">
        <v>72</v>
      </c>
      <c r="F627" s="213" t="s">
        <v>79</v>
      </c>
      <c r="G627" s="213" t="s">
        <v>79</v>
      </c>
      <c r="H627" s="213" t="s">
        <v>79</v>
      </c>
      <c r="I627" s="213" t="s">
        <v>79</v>
      </c>
      <c r="J627" s="213" t="s">
        <v>79</v>
      </c>
      <c r="K627" s="213" t="s">
        <v>79</v>
      </c>
      <c r="L627" s="213" t="s">
        <v>79</v>
      </c>
      <c r="M627" s="180">
        <f t="shared" si="9"/>
        <v>0</v>
      </c>
    </row>
    <row r="628" spans="1:13">
      <c r="A628" s="2" t="s">
        <v>215</v>
      </c>
      <c r="B628" s="2" t="s">
        <v>168</v>
      </c>
      <c r="C628" s="2" t="s">
        <v>169</v>
      </c>
      <c r="D628" s="2" t="s">
        <v>78</v>
      </c>
      <c r="E628" s="2" t="s">
        <v>72</v>
      </c>
      <c r="F628" s="213" t="s">
        <v>79</v>
      </c>
      <c r="G628" s="213" t="s">
        <v>79</v>
      </c>
      <c r="H628" s="213" t="s">
        <v>79</v>
      </c>
      <c r="I628" s="213" t="s">
        <v>79</v>
      </c>
      <c r="J628" s="213" t="s">
        <v>79</v>
      </c>
      <c r="K628" s="213" t="s">
        <v>79</v>
      </c>
      <c r="L628" s="213" t="s">
        <v>79</v>
      </c>
      <c r="M628" s="180">
        <f t="shared" si="9"/>
        <v>0</v>
      </c>
    </row>
    <row r="629" spans="1:13">
      <c r="A629" s="2" t="s">
        <v>215</v>
      </c>
      <c r="B629" s="2" t="s">
        <v>170</v>
      </c>
      <c r="C629" s="2" t="s">
        <v>171</v>
      </c>
      <c r="D629" s="2" t="s">
        <v>78</v>
      </c>
      <c r="E629" s="2" t="s">
        <v>72</v>
      </c>
      <c r="F629" s="213" t="s">
        <v>79</v>
      </c>
      <c r="G629" s="213" t="s">
        <v>79</v>
      </c>
      <c r="H629" s="213" t="s">
        <v>79</v>
      </c>
      <c r="I629" s="213" t="s">
        <v>79</v>
      </c>
      <c r="J629" s="213" t="s">
        <v>79</v>
      </c>
      <c r="K629" s="213" t="s">
        <v>79</v>
      </c>
      <c r="L629" s="213" t="s">
        <v>79</v>
      </c>
      <c r="M629" s="180">
        <f t="shared" si="9"/>
        <v>0</v>
      </c>
    </row>
    <row r="630" spans="1:13">
      <c r="A630" s="2" t="s">
        <v>215</v>
      </c>
      <c r="B630" s="2" t="s">
        <v>172</v>
      </c>
      <c r="C630" s="2" t="s">
        <v>173</v>
      </c>
      <c r="D630" s="2" t="s">
        <v>78</v>
      </c>
      <c r="E630" s="2" t="s">
        <v>72</v>
      </c>
      <c r="F630" s="213" t="s">
        <v>79</v>
      </c>
      <c r="G630" s="213" t="s">
        <v>79</v>
      </c>
      <c r="H630" s="213" t="s">
        <v>79</v>
      </c>
      <c r="I630" s="213" t="s">
        <v>79</v>
      </c>
      <c r="J630" s="213" t="s">
        <v>79</v>
      </c>
      <c r="K630" s="213" t="s">
        <v>79</v>
      </c>
      <c r="L630" s="213" t="s">
        <v>79</v>
      </c>
      <c r="M630" s="180">
        <f t="shared" si="9"/>
        <v>0</v>
      </c>
    </row>
    <row r="631" spans="1:13">
      <c r="A631" s="2" t="s">
        <v>215</v>
      </c>
      <c r="B631" s="2" t="s">
        <v>174</v>
      </c>
      <c r="C631" s="2" t="s">
        <v>175</v>
      </c>
      <c r="D631" s="2" t="s">
        <v>78</v>
      </c>
      <c r="E631" s="2" t="s">
        <v>72</v>
      </c>
      <c r="F631" s="213" t="s">
        <v>79</v>
      </c>
      <c r="G631" s="213" t="s">
        <v>79</v>
      </c>
      <c r="H631" s="213" t="s">
        <v>79</v>
      </c>
      <c r="I631" s="213" t="s">
        <v>79</v>
      </c>
      <c r="J631" s="213" t="s">
        <v>79</v>
      </c>
      <c r="K631" s="213" t="s">
        <v>79</v>
      </c>
      <c r="L631" s="213" t="s">
        <v>79</v>
      </c>
      <c r="M631" s="180">
        <f t="shared" si="9"/>
        <v>0</v>
      </c>
    </row>
    <row r="632" spans="1:13">
      <c r="A632" s="2" t="s">
        <v>215</v>
      </c>
      <c r="B632" s="2" t="s">
        <v>176</v>
      </c>
      <c r="C632" s="2" t="s">
        <v>177</v>
      </c>
      <c r="D632" s="2" t="s">
        <v>78</v>
      </c>
      <c r="E632" s="2" t="s">
        <v>72</v>
      </c>
      <c r="F632" s="213" t="s">
        <v>79</v>
      </c>
      <c r="G632" s="213" t="s">
        <v>79</v>
      </c>
      <c r="H632" s="213" t="s">
        <v>79</v>
      </c>
      <c r="I632" s="213" t="s">
        <v>79</v>
      </c>
      <c r="J632" s="213" t="s">
        <v>79</v>
      </c>
      <c r="K632" s="213" t="s">
        <v>79</v>
      </c>
      <c r="L632" s="213" t="s">
        <v>79</v>
      </c>
      <c r="M632" s="180">
        <f t="shared" si="9"/>
        <v>0</v>
      </c>
    </row>
    <row r="633" spans="1:13">
      <c r="A633" s="2" t="s">
        <v>215</v>
      </c>
      <c r="B633" s="2" t="s">
        <v>178</v>
      </c>
      <c r="C633" s="2" t="s">
        <v>179</v>
      </c>
      <c r="D633" s="2" t="s">
        <v>78</v>
      </c>
      <c r="E633" s="2" t="s">
        <v>72</v>
      </c>
      <c r="F633" s="213" t="s">
        <v>79</v>
      </c>
      <c r="G633" s="213" t="s">
        <v>79</v>
      </c>
      <c r="H633" s="213" t="s">
        <v>79</v>
      </c>
      <c r="I633" s="213" t="s">
        <v>79</v>
      </c>
      <c r="J633" s="213" t="s">
        <v>79</v>
      </c>
      <c r="K633" s="213" t="s">
        <v>79</v>
      </c>
      <c r="L633" s="213" t="s">
        <v>79</v>
      </c>
      <c r="M633" s="180">
        <f t="shared" si="9"/>
        <v>0</v>
      </c>
    </row>
    <row r="634" spans="1:13">
      <c r="A634" s="2" t="s">
        <v>215</v>
      </c>
      <c r="B634" s="2" t="s">
        <v>180</v>
      </c>
      <c r="C634" s="2" t="s">
        <v>181</v>
      </c>
      <c r="D634" s="2" t="s">
        <v>78</v>
      </c>
      <c r="E634" s="2" t="s">
        <v>72</v>
      </c>
      <c r="F634" s="213" t="s">
        <v>79</v>
      </c>
      <c r="G634" s="213" t="s">
        <v>79</v>
      </c>
      <c r="H634" s="213" t="s">
        <v>79</v>
      </c>
      <c r="I634" s="213" t="s">
        <v>79</v>
      </c>
      <c r="J634" s="213" t="s">
        <v>79</v>
      </c>
      <c r="K634" s="213" t="s">
        <v>79</v>
      </c>
      <c r="L634" s="213" t="s">
        <v>79</v>
      </c>
      <c r="M634" s="180">
        <f t="shared" si="9"/>
        <v>0</v>
      </c>
    </row>
    <row r="635" spans="1:13">
      <c r="A635" s="2" t="s">
        <v>215</v>
      </c>
      <c r="B635" s="2" t="s">
        <v>182</v>
      </c>
      <c r="C635" s="2" t="s">
        <v>183</v>
      </c>
      <c r="D635" s="2" t="s">
        <v>78</v>
      </c>
      <c r="E635" s="2" t="s">
        <v>72</v>
      </c>
      <c r="F635" s="213" t="s">
        <v>79</v>
      </c>
      <c r="G635" s="213" t="s">
        <v>79</v>
      </c>
      <c r="H635" s="213" t="s">
        <v>79</v>
      </c>
      <c r="I635" s="213" t="s">
        <v>79</v>
      </c>
      <c r="J635" s="213" t="s">
        <v>79</v>
      </c>
      <c r="K635" s="213" t="s">
        <v>79</v>
      </c>
      <c r="L635" s="213" t="s">
        <v>79</v>
      </c>
      <c r="M635" s="180">
        <f t="shared" si="9"/>
        <v>0</v>
      </c>
    </row>
    <row r="636" spans="1:13">
      <c r="A636" s="2" t="s">
        <v>215</v>
      </c>
      <c r="B636" s="2" t="s">
        <v>184</v>
      </c>
      <c r="C636" s="2" t="s">
        <v>185</v>
      </c>
      <c r="D636" s="2" t="s">
        <v>78</v>
      </c>
      <c r="E636" s="2" t="s">
        <v>72</v>
      </c>
      <c r="F636" s="213" t="s">
        <v>79</v>
      </c>
      <c r="G636" s="213" t="s">
        <v>79</v>
      </c>
      <c r="H636" s="213" t="s">
        <v>79</v>
      </c>
      <c r="I636" s="213" t="s">
        <v>79</v>
      </c>
      <c r="J636" s="213" t="s">
        <v>79</v>
      </c>
      <c r="K636" s="213" t="s">
        <v>79</v>
      </c>
      <c r="L636" s="213" t="s">
        <v>79</v>
      </c>
      <c r="M636" s="180">
        <f t="shared" si="9"/>
        <v>0</v>
      </c>
    </row>
    <row r="637" spans="1:13">
      <c r="A637" s="2" t="s">
        <v>215</v>
      </c>
      <c r="B637" s="2" t="s">
        <v>186</v>
      </c>
      <c r="C637" s="2" t="s">
        <v>187</v>
      </c>
      <c r="D637" s="2" t="s">
        <v>78</v>
      </c>
      <c r="E637" s="2" t="s">
        <v>72</v>
      </c>
      <c r="F637" s="213" t="s">
        <v>79</v>
      </c>
      <c r="G637" s="213" t="s">
        <v>79</v>
      </c>
      <c r="H637" s="213" t="s">
        <v>79</v>
      </c>
      <c r="I637" s="213" t="s">
        <v>79</v>
      </c>
      <c r="J637" s="213" t="s">
        <v>79</v>
      </c>
      <c r="K637" s="213" t="s">
        <v>79</v>
      </c>
      <c r="L637" s="213" t="s">
        <v>79</v>
      </c>
      <c r="M637" s="180">
        <f t="shared" si="9"/>
        <v>0</v>
      </c>
    </row>
    <row r="638" spans="1:13">
      <c r="A638" s="2" t="s">
        <v>215</v>
      </c>
      <c r="B638" s="2" t="s">
        <v>188</v>
      </c>
      <c r="C638" s="2" t="s">
        <v>189</v>
      </c>
      <c r="D638" s="2" t="s">
        <v>78</v>
      </c>
      <c r="E638" s="2" t="s">
        <v>72</v>
      </c>
      <c r="F638" s="213" t="s">
        <v>79</v>
      </c>
      <c r="G638" s="213" t="s">
        <v>79</v>
      </c>
      <c r="H638" s="213" t="s">
        <v>79</v>
      </c>
      <c r="I638" s="213" t="s">
        <v>79</v>
      </c>
      <c r="J638" s="213" t="s">
        <v>79</v>
      </c>
      <c r="K638" s="213" t="s">
        <v>79</v>
      </c>
      <c r="L638" s="213" t="s">
        <v>79</v>
      </c>
      <c r="M638" s="180">
        <f t="shared" si="9"/>
        <v>0</v>
      </c>
    </row>
    <row r="639" spans="1:13">
      <c r="A639" s="2" t="s">
        <v>215</v>
      </c>
      <c r="B639" s="2" t="s">
        <v>190</v>
      </c>
      <c r="C639" s="2" t="s">
        <v>191</v>
      </c>
      <c r="D639" s="2" t="s">
        <v>78</v>
      </c>
      <c r="E639" s="2" t="s">
        <v>72</v>
      </c>
      <c r="F639" s="213" t="s">
        <v>79</v>
      </c>
      <c r="G639" s="213" t="s">
        <v>79</v>
      </c>
      <c r="H639" s="213" t="s">
        <v>79</v>
      </c>
      <c r="I639" s="213" t="s">
        <v>79</v>
      </c>
      <c r="J639" s="213" t="s">
        <v>79</v>
      </c>
      <c r="K639" s="213" t="s">
        <v>79</v>
      </c>
      <c r="L639" s="213" t="s">
        <v>79</v>
      </c>
      <c r="M639" s="180">
        <f t="shared" si="9"/>
        <v>0</v>
      </c>
    </row>
    <row r="640" spans="1:13">
      <c r="A640" s="2" t="s">
        <v>215</v>
      </c>
      <c r="B640" s="2" t="s">
        <v>192</v>
      </c>
      <c r="C640" s="2" t="s">
        <v>193</v>
      </c>
      <c r="D640" s="2" t="s">
        <v>78</v>
      </c>
      <c r="E640" s="2" t="s">
        <v>72</v>
      </c>
      <c r="F640" s="213" t="s">
        <v>79</v>
      </c>
      <c r="G640" s="213" t="s">
        <v>79</v>
      </c>
      <c r="H640" s="213" t="s">
        <v>79</v>
      </c>
      <c r="I640" s="213" t="s">
        <v>79</v>
      </c>
      <c r="J640" s="213" t="s">
        <v>79</v>
      </c>
      <c r="K640" s="213" t="s">
        <v>79</v>
      </c>
      <c r="L640" s="213" t="s">
        <v>79</v>
      </c>
      <c r="M640" s="180">
        <f t="shared" si="9"/>
        <v>0</v>
      </c>
    </row>
    <row r="641" spans="1:13">
      <c r="A641" s="2" t="s">
        <v>215</v>
      </c>
      <c r="B641" s="2" t="s">
        <v>194</v>
      </c>
      <c r="C641" s="2" t="s">
        <v>195</v>
      </c>
      <c r="D641" s="2" t="s">
        <v>78</v>
      </c>
      <c r="E641" s="2" t="s">
        <v>72</v>
      </c>
      <c r="F641" s="213" t="s">
        <v>79</v>
      </c>
      <c r="G641" s="213" t="s">
        <v>79</v>
      </c>
      <c r="H641" s="213" t="s">
        <v>79</v>
      </c>
      <c r="I641" s="213" t="s">
        <v>79</v>
      </c>
      <c r="J641" s="213" t="s">
        <v>79</v>
      </c>
      <c r="K641" s="213" t="s">
        <v>79</v>
      </c>
      <c r="L641" s="213" t="s">
        <v>79</v>
      </c>
      <c r="M641" s="180">
        <f t="shared" si="9"/>
        <v>0</v>
      </c>
    </row>
    <row r="642" spans="1:13">
      <c r="A642" s="2" t="s">
        <v>215</v>
      </c>
      <c r="B642" s="2" t="s">
        <v>196</v>
      </c>
      <c r="C642" s="2" t="s">
        <v>197</v>
      </c>
      <c r="D642" s="2" t="s">
        <v>78</v>
      </c>
      <c r="E642" s="2" t="s">
        <v>72</v>
      </c>
      <c r="F642" s="213" t="s">
        <v>79</v>
      </c>
      <c r="G642" s="213" t="s">
        <v>79</v>
      </c>
      <c r="H642" s="213" t="s">
        <v>79</v>
      </c>
      <c r="I642" s="213" t="s">
        <v>79</v>
      </c>
      <c r="J642" s="213" t="s">
        <v>79</v>
      </c>
      <c r="K642" s="213" t="s">
        <v>79</v>
      </c>
      <c r="L642" s="213" t="s">
        <v>79</v>
      </c>
      <c r="M642" s="180">
        <f t="shared" si="9"/>
        <v>0</v>
      </c>
    </row>
    <row r="643" spans="1:13">
      <c r="A643" s="2" t="s">
        <v>215</v>
      </c>
      <c r="B643" s="2" t="s">
        <v>198</v>
      </c>
      <c r="C643" s="2" t="s">
        <v>199</v>
      </c>
      <c r="D643" s="2" t="s">
        <v>78</v>
      </c>
      <c r="E643" s="2" t="s">
        <v>72</v>
      </c>
      <c r="F643" s="213" t="s">
        <v>79</v>
      </c>
      <c r="G643" s="213" t="s">
        <v>79</v>
      </c>
      <c r="H643" s="213" t="s">
        <v>79</v>
      </c>
      <c r="I643" s="213" t="s">
        <v>79</v>
      </c>
      <c r="J643" s="213" t="s">
        <v>79</v>
      </c>
      <c r="K643" s="213" t="s">
        <v>79</v>
      </c>
      <c r="L643" s="213" t="s">
        <v>79</v>
      </c>
      <c r="M643" s="180">
        <f t="shared" si="9"/>
        <v>0</v>
      </c>
    </row>
    <row r="644" spans="1:13">
      <c r="A644" s="2" t="s">
        <v>215</v>
      </c>
      <c r="B644" s="2" t="s">
        <v>200</v>
      </c>
      <c r="C644" s="2" t="s">
        <v>201</v>
      </c>
      <c r="D644" s="2" t="s">
        <v>78</v>
      </c>
      <c r="E644" s="2" t="s">
        <v>72</v>
      </c>
      <c r="F644" s="213" t="s">
        <v>79</v>
      </c>
      <c r="G644" s="213" t="s">
        <v>79</v>
      </c>
      <c r="H644" s="213" t="s">
        <v>79</v>
      </c>
      <c r="I644" s="213" t="s">
        <v>79</v>
      </c>
      <c r="J644" s="213" t="s">
        <v>79</v>
      </c>
      <c r="K644" s="213" t="s">
        <v>79</v>
      </c>
      <c r="L644" s="213" t="s">
        <v>79</v>
      </c>
      <c r="M644" s="180">
        <f t="shared" si="9"/>
        <v>0</v>
      </c>
    </row>
    <row r="645" spans="1:13">
      <c r="A645" s="2" t="s">
        <v>215</v>
      </c>
      <c r="B645" s="2" t="s">
        <v>202</v>
      </c>
      <c r="C645" s="2" t="s">
        <v>203</v>
      </c>
      <c r="D645" s="2" t="s">
        <v>78</v>
      </c>
      <c r="E645" s="2" t="s">
        <v>72</v>
      </c>
      <c r="F645" s="213" t="s">
        <v>79</v>
      </c>
      <c r="G645" s="213" t="s">
        <v>79</v>
      </c>
      <c r="H645" s="213" t="s">
        <v>79</v>
      </c>
      <c r="I645" s="213" t="s">
        <v>79</v>
      </c>
      <c r="J645" s="213" t="s">
        <v>79</v>
      </c>
      <c r="K645" s="213" t="s">
        <v>79</v>
      </c>
      <c r="L645" s="213" t="s">
        <v>79</v>
      </c>
      <c r="M645" s="180">
        <f t="shared" si="9"/>
        <v>0</v>
      </c>
    </row>
    <row r="646" spans="1:13">
      <c r="A646" s="2" t="s">
        <v>215</v>
      </c>
      <c r="B646" s="2" t="s">
        <v>204</v>
      </c>
      <c r="C646" s="2" t="s">
        <v>205</v>
      </c>
      <c r="D646" s="2" t="s">
        <v>78</v>
      </c>
      <c r="E646" s="2" t="s">
        <v>72</v>
      </c>
      <c r="F646" s="213" t="s">
        <v>79</v>
      </c>
      <c r="G646" s="213" t="s">
        <v>79</v>
      </c>
      <c r="H646" s="213" t="s">
        <v>79</v>
      </c>
      <c r="I646" s="213" t="s">
        <v>79</v>
      </c>
      <c r="J646" s="213" t="s">
        <v>79</v>
      </c>
      <c r="K646" s="213" t="s">
        <v>79</v>
      </c>
      <c r="L646" s="213" t="s">
        <v>79</v>
      </c>
      <c r="M646" s="180">
        <f t="shared" ref="M646:M709" si="10">SUM(F646:L646)</f>
        <v>0</v>
      </c>
    </row>
    <row r="647" spans="1:13">
      <c r="A647" s="2" t="s">
        <v>215</v>
      </c>
      <c r="B647" s="2" t="s">
        <v>206</v>
      </c>
      <c r="C647" s="2" t="s">
        <v>207</v>
      </c>
      <c r="D647" s="2" t="s">
        <v>78</v>
      </c>
      <c r="E647" s="2" t="s">
        <v>72</v>
      </c>
      <c r="F647" s="213" t="s">
        <v>79</v>
      </c>
      <c r="G647" s="213" t="s">
        <v>79</v>
      </c>
      <c r="H647" s="213" t="s">
        <v>79</v>
      </c>
      <c r="I647" s="213" t="s">
        <v>79</v>
      </c>
      <c r="J647" s="213" t="s">
        <v>79</v>
      </c>
      <c r="K647" s="213" t="s">
        <v>79</v>
      </c>
      <c r="L647" s="213" t="s">
        <v>79</v>
      </c>
      <c r="M647" s="180">
        <f t="shared" si="10"/>
        <v>0</v>
      </c>
    </row>
    <row r="648" spans="1:13">
      <c r="A648" s="2" t="s">
        <v>215</v>
      </c>
      <c r="B648" s="2" t="s">
        <v>208</v>
      </c>
      <c r="C648" s="2" t="s">
        <v>209</v>
      </c>
      <c r="D648" s="2" t="s">
        <v>78</v>
      </c>
      <c r="E648" s="2" t="s">
        <v>72</v>
      </c>
      <c r="F648" s="213" t="s">
        <v>79</v>
      </c>
      <c r="G648" s="213" t="s">
        <v>79</v>
      </c>
      <c r="H648" s="213" t="s">
        <v>79</v>
      </c>
      <c r="I648" s="213" t="s">
        <v>79</v>
      </c>
      <c r="J648" s="213" t="s">
        <v>79</v>
      </c>
      <c r="K648" s="213" t="s">
        <v>79</v>
      </c>
      <c r="L648" s="213" t="s">
        <v>79</v>
      </c>
      <c r="M648" s="180">
        <f t="shared" si="10"/>
        <v>0</v>
      </c>
    </row>
    <row r="649" spans="1:13">
      <c r="A649" s="2" t="s">
        <v>215</v>
      </c>
      <c r="B649" s="2" t="s">
        <v>210</v>
      </c>
      <c r="C649" s="2" t="s">
        <v>211</v>
      </c>
      <c r="D649" s="2" t="s">
        <v>78</v>
      </c>
      <c r="E649" s="2" t="s">
        <v>72</v>
      </c>
      <c r="F649" s="213" t="s">
        <v>79</v>
      </c>
      <c r="G649" s="213" t="s">
        <v>79</v>
      </c>
      <c r="H649" s="213" t="s">
        <v>79</v>
      </c>
      <c r="I649" s="213" t="s">
        <v>79</v>
      </c>
      <c r="J649" s="213" t="s">
        <v>79</v>
      </c>
      <c r="K649" s="213" t="s">
        <v>79</v>
      </c>
      <c r="L649" s="213" t="s">
        <v>79</v>
      </c>
      <c r="M649" s="180">
        <f t="shared" si="10"/>
        <v>0</v>
      </c>
    </row>
    <row r="650" spans="1:13">
      <c r="A650" s="2" t="s">
        <v>216</v>
      </c>
      <c r="B650" s="2" t="s">
        <v>126</v>
      </c>
      <c r="C650" s="2" t="s">
        <v>127</v>
      </c>
      <c r="D650" s="2" t="s">
        <v>78</v>
      </c>
      <c r="E650" s="2" t="s">
        <v>72</v>
      </c>
      <c r="F650" s="213" t="s">
        <v>79</v>
      </c>
      <c r="G650" s="213" t="s">
        <v>79</v>
      </c>
      <c r="H650" s="213" t="s">
        <v>79</v>
      </c>
      <c r="I650" s="213" t="s">
        <v>79</v>
      </c>
      <c r="J650" s="213" t="s">
        <v>79</v>
      </c>
      <c r="K650" s="213" t="s">
        <v>79</v>
      </c>
      <c r="L650" s="213" t="s">
        <v>79</v>
      </c>
      <c r="M650" s="180">
        <f t="shared" si="10"/>
        <v>0</v>
      </c>
    </row>
    <row r="651" spans="1:13">
      <c r="A651" s="2" t="s">
        <v>216</v>
      </c>
      <c r="B651" s="2" t="s">
        <v>128</v>
      </c>
      <c r="C651" s="2" t="s">
        <v>129</v>
      </c>
      <c r="D651" s="2" t="s">
        <v>78</v>
      </c>
      <c r="E651" s="2" t="s">
        <v>72</v>
      </c>
      <c r="F651" s="213" t="s">
        <v>79</v>
      </c>
      <c r="G651" s="213" t="s">
        <v>79</v>
      </c>
      <c r="H651" s="213" t="s">
        <v>79</v>
      </c>
      <c r="I651" s="213" t="s">
        <v>79</v>
      </c>
      <c r="J651" s="213" t="s">
        <v>79</v>
      </c>
      <c r="K651" s="213" t="s">
        <v>79</v>
      </c>
      <c r="L651" s="213" t="s">
        <v>79</v>
      </c>
      <c r="M651" s="180">
        <f t="shared" si="10"/>
        <v>0</v>
      </c>
    </row>
    <row r="652" spans="1:13">
      <c r="A652" s="2" t="s">
        <v>216</v>
      </c>
      <c r="B652" s="2" t="s">
        <v>130</v>
      </c>
      <c r="C652" s="2" t="s">
        <v>131</v>
      </c>
      <c r="D652" s="2" t="s">
        <v>78</v>
      </c>
      <c r="E652" s="2" t="s">
        <v>72</v>
      </c>
      <c r="F652" s="213" t="s">
        <v>79</v>
      </c>
      <c r="G652" s="213" t="s">
        <v>79</v>
      </c>
      <c r="H652" s="213" t="s">
        <v>79</v>
      </c>
      <c r="I652" s="213" t="s">
        <v>79</v>
      </c>
      <c r="J652" s="213" t="s">
        <v>79</v>
      </c>
      <c r="K652" s="213" t="s">
        <v>79</v>
      </c>
      <c r="L652" s="213" t="s">
        <v>79</v>
      </c>
      <c r="M652" s="180">
        <f t="shared" si="10"/>
        <v>0</v>
      </c>
    </row>
    <row r="653" spans="1:13">
      <c r="A653" s="2" t="s">
        <v>216</v>
      </c>
      <c r="B653" s="2" t="s">
        <v>132</v>
      </c>
      <c r="C653" s="2" t="s">
        <v>133</v>
      </c>
      <c r="D653" s="2" t="s">
        <v>78</v>
      </c>
      <c r="E653" s="2" t="s">
        <v>72</v>
      </c>
      <c r="F653" s="213" t="s">
        <v>79</v>
      </c>
      <c r="G653" s="213" t="s">
        <v>79</v>
      </c>
      <c r="H653" s="213" t="s">
        <v>79</v>
      </c>
      <c r="I653" s="213" t="s">
        <v>79</v>
      </c>
      <c r="J653" s="213" t="s">
        <v>79</v>
      </c>
      <c r="K653" s="213" t="s">
        <v>79</v>
      </c>
      <c r="L653" s="213" t="s">
        <v>79</v>
      </c>
      <c r="M653" s="180">
        <f t="shared" si="10"/>
        <v>0</v>
      </c>
    </row>
    <row r="654" spans="1:13">
      <c r="A654" s="2" t="s">
        <v>216</v>
      </c>
      <c r="B654" s="2" t="s">
        <v>134</v>
      </c>
      <c r="C654" s="2" t="s">
        <v>135</v>
      </c>
      <c r="D654" s="2" t="s">
        <v>78</v>
      </c>
      <c r="E654" s="2" t="s">
        <v>72</v>
      </c>
      <c r="F654" s="213" t="s">
        <v>79</v>
      </c>
      <c r="G654" s="213" t="s">
        <v>79</v>
      </c>
      <c r="H654" s="213" t="s">
        <v>79</v>
      </c>
      <c r="I654" s="213" t="s">
        <v>79</v>
      </c>
      <c r="J654" s="213" t="s">
        <v>79</v>
      </c>
      <c r="K654" s="213" t="s">
        <v>79</v>
      </c>
      <c r="L654" s="213" t="s">
        <v>79</v>
      </c>
      <c r="M654" s="180">
        <f t="shared" si="10"/>
        <v>0</v>
      </c>
    </row>
    <row r="655" spans="1:13">
      <c r="A655" s="2" t="s">
        <v>216</v>
      </c>
      <c r="B655" s="2" t="s">
        <v>136</v>
      </c>
      <c r="C655" s="2" t="s">
        <v>137</v>
      </c>
      <c r="D655" s="2" t="s">
        <v>78</v>
      </c>
      <c r="E655" s="2" t="s">
        <v>72</v>
      </c>
      <c r="F655" s="213" t="s">
        <v>79</v>
      </c>
      <c r="G655" s="213" t="s">
        <v>79</v>
      </c>
      <c r="H655" s="213" t="s">
        <v>79</v>
      </c>
      <c r="I655" s="213" t="s">
        <v>79</v>
      </c>
      <c r="J655" s="213" t="s">
        <v>79</v>
      </c>
      <c r="K655" s="213" t="s">
        <v>79</v>
      </c>
      <c r="L655" s="213" t="s">
        <v>79</v>
      </c>
      <c r="M655" s="180">
        <f t="shared" si="10"/>
        <v>0</v>
      </c>
    </row>
    <row r="656" spans="1:13">
      <c r="A656" s="2" t="s">
        <v>216</v>
      </c>
      <c r="B656" s="2" t="s">
        <v>138</v>
      </c>
      <c r="C656" s="2" t="s">
        <v>139</v>
      </c>
      <c r="D656" s="2" t="s">
        <v>78</v>
      </c>
      <c r="E656" s="2" t="s">
        <v>72</v>
      </c>
      <c r="F656" s="213" t="s">
        <v>79</v>
      </c>
      <c r="G656" s="213" t="s">
        <v>79</v>
      </c>
      <c r="H656" s="213" t="s">
        <v>79</v>
      </c>
      <c r="I656" s="213" t="s">
        <v>79</v>
      </c>
      <c r="J656" s="213" t="s">
        <v>79</v>
      </c>
      <c r="K656" s="213" t="s">
        <v>79</v>
      </c>
      <c r="L656" s="213" t="s">
        <v>79</v>
      </c>
      <c r="M656" s="180">
        <f t="shared" si="10"/>
        <v>0</v>
      </c>
    </row>
    <row r="657" spans="1:13">
      <c r="A657" s="2" t="s">
        <v>216</v>
      </c>
      <c r="B657" s="2" t="s">
        <v>140</v>
      </c>
      <c r="C657" s="2" t="s">
        <v>141</v>
      </c>
      <c r="D657" s="2" t="s">
        <v>78</v>
      </c>
      <c r="E657" s="2" t="s">
        <v>72</v>
      </c>
      <c r="F657" s="213" t="s">
        <v>79</v>
      </c>
      <c r="G657" s="213" t="s">
        <v>79</v>
      </c>
      <c r="H657" s="213" t="s">
        <v>79</v>
      </c>
      <c r="I657" s="213" t="s">
        <v>79</v>
      </c>
      <c r="J657" s="213" t="s">
        <v>79</v>
      </c>
      <c r="K657" s="213" t="s">
        <v>79</v>
      </c>
      <c r="L657" s="213" t="s">
        <v>79</v>
      </c>
      <c r="M657" s="180">
        <f t="shared" si="10"/>
        <v>0</v>
      </c>
    </row>
    <row r="658" spans="1:13">
      <c r="A658" s="2" t="s">
        <v>216</v>
      </c>
      <c r="B658" s="2" t="s">
        <v>142</v>
      </c>
      <c r="C658" s="2" t="s">
        <v>143</v>
      </c>
      <c r="D658" s="2" t="s">
        <v>78</v>
      </c>
      <c r="E658" s="2" t="s">
        <v>72</v>
      </c>
      <c r="F658" s="213" t="s">
        <v>79</v>
      </c>
      <c r="G658" s="213" t="s">
        <v>79</v>
      </c>
      <c r="H658" s="213" t="s">
        <v>79</v>
      </c>
      <c r="I658" s="213" t="s">
        <v>79</v>
      </c>
      <c r="J658" s="213" t="s">
        <v>79</v>
      </c>
      <c r="K658" s="213" t="s">
        <v>79</v>
      </c>
      <c r="L658" s="213" t="s">
        <v>79</v>
      </c>
      <c r="M658" s="180">
        <f t="shared" si="10"/>
        <v>0</v>
      </c>
    </row>
    <row r="659" spans="1:13">
      <c r="A659" s="2" t="s">
        <v>216</v>
      </c>
      <c r="B659" s="2" t="s">
        <v>144</v>
      </c>
      <c r="C659" s="2" t="s">
        <v>145</v>
      </c>
      <c r="D659" s="2" t="s">
        <v>78</v>
      </c>
      <c r="E659" s="2" t="s">
        <v>72</v>
      </c>
      <c r="F659" s="213" t="s">
        <v>79</v>
      </c>
      <c r="G659" s="213" t="s">
        <v>79</v>
      </c>
      <c r="H659" s="213" t="s">
        <v>79</v>
      </c>
      <c r="I659" s="213" t="s">
        <v>79</v>
      </c>
      <c r="J659" s="213" t="s">
        <v>79</v>
      </c>
      <c r="K659" s="213" t="s">
        <v>79</v>
      </c>
      <c r="L659" s="213" t="s">
        <v>79</v>
      </c>
      <c r="M659" s="180">
        <f t="shared" si="10"/>
        <v>0</v>
      </c>
    </row>
    <row r="660" spans="1:13">
      <c r="A660" s="2" t="s">
        <v>216</v>
      </c>
      <c r="B660" s="2" t="s">
        <v>146</v>
      </c>
      <c r="C660" s="2" t="s">
        <v>147</v>
      </c>
      <c r="D660" s="2" t="s">
        <v>78</v>
      </c>
      <c r="E660" s="2" t="s">
        <v>72</v>
      </c>
      <c r="F660" s="213" t="s">
        <v>79</v>
      </c>
      <c r="G660" s="213" t="s">
        <v>79</v>
      </c>
      <c r="H660" s="213" t="s">
        <v>79</v>
      </c>
      <c r="I660" s="213" t="s">
        <v>79</v>
      </c>
      <c r="J660" s="213" t="s">
        <v>79</v>
      </c>
      <c r="K660" s="213" t="s">
        <v>79</v>
      </c>
      <c r="L660" s="213" t="s">
        <v>79</v>
      </c>
      <c r="M660" s="180">
        <f t="shared" si="10"/>
        <v>0</v>
      </c>
    </row>
    <row r="661" spans="1:13">
      <c r="A661" s="2" t="s">
        <v>216</v>
      </c>
      <c r="B661" s="2" t="s">
        <v>148</v>
      </c>
      <c r="C661" s="2" t="s">
        <v>149</v>
      </c>
      <c r="D661" s="2" t="s">
        <v>78</v>
      </c>
      <c r="E661" s="2" t="s">
        <v>72</v>
      </c>
      <c r="F661" s="213" t="s">
        <v>79</v>
      </c>
      <c r="G661" s="213" t="s">
        <v>79</v>
      </c>
      <c r="H661" s="213" t="s">
        <v>79</v>
      </c>
      <c r="I661" s="213" t="s">
        <v>79</v>
      </c>
      <c r="J661" s="213" t="s">
        <v>79</v>
      </c>
      <c r="K661" s="213" t="s">
        <v>79</v>
      </c>
      <c r="L661" s="213" t="s">
        <v>79</v>
      </c>
      <c r="M661" s="180">
        <f t="shared" si="10"/>
        <v>0</v>
      </c>
    </row>
    <row r="662" spans="1:13">
      <c r="A662" s="2" t="s">
        <v>216</v>
      </c>
      <c r="B662" s="2" t="s">
        <v>150</v>
      </c>
      <c r="C662" s="2" t="s">
        <v>151</v>
      </c>
      <c r="D662" s="2" t="s">
        <v>78</v>
      </c>
      <c r="E662" s="2" t="s">
        <v>72</v>
      </c>
      <c r="F662" s="213" t="s">
        <v>79</v>
      </c>
      <c r="G662" s="213" t="s">
        <v>79</v>
      </c>
      <c r="H662" s="213" t="s">
        <v>79</v>
      </c>
      <c r="I662" s="213" t="s">
        <v>79</v>
      </c>
      <c r="J662" s="213" t="s">
        <v>79</v>
      </c>
      <c r="K662" s="213" t="s">
        <v>79</v>
      </c>
      <c r="L662" s="213" t="s">
        <v>79</v>
      </c>
      <c r="M662" s="180">
        <f t="shared" si="10"/>
        <v>0</v>
      </c>
    </row>
    <row r="663" spans="1:13">
      <c r="A663" s="2" t="s">
        <v>216</v>
      </c>
      <c r="B663" s="2" t="s">
        <v>152</v>
      </c>
      <c r="C663" s="2" t="s">
        <v>153</v>
      </c>
      <c r="D663" s="2" t="s">
        <v>78</v>
      </c>
      <c r="E663" s="2" t="s">
        <v>72</v>
      </c>
      <c r="F663" s="213" t="s">
        <v>79</v>
      </c>
      <c r="G663" s="213" t="s">
        <v>79</v>
      </c>
      <c r="H663" s="213" t="s">
        <v>79</v>
      </c>
      <c r="I663" s="213" t="s">
        <v>79</v>
      </c>
      <c r="J663" s="213" t="s">
        <v>79</v>
      </c>
      <c r="K663" s="213" t="s">
        <v>79</v>
      </c>
      <c r="L663" s="213" t="s">
        <v>79</v>
      </c>
      <c r="M663" s="180">
        <f t="shared" si="10"/>
        <v>0</v>
      </c>
    </row>
    <row r="664" spans="1:13">
      <c r="A664" s="2" t="s">
        <v>216</v>
      </c>
      <c r="B664" s="2" t="s">
        <v>154</v>
      </c>
      <c r="C664" s="2" t="s">
        <v>155</v>
      </c>
      <c r="D664" s="2" t="s">
        <v>78</v>
      </c>
      <c r="E664" s="2" t="s">
        <v>72</v>
      </c>
      <c r="F664" s="213" t="s">
        <v>79</v>
      </c>
      <c r="G664" s="213" t="s">
        <v>79</v>
      </c>
      <c r="H664" s="213" t="s">
        <v>79</v>
      </c>
      <c r="I664" s="213" t="s">
        <v>79</v>
      </c>
      <c r="J664" s="213" t="s">
        <v>79</v>
      </c>
      <c r="K664" s="213" t="s">
        <v>79</v>
      </c>
      <c r="L664" s="213" t="s">
        <v>79</v>
      </c>
      <c r="M664" s="180">
        <f t="shared" si="10"/>
        <v>0</v>
      </c>
    </row>
    <row r="665" spans="1:13">
      <c r="A665" s="2" t="s">
        <v>216</v>
      </c>
      <c r="B665" s="2" t="s">
        <v>156</v>
      </c>
      <c r="C665" s="2" t="s">
        <v>157</v>
      </c>
      <c r="D665" s="2" t="s">
        <v>78</v>
      </c>
      <c r="E665" s="2" t="s">
        <v>72</v>
      </c>
      <c r="F665" s="213" t="s">
        <v>79</v>
      </c>
      <c r="G665" s="213" t="s">
        <v>79</v>
      </c>
      <c r="H665" s="213" t="s">
        <v>79</v>
      </c>
      <c r="I665" s="213" t="s">
        <v>79</v>
      </c>
      <c r="J665" s="213" t="s">
        <v>79</v>
      </c>
      <c r="K665" s="213" t="s">
        <v>79</v>
      </c>
      <c r="L665" s="213" t="s">
        <v>79</v>
      </c>
      <c r="M665" s="180">
        <f t="shared" si="10"/>
        <v>0</v>
      </c>
    </row>
    <row r="666" spans="1:13">
      <c r="A666" s="2" t="s">
        <v>216</v>
      </c>
      <c r="B666" s="2" t="s">
        <v>158</v>
      </c>
      <c r="C666" s="2" t="s">
        <v>159</v>
      </c>
      <c r="D666" s="2" t="s">
        <v>78</v>
      </c>
      <c r="E666" s="2" t="s">
        <v>72</v>
      </c>
      <c r="F666" s="213" t="s">
        <v>79</v>
      </c>
      <c r="G666" s="213" t="s">
        <v>79</v>
      </c>
      <c r="H666" s="213" t="s">
        <v>79</v>
      </c>
      <c r="I666" s="213" t="s">
        <v>79</v>
      </c>
      <c r="J666" s="213" t="s">
        <v>79</v>
      </c>
      <c r="K666" s="213" t="s">
        <v>79</v>
      </c>
      <c r="L666" s="213" t="s">
        <v>79</v>
      </c>
      <c r="M666" s="180">
        <f t="shared" si="10"/>
        <v>0</v>
      </c>
    </row>
    <row r="667" spans="1:13">
      <c r="A667" s="2" t="s">
        <v>216</v>
      </c>
      <c r="B667" s="2" t="s">
        <v>160</v>
      </c>
      <c r="C667" s="2" t="s">
        <v>161</v>
      </c>
      <c r="D667" s="2" t="s">
        <v>78</v>
      </c>
      <c r="E667" s="2" t="s">
        <v>72</v>
      </c>
      <c r="F667" s="213" t="s">
        <v>79</v>
      </c>
      <c r="G667" s="213" t="s">
        <v>79</v>
      </c>
      <c r="H667" s="213" t="s">
        <v>79</v>
      </c>
      <c r="I667" s="213" t="s">
        <v>79</v>
      </c>
      <c r="J667" s="213" t="s">
        <v>79</v>
      </c>
      <c r="K667" s="213" t="s">
        <v>79</v>
      </c>
      <c r="L667" s="213" t="s">
        <v>79</v>
      </c>
      <c r="M667" s="180">
        <f t="shared" si="10"/>
        <v>0</v>
      </c>
    </row>
    <row r="668" spans="1:13">
      <c r="A668" s="2" t="s">
        <v>216</v>
      </c>
      <c r="B668" s="2" t="s">
        <v>162</v>
      </c>
      <c r="C668" s="2" t="s">
        <v>163</v>
      </c>
      <c r="D668" s="2" t="s">
        <v>78</v>
      </c>
      <c r="E668" s="2" t="s">
        <v>72</v>
      </c>
      <c r="F668" s="213" t="s">
        <v>79</v>
      </c>
      <c r="G668" s="213" t="s">
        <v>79</v>
      </c>
      <c r="H668" s="213" t="s">
        <v>79</v>
      </c>
      <c r="I668" s="213" t="s">
        <v>79</v>
      </c>
      <c r="J668" s="213" t="s">
        <v>79</v>
      </c>
      <c r="K668" s="213" t="s">
        <v>79</v>
      </c>
      <c r="L668" s="213" t="s">
        <v>79</v>
      </c>
      <c r="M668" s="180">
        <f t="shared" si="10"/>
        <v>0</v>
      </c>
    </row>
    <row r="669" spans="1:13">
      <c r="A669" s="2" t="s">
        <v>216</v>
      </c>
      <c r="B669" s="2" t="s">
        <v>164</v>
      </c>
      <c r="C669" s="2" t="s">
        <v>165</v>
      </c>
      <c r="D669" s="2" t="s">
        <v>78</v>
      </c>
      <c r="E669" s="2" t="s">
        <v>72</v>
      </c>
      <c r="F669" s="213" t="s">
        <v>79</v>
      </c>
      <c r="G669" s="213" t="s">
        <v>79</v>
      </c>
      <c r="H669" s="213" t="s">
        <v>79</v>
      </c>
      <c r="I669" s="213" t="s">
        <v>79</v>
      </c>
      <c r="J669" s="213" t="s">
        <v>79</v>
      </c>
      <c r="K669" s="213" t="s">
        <v>79</v>
      </c>
      <c r="L669" s="213" t="s">
        <v>79</v>
      </c>
      <c r="M669" s="180">
        <f t="shared" si="10"/>
        <v>0</v>
      </c>
    </row>
    <row r="670" spans="1:13">
      <c r="A670" s="2" t="s">
        <v>216</v>
      </c>
      <c r="B670" s="2" t="s">
        <v>166</v>
      </c>
      <c r="C670" s="2" t="s">
        <v>167</v>
      </c>
      <c r="D670" s="2" t="s">
        <v>78</v>
      </c>
      <c r="E670" s="2" t="s">
        <v>72</v>
      </c>
      <c r="F670" s="213" t="s">
        <v>79</v>
      </c>
      <c r="G670" s="213" t="s">
        <v>79</v>
      </c>
      <c r="H670" s="213" t="s">
        <v>79</v>
      </c>
      <c r="I670" s="213" t="s">
        <v>79</v>
      </c>
      <c r="J670" s="213" t="s">
        <v>79</v>
      </c>
      <c r="K670" s="213" t="s">
        <v>79</v>
      </c>
      <c r="L670" s="213" t="s">
        <v>79</v>
      </c>
      <c r="M670" s="180">
        <f t="shared" si="10"/>
        <v>0</v>
      </c>
    </row>
    <row r="671" spans="1:13">
      <c r="A671" s="2" t="s">
        <v>216</v>
      </c>
      <c r="B671" s="2" t="s">
        <v>168</v>
      </c>
      <c r="C671" s="2" t="s">
        <v>169</v>
      </c>
      <c r="D671" s="2" t="s">
        <v>78</v>
      </c>
      <c r="E671" s="2" t="s">
        <v>72</v>
      </c>
      <c r="F671" s="213" t="s">
        <v>79</v>
      </c>
      <c r="G671" s="213" t="s">
        <v>79</v>
      </c>
      <c r="H671" s="213" t="s">
        <v>79</v>
      </c>
      <c r="I671" s="213" t="s">
        <v>79</v>
      </c>
      <c r="J671" s="213" t="s">
        <v>79</v>
      </c>
      <c r="K671" s="213" t="s">
        <v>79</v>
      </c>
      <c r="L671" s="213" t="s">
        <v>79</v>
      </c>
      <c r="M671" s="180">
        <f t="shared" si="10"/>
        <v>0</v>
      </c>
    </row>
    <row r="672" spans="1:13">
      <c r="A672" s="2" t="s">
        <v>216</v>
      </c>
      <c r="B672" s="2" t="s">
        <v>170</v>
      </c>
      <c r="C672" s="2" t="s">
        <v>171</v>
      </c>
      <c r="D672" s="2" t="s">
        <v>78</v>
      </c>
      <c r="E672" s="2" t="s">
        <v>72</v>
      </c>
      <c r="F672" s="213" t="s">
        <v>79</v>
      </c>
      <c r="G672" s="213" t="s">
        <v>79</v>
      </c>
      <c r="H672" s="213" t="s">
        <v>79</v>
      </c>
      <c r="I672" s="213" t="s">
        <v>79</v>
      </c>
      <c r="J672" s="213" t="s">
        <v>79</v>
      </c>
      <c r="K672" s="213" t="s">
        <v>79</v>
      </c>
      <c r="L672" s="213" t="s">
        <v>79</v>
      </c>
      <c r="M672" s="180">
        <f t="shared" si="10"/>
        <v>0</v>
      </c>
    </row>
    <row r="673" spans="1:13">
      <c r="A673" s="2" t="s">
        <v>216</v>
      </c>
      <c r="B673" s="2" t="s">
        <v>172</v>
      </c>
      <c r="C673" s="2" t="s">
        <v>173</v>
      </c>
      <c r="D673" s="2" t="s">
        <v>78</v>
      </c>
      <c r="E673" s="2" t="s">
        <v>72</v>
      </c>
      <c r="F673" s="213" t="s">
        <v>79</v>
      </c>
      <c r="G673" s="213" t="s">
        <v>79</v>
      </c>
      <c r="H673" s="213" t="s">
        <v>79</v>
      </c>
      <c r="I673" s="213" t="s">
        <v>79</v>
      </c>
      <c r="J673" s="213" t="s">
        <v>79</v>
      </c>
      <c r="K673" s="213" t="s">
        <v>79</v>
      </c>
      <c r="L673" s="213" t="s">
        <v>79</v>
      </c>
      <c r="M673" s="180">
        <f t="shared" si="10"/>
        <v>0</v>
      </c>
    </row>
    <row r="674" spans="1:13">
      <c r="A674" s="2" t="s">
        <v>216</v>
      </c>
      <c r="B674" s="2" t="s">
        <v>174</v>
      </c>
      <c r="C674" s="2" t="s">
        <v>175</v>
      </c>
      <c r="D674" s="2" t="s">
        <v>78</v>
      </c>
      <c r="E674" s="2" t="s">
        <v>72</v>
      </c>
      <c r="F674" s="213" t="s">
        <v>79</v>
      </c>
      <c r="G674" s="213" t="s">
        <v>79</v>
      </c>
      <c r="H674" s="213" t="s">
        <v>79</v>
      </c>
      <c r="I674" s="213" t="s">
        <v>79</v>
      </c>
      <c r="J674" s="213" t="s">
        <v>79</v>
      </c>
      <c r="K674" s="213" t="s">
        <v>79</v>
      </c>
      <c r="L674" s="213" t="s">
        <v>79</v>
      </c>
      <c r="M674" s="180">
        <f t="shared" si="10"/>
        <v>0</v>
      </c>
    </row>
    <row r="675" spans="1:13">
      <c r="A675" s="2" t="s">
        <v>216</v>
      </c>
      <c r="B675" s="2" t="s">
        <v>176</v>
      </c>
      <c r="C675" s="2" t="s">
        <v>177</v>
      </c>
      <c r="D675" s="2" t="s">
        <v>78</v>
      </c>
      <c r="E675" s="2" t="s">
        <v>72</v>
      </c>
      <c r="F675" s="213" t="s">
        <v>79</v>
      </c>
      <c r="G675" s="213" t="s">
        <v>79</v>
      </c>
      <c r="H675" s="213" t="s">
        <v>79</v>
      </c>
      <c r="I675" s="213" t="s">
        <v>79</v>
      </c>
      <c r="J675" s="213" t="s">
        <v>79</v>
      </c>
      <c r="K675" s="213" t="s">
        <v>79</v>
      </c>
      <c r="L675" s="213" t="s">
        <v>79</v>
      </c>
      <c r="M675" s="180">
        <f t="shared" si="10"/>
        <v>0</v>
      </c>
    </row>
    <row r="676" spans="1:13">
      <c r="A676" s="2" t="s">
        <v>216</v>
      </c>
      <c r="B676" s="2" t="s">
        <v>178</v>
      </c>
      <c r="C676" s="2" t="s">
        <v>179</v>
      </c>
      <c r="D676" s="2" t="s">
        <v>78</v>
      </c>
      <c r="E676" s="2" t="s">
        <v>72</v>
      </c>
      <c r="F676" s="213" t="s">
        <v>79</v>
      </c>
      <c r="G676" s="213" t="s">
        <v>79</v>
      </c>
      <c r="H676" s="213" t="s">
        <v>79</v>
      </c>
      <c r="I676" s="213" t="s">
        <v>79</v>
      </c>
      <c r="J676" s="213" t="s">
        <v>79</v>
      </c>
      <c r="K676" s="213" t="s">
        <v>79</v>
      </c>
      <c r="L676" s="213" t="s">
        <v>79</v>
      </c>
      <c r="M676" s="180">
        <f t="shared" si="10"/>
        <v>0</v>
      </c>
    </row>
    <row r="677" spans="1:13">
      <c r="A677" s="2" t="s">
        <v>216</v>
      </c>
      <c r="B677" s="2" t="s">
        <v>180</v>
      </c>
      <c r="C677" s="2" t="s">
        <v>181</v>
      </c>
      <c r="D677" s="2" t="s">
        <v>78</v>
      </c>
      <c r="E677" s="2" t="s">
        <v>72</v>
      </c>
      <c r="F677" s="213" t="s">
        <v>79</v>
      </c>
      <c r="G677" s="213" t="s">
        <v>79</v>
      </c>
      <c r="H677" s="213" t="s">
        <v>79</v>
      </c>
      <c r="I677" s="213" t="s">
        <v>79</v>
      </c>
      <c r="J677" s="213" t="s">
        <v>79</v>
      </c>
      <c r="K677" s="213" t="s">
        <v>79</v>
      </c>
      <c r="L677" s="213" t="s">
        <v>79</v>
      </c>
      <c r="M677" s="180">
        <f t="shared" si="10"/>
        <v>0</v>
      </c>
    </row>
    <row r="678" spans="1:13">
      <c r="A678" s="2" t="s">
        <v>216</v>
      </c>
      <c r="B678" s="2" t="s">
        <v>182</v>
      </c>
      <c r="C678" s="2" t="s">
        <v>183</v>
      </c>
      <c r="D678" s="2" t="s">
        <v>78</v>
      </c>
      <c r="E678" s="2" t="s">
        <v>72</v>
      </c>
      <c r="F678" s="213" t="s">
        <v>79</v>
      </c>
      <c r="G678" s="213" t="s">
        <v>79</v>
      </c>
      <c r="H678" s="213" t="s">
        <v>79</v>
      </c>
      <c r="I678" s="213" t="s">
        <v>79</v>
      </c>
      <c r="J678" s="213" t="s">
        <v>79</v>
      </c>
      <c r="K678" s="213" t="s">
        <v>79</v>
      </c>
      <c r="L678" s="213" t="s">
        <v>79</v>
      </c>
      <c r="M678" s="180">
        <f t="shared" si="10"/>
        <v>0</v>
      </c>
    </row>
    <row r="679" spans="1:13">
      <c r="A679" s="2" t="s">
        <v>216</v>
      </c>
      <c r="B679" s="2" t="s">
        <v>184</v>
      </c>
      <c r="C679" s="2" t="s">
        <v>185</v>
      </c>
      <c r="D679" s="2" t="s">
        <v>78</v>
      </c>
      <c r="E679" s="2" t="s">
        <v>72</v>
      </c>
      <c r="F679" s="213" t="s">
        <v>79</v>
      </c>
      <c r="G679" s="213" t="s">
        <v>79</v>
      </c>
      <c r="H679" s="213" t="s">
        <v>79</v>
      </c>
      <c r="I679" s="213" t="s">
        <v>79</v>
      </c>
      <c r="J679" s="213" t="s">
        <v>79</v>
      </c>
      <c r="K679" s="213" t="s">
        <v>79</v>
      </c>
      <c r="L679" s="213" t="s">
        <v>79</v>
      </c>
      <c r="M679" s="180">
        <f t="shared" si="10"/>
        <v>0</v>
      </c>
    </row>
    <row r="680" spans="1:13">
      <c r="A680" s="2" t="s">
        <v>216</v>
      </c>
      <c r="B680" s="2" t="s">
        <v>186</v>
      </c>
      <c r="C680" s="2" t="s">
        <v>187</v>
      </c>
      <c r="D680" s="2" t="s">
        <v>78</v>
      </c>
      <c r="E680" s="2" t="s">
        <v>72</v>
      </c>
      <c r="F680" s="213" t="s">
        <v>79</v>
      </c>
      <c r="G680" s="213" t="s">
        <v>79</v>
      </c>
      <c r="H680" s="213" t="s">
        <v>79</v>
      </c>
      <c r="I680" s="213" t="s">
        <v>79</v>
      </c>
      <c r="J680" s="213" t="s">
        <v>79</v>
      </c>
      <c r="K680" s="213" t="s">
        <v>79</v>
      </c>
      <c r="L680" s="213" t="s">
        <v>79</v>
      </c>
      <c r="M680" s="180">
        <f t="shared" si="10"/>
        <v>0</v>
      </c>
    </row>
    <row r="681" spans="1:13">
      <c r="A681" s="2" t="s">
        <v>216</v>
      </c>
      <c r="B681" s="2" t="s">
        <v>188</v>
      </c>
      <c r="C681" s="2" t="s">
        <v>189</v>
      </c>
      <c r="D681" s="2" t="s">
        <v>78</v>
      </c>
      <c r="E681" s="2" t="s">
        <v>72</v>
      </c>
      <c r="F681" s="213" t="s">
        <v>79</v>
      </c>
      <c r="G681" s="213" t="s">
        <v>79</v>
      </c>
      <c r="H681" s="213" t="s">
        <v>79</v>
      </c>
      <c r="I681" s="213" t="s">
        <v>79</v>
      </c>
      <c r="J681" s="213" t="s">
        <v>79</v>
      </c>
      <c r="K681" s="213" t="s">
        <v>79</v>
      </c>
      <c r="L681" s="213" t="s">
        <v>79</v>
      </c>
      <c r="M681" s="180">
        <f t="shared" si="10"/>
        <v>0</v>
      </c>
    </row>
    <row r="682" spans="1:13">
      <c r="A682" s="2" t="s">
        <v>216</v>
      </c>
      <c r="B682" s="2" t="s">
        <v>190</v>
      </c>
      <c r="C682" s="2" t="s">
        <v>191</v>
      </c>
      <c r="D682" s="2" t="s">
        <v>78</v>
      </c>
      <c r="E682" s="2" t="s">
        <v>72</v>
      </c>
      <c r="F682" s="213" t="s">
        <v>79</v>
      </c>
      <c r="G682" s="213" t="s">
        <v>79</v>
      </c>
      <c r="H682" s="213" t="s">
        <v>79</v>
      </c>
      <c r="I682" s="213" t="s">
        <v>79</v>
      </c>
      <c r="J682" s="213" t="s">
        <v>79</v>
      </c>
      <c r="K682" s="213" t="s">
        <v>79</v>
      </c>
      <c r="L682" s="213" t="s">
        <v>79</v>
      </c>
      <c r="M682" s="180">
        <f t="shared" si="10"/>
        <v>0</v>
      </c>
    </row>
    <row r="683" spans="1:13">
      <c r="A683" s="2" t="s">
        <v>216</v>
      </c>
      <c r="B683" s="2" t="s">
        <v>192</v>
      </c>
      <c r="C683" s="2" t="s">
        <v>193</v>
      </c>
      <c r="D683" s="2" t="s">
        <v>78</v>
      </c>
      <c r="E683" s="2" t="s">
        <v>72</v>
      </c>
      <c r="F683" s="213" t="s">
        <v>79</v>
      </c>
      <c r="G683" s="213" t="s">
        <v>79</v>
      </c>
      <c r="H683" s="213" t="s">
        <v>79</v>
      </c>
      <c r="I683" s="213" t="s">
        <v>79</v>
      </c>
      <c r="J683" s="213" t="s">
        <v>79</v>
      </c>
      <c r="K683" s="213" t="s">
        <v>79</v>
      </c>
      <c r="L683" s="213" t="s">
        <v>79</v>
      </c>
      <c r="M683" s="180">
        <f t="shared" si="10"/>
        <v>0</v>
      </c>
    </row>
    <row r="684" spans="1:13">
      <c r="A684" s="2" t="s">
        <v>216</v>
      </c>
      <c r="B684" s="2" t="s">
        <v>194</v>
      </c>
      <c r="C684" s="2" t="s">
        <v>195</v>
      </c>
      <c r="D684" s="2" t="s">
        <v>78</v>
      </c>
      <c r="E684" s="2" t="s">
        <v>72</v>
      </c>
      <c r="F684" s="213" t="s">
        <v>79</v>
      </c>
      <c r="G684" s="213" t="s">
        <v>79</v>
      </c>
      <c r="H684" s="213" t="s">
        <v>79</v>
      </c>
      <c r="I684" s="213" t="s">
        <v>79</v>
      </c>
      <c r="J684" s="213" t="s">
        <v>79</v>
      </c>
      <c r="K684" s="213" t="s">
        <v>79</v>
      </c>
      <c r="L684" s="213" t="s">
        <v>79</v>
      </c>
      <c r="M684" s="180">
        <f t="shared" si="10"/>
        <v>0</v>
      </c>
    </row>
    <row r="685" spans="1:13">
      <c r="A685" s="2" t="s">
        <v>216</v>
      </c>
      <c r="B685" s="2" t="s">
        <v>196</v>
      </c>
      <c r="C685" s="2" t="s">
        <v>197</v>
      </c>
      <c r="D685" s="2" t="s">
        <v>78</v>
      </c>
      <c r="E685" s="2" t="s">
        <v>72</v>
      </c>
      <c r="F685" s="213" t="s">
        <v>79</v>
      </c>
      <c r="G685" s="213" t="s">
        <v>79</v>
      </c>
      <c r="H685" s="213" t="s">
        <v>79</v>
      </c>
      <c r="I685" s="213" t="s">
        <v>79</v>
      </c>
      <c r="J685" s="213" t="s">
        <v>79</v>
      </c>
      <c r="K685" s="213" t="s">
        <v>79</v>
      </c>
      <c r="L685" s="213" t="s">
        <v>79</v>
      </c>
      <c r="M685" s="180">
        <f t="shared" si="10"/>
        <v>0</v>
      </c>
    </row>
    <row r="686" spans="1:13">
      <c r="A686" s="2" t="s">
        <v>216</v>
      </c>
      <c r="B686" s="2" t="s">
        <v>198</v>
      </c>
      <c r="C686" s="2" t="s">
        <v>199</v>
      </c>
      <c r="D686" s="2" t="s">
        <v>78</v>
      </c>
      <c r="E686" s="2" t="s">
        <v>72</v>
      </c>
      <c r="F686" s="213" t="s">
        <v>79</v>
      </c>
      <c r="G686" s="213" t="s">
        <v>79</v>
      </c>
      <c r="H686" s="213" t="s">
        <v>79</v>
      </c>
      <c r="I686" s="213" t="s">
        <v>79</v>
      </c>
      <c r="J686" s="213" t="s">
        <v>79</v>
      </c>
      <c r="K686" s="213" t="s">
        <v>79</v>
      </c>
      <c r="L686" s="213" t="s">
        <v>79</v>
      </c>
      <c r="M686" s="180">
        <f t="shared" si="10"/>
        <v>0</v>
      </c>
    </row>
    <row r="687" spans="1:13">
      <c r="A687" s="2" t="s">
        <v>216</v>
      </c>
      <c r="B687" s="2" t="s">
        <v>200</v>
      </c>
      <c r="C687" s="2" t="s">
        <v>201</v>
      </c>
      <c r="D687" s="2" t="s">
        <v>78</v>
      </c>
      <c r="E687" s="2" t="s">
        <v>72</v>
      </c>
      <c r="F687" s="213" t="s">
        <v>79</v>
      </c>
      <c r="G687" s="213" t="s">
        <v>79</v>
      </c>
      <c r="H687" s="213" t="s">
        <v>79</v>
      </c>
      <c r="I687" s="213" t="s">
        <v>79</v>
      </c>
      <c r="J687" s="213" t="s">
        <v>79</v>
      </c>
      <c r="K687" s="213" t="s">
        <v>79</v>
      </c>
      <c r="L687" s="213" t="s">
        <v>79</v>
      </c>
      <c r="M687" s="180">
        <f t="shared" si="10"/>
        <v>0</v>
      </c>
    </row>
    <row r="688" spans="1:13">
      <c r="A688" s="2" t="s">
        <v>216</v>
      </c>
      <c r="B688" s="2" t="s">
        <v>202</v>
      </c>
      <c r="C688" s="2" t="s">
        <v>203</v>
      </c>
      <c r="D688" s="2" t="s">
        <v>78</v>
      </c>
      <c r="E688" s="2" t="s">
        <v>72</v>
      </c>
      <c r="F688" s="213" t="s">
        <v>79</v>
      </c>
      <c r="G688" s="213" t="s">
        <v>79</v>
      </c>
      <c r="H688" s="213" t="s">
        <v>79</v>
      </c>
      <c r="I688" s="213" t="s">
        <v>79</v>
      </c>
      <c r="J688" s="213" t="s">
        <v>79</v>
      </c>
      <c r="K688" s="213" t="s">
        <v>79</v>
      </c>
      <c r="L688" s="213" t="s">
        <v>79</v>
      </c>
      <c r="M688" s="180">
        <f t="shared" si="10"/>
        <v>0</v>
      </c>
    </row>
    <row r="689" spans="1:13">
      <c r="A689" s="2" t="s">
        <v>216</v>
      </c>
      <c r="B689" s="2" t="s">
        <v>204</v>
      </c>
      <c r="C689" s="2" t="s">
        <v>205</v>
      </c>
      <c r="D689" s="2" t="s">
        <v>78</v>
      </c>
      <c r="E689" s="2" t="s">
        <v>72</v>
      </c>
      <c r="F689" s="213" t="s">
        <v>79</v>
      </c>
      <c r="G689" s="213" t="s">
        <v>79</v>
      </c>
      <c r="H689" s="213" t="s">
        <v>79</v>
      </c>
      <c r="I689" s="213" t="s">
        <v>79</v>
      </c>
      <c r="J689" s="213" t="s">
        <v>79</v>
      </c>
      <c r="K689" s="213" t="s">
        <v>79</v>
      </c>
      <c r="L689" s="213" t="s">
        <v>79</v>
      </c>
      <c r="M689" s="180">
        <f t="shared" si="10"/>
        <v>0</v>
      </c>
    </row>
    <row r="690" spans="1:13">
      <c r="A690" s="2" t="s">
        <v>216</v>
      </c>
      <c r="B690" s="2" t="s">
        <v>206</v>
      </c>
      <c r="C690" s="2" t="s">
        <v>207</v>
      </c>
      <c r="D690" s="2" t="s">
        <v>78</v>
      </c>
      <c r="E690" s="2" t="s">
        <v>72</v>
      </c>
      <c r="F690" s="213" t="s">
        <v>79</v>
      </c>
      <c r="G690" s="213" t="s">
        <v>79</v>
      </c>
      <c r="H690" s="213" t="s">
        <v>79</v>
      </c>
      <c r="I690" s="213" t="s">
        <v>79</v>
      </c>
      <c r="J690" s="213" t="s">
        <v>79</v>
      </c>
      <c r="K690" s="213" t="s">
        <v>79</v>
      </c>
      <c r="L690" s="213" t="s">
        <v>79</v>
      </c>
      <c r="M690" s="180">
        <f t="shared" si="10"/>
        <v>0</v>
      </c>
    </row>
    <row r="691" spans="1:13">
      <c r="A691" s="2" t="s">
        <v>216</v>
      </c>
      <c r="B691" s="2" t="s">
        <v>208</v>
      </c>
      <c r="C691" s="2" t="s">
        <v>209</v>
      </c>
      <c r="D691" s="2" t="s">
        <v>78</v>
      </c>
      <c r="E691" s="2" t="s">
        <v>72</v>
      </c>
      <c r="F691" s="213" t="s">
        <v>79</v>
      </c>
      <c r="G691" s="213" t="s">
        <v>79</v>
      </c>
      <c r="H691" s="213" t="s">
        <v>79</v>
      </c>
      <c r="I691" s="213" t="s">
        <v>79</v>
      </c>
      <c r="J691" s="213" t="s">
        <v>79</v>
      </c>
      <c r="K691" s="213" t="s">
        <v>79</v>
      </c>
      <c r="L691" s="213" t="s">
        <v>79</v>
      </c>
      <c r="M691" s="180">
        <f t="shared" si="10"/>
        <v>0</v>
      </c>
    </row>
    <row r="692" spans="1:13">
      <c r="A692" s="2" t="s">
        <v>216</v>
      </c>
      <c r="B692" s="2" t="s">
        <v>210</v>
      </c>
      <c r="C692" s="2" t="s">
        <v>211</v>
      </c>
      <c r="D692" s="2" t="s">
        <v>78</v>
      </c>
      <c r="E692" s="2" t="s">
        <v>72</v>
      </c>
      <c r="F692" s="213" t="s">
        <v>79</v>
      </c>
      <c r="G692" s="213" t="s">
        <v>79</v>
      </c>
      <c r="H692" s="213" t="s">
        <v>79</v>
      </c>
      <c r="I692" s="213" t="s">
        <v>79</v>
      </c>
      <c r="J692" s="213" t="s">
        <v>79</v>
      </c>
      <c r="K692" s="213" t="s">
        <v>79</v>
      </c>
      <c r="L692" s="213" t="s">
        <v>79</v>
      </c>
      <c r="M692" s="180">
        <f t="shared" si="10"/>
        <v>0</v>
      </c>
    </row>
    <row r="693" spans="1:13">
      <c r="A693" s="2" t="s">
        <v>217</v>
      </c>
      <c r="B693" s="2" t="s">
        <v>126</v>
      </c>
      <c r="C693" s="2" t="s">
        <v>127</v>
      </c>
      <c r="D693" s="2" t="s">
        <v>78</v>
      </c>
      <c r="E693" s="2" t="s">
        <v>72</v>
      </c>
      <c r="F693" s="213" t="s">
        <v>79</v>
      </c>
      <c r="G693" s="213" t="s">
        <v>79</v>
      </c>
      <c r="H693" s="213" t="s">
        <v>79</v>
      </c>
      <c r="I693" s="213" t="s">
        <v>79</v>
      </c>
      <c r="J693" s="213" t="s">
        <v>79</v>
      </c>
      <c r="K693" s="213" t="s">
        <v>79</v>
      </c>
      <c r="L693" s="213" t="s">
        <v>79</v>
      </c>
      <c r="M693" s="180">
        <f t="shared" si="10"/>
        <v>0</v>
      </c>
    </row>
    <row r="694" spans="1:13">
      <c r="A694" s="2" t="s">
        <v>217</v>
      </c>
      <c r="B694" s="2" t="s">
        <v>128</v>
      </c>
      <c r="C694" s="2" t="s">
        <v>129</v>
      </c>
      <c r="D694" s="2" t="s">
        <v>78</v>
      </c>
      <c r="E694" s="2" t="s">
        <v>72</v>
      </c>
      <c r="F694" s="213" t="s">
        <v>79</v>
      </c>
      <c r="G694" s="213" t="s">
        <v>79</v>
      </c>
      <c r="H694" s="213" t="s">
        <v>79</v>
      </c>
      <c r="I694" s="213" t="s">
        <v>79</v>
      </c>
      <c r="J694" s="213" t="s">
        <v>79</v>
      </c>
      <c r="K694" s="213" t="s">
        <v>79</v>
      </c>
      <c r="L694" s="213" t="s">
        <v>79</v>
      </c>
      <c r="M694" s="180">
        <f t="shared" si="10"/>
        <v>0</v>
      </c>
    </row>
    <row r="695" spans="1:13">
      <c r="A695" s="2" t="s">
        <v>217</v>
      </c>
      <c r="B695" s="2" t="s">
        <v>130</v>
      </c>
      <c r="C695" s="2" t="s">
        <v>131</v>
      </c>
      <c r="D695" s="2" t="s">
        <v>78</v>
      </c>
      <c r="E695" s="2" t="s">
        <v>72</v>
      </c>
      <c r="F695" s="213" t="s">
        <v>79</v>
      </c>
      <c r="G695" s="213" t="s">
        <v>79</v>
      </c>
      <c r="H695" s="213" t="s">
        <v>79</v>
      </c>
      <c r="I695" s="213" t="s">
        <v>79</v>
      </c>
      <c r="J695" s="213" t="s">
        <v>79</v>
      </c>
      <c r="K695" s="213" t="s">
        <v>79</v>
      </c>
      <c r="L695" s="213" t="s">
        <v>79</v>
      </c>
      <c r="M695" s="180">
        <f t="shared" si="10"/>
        <v>0</v>
      </c>
    </row>
    <row r="696" spans="1:13">
      <c r="A696" s="2" t="s">
        <v>217</v>
      </c>
      <c r="B696" s="2" t="s">
        <v>132</v>
      </c>
      <c r="C696" s="2" t="s">
        <v>133</v>
      </c>
      <c r="D696" s="2" t="s">
        <v>78</v>
      </c>
      <c r="E696" s="2" t="s">
        <v>72</v>
      </c>
      <c r="F696" s="213" t="s">
        <v>79</v>
      </c>
      <c r="G696" s="213" t="s">
        <v>79</v>
      </c>
      <c r="H696" s="213" t="s">
        <v>79</v>
      </c>
      <c r="I696" s="213" t="s">
        <v>79</v>
      </c>
      <c r="J696" s="213" t="s">
        <v>79</v>
      </c>
      <c r="K696" s="213" t="s">
        <v>79</v>
      </c>
      <c r="L696" s="213" t="s">
        <v>79</v>
      </c>
      <c r="M696" s="180">
        <f t="shared" si="10"/>
        <v>0</v>
      </c>
    </row>
    <row r="697" spans="1:13">
      <c r="A697" s="2" t="s">
        <v>217</v>
      </c>
      <c r="B697" s="2" t="s">
        <v>134</v>
      </c>
      <c r="C697" s="2" t="s">
        <v>135</v>
      </c>
      <c r="D697" s="2" t="s">
        <v>78</v>
      </c>
      <c r="E697" s="2" t="s">
        <v>72</v>
      </c>
      <c r="F697" s="213" t="s">
        <v>79</v>
      </c>
      <c r="G697" s="213" t="s">
        <v>79</v>
      </c>
      <c r="H697" s="213" t="s">
        <v>79</v>
      </c>
      <c r="I697" s="213" t="s">
        <v>79</v>
      </c>
      <c r="J697" s="213" t="s">
        <v>79</v>
      </c>
      <c r="K697" s="213" t="s">
        <v>79</v>
      </c>
      <c r="L697" s="213" t="s">
        <v>79</v>
      </c>
      <c r="M697" s="180">
        <f t="shared" si="10"/>
        <v>0</v>
      </c>
    </row>
    <row r="698" spans="1:13">
      <c r="A698" s="2" t="s">
        <v>217</v>
      </c>
      <c r="B698" s="2" t="s">
        <v>136</v>
      </c>
      <c r="C698" s="2" t="s">
        <v>137</v>
      </c>
      <c r="D698" s="2" t="s">
        <v>78</v>
      </c>
      <c r="E698" s="2" t="s">
        <v>72</v>
      </c>
      <c r="F698" s="213" t="s">
        <v>79</v>
      </c>
      <c r="G698" s="213" t="s">
        <v>79</v>
      </c>
      <c r="H698" s="213" t="s">
        <v>79</v>
      </c>
      <c r="I698" s="213" t="s">
        <v>79</v>
      </c>
      <c r="J698" s="213" t="s">
        <v>79</v>
      </c>
      <c r="K698" s="213" t="s">
        <v>79</v>
      </c>
      <c r="L698" s="213" t="s">
        <v>79</v>
      </c>
      <c r="M698" s="180">
        <f t="shared" si="10"/>
        <v>0</v>
      </c>
    </row>
    <row r="699" spans="1:13">
      <c r="A699" s="2" t="s">
        <v>217</v>
      </c>
      <c r="B699" s="2" t="s">
        <v>138</v>
      </c>
      <c r="C699" s="2" t="s">
        <v>139</v>
      </c>
      <c r="D699" s="2" t="s">
        <v>78</v>
      </c>
      <c r="E699" s="2" t="s">
        <v>72</v>
      </c>
      <c r="F699" s="213" t="s">
        <v>79</v>
      </c>
      <c r="G699" s="213" t="s">
        <v>79</v>
      </c>
      <c r="H699" s="213" t="s">
        <v>79</v>
      </c>
      <c r="I699" s="213" t="s">
        <v>79</v>
      </c>
      <c r="J699" s="213" t="s">
        <v>79</v>
      </c>
      <c r="K699" s="213" t="s">
        <v>79</v>
      </c>
      <c r="L699" s="213" t="s">
        <v>79</v>
      </c>
      <c r="M699" s="180">
        <f t="shared" si="10"/>
        <v>0</v>
      </c>
    </row>
    <row r="700" spans="1:13">
      <c r="A700" s="2" t="s">
        <v>217</v>
      </c>
      <c r="B700" s="2" t="s">
        <v>140</v>
      </c>
      <c r="C700" s="2" t="s">
        <v>141</v>
      </c>
      <c r="D700" s="2" t="s">
        <v>78</v>
      </c>
      <c r="E700" s="2" t="s">
        <v>72</v>
      </c>
      <c r="F700" s="213" t="s">
        <v>79</v>
      </c>
      <c r="G700" s="213" t="s">
        <v>79</v>
      </c>
      <c r="H700" s="213" t="s">
        <v>79</v>
      </c>
      <c r="I700" s="213" t="s">
        <v>79</v>
      </c>
      <c r="J700" s="213" t="s">
        <v>79</v>
      </c>
      <c r="K700" s="213" t="s">
        <v>79</v>
      </c>
      <c r="L700" s="213" t="s">
        <v>79</v>
      </c>
      <c r="M700" s="180">
        <f t="shared" si="10"/>
        <v>0</v>
      </c>
    </row>
    <row r="701" spans="1:13">
      <c r="A701" s="2" t="s">
        <v>217</v>
      </c>
      <c r="B701" s="2" t="s">
        <v>142</v>
      </c>
      <c r="C701" s="2" t="s">
        <v>143</v>
      </c>
      <c r="D701" s="2" t="s">
        <v>78</v>
      </c>
      <c r="E701" s="2" t="s">
        <v>72</v>
      </c>
      <c r="F701" s="213" t="s">
        <v>79</v>
      </c>
      <c r="G701" s="213" t="s">
        <v>79</v>
      </c>
      <c r="H701" s="213" t="s">
        <v>79</v>
      </c>
      <c r="I701" s="213" t="s">
        <v>79</v>
      </c>
      <c r="J701" s="213" t="s">
        <v>79</v>
      </c>
      <c r="K701" s="213" t="s">
        <v>79</v>
      </c>
      <c r="L701" s="213" t="s">
        <v>79</v>
      </c>
      <c r="M701" s="180">
        <f t="shared" si="10"/>
        <v>0</v>
      </c>
    </row>
    <row r="702" spans="1:13">
      <c r="A702" s="2" t="s">
        <v>217</v>
      </c>
      <c r="B702" s="2" t="s">
        <v>144</v>
      </c>
      <c r="C702" s="2" t="s">
        <v>145</v>
      </c>
      <c r="D702" s="2" t="s">
        <v>78</v>
      </c>
      <c r="E702" s="2" t="s">
        <v>72</v>
      </c>
      <c r="F702" s="213" t="s">
        <v>79</v>
      </c>
      <c r="G702" s="213" t="s">
        <v>79</v>
      </c>
      <c r="H702" s="213" t="s">
        <v>79</v>
      </c>
      <c r="I702" s="213" t="s">
        <v>79</v>
      </c>
      <c r="J702" s="213" t="s">
        <v>79</v>
      </c>
      <c r="K702" s="213" t="s">
        <v>79</v>
      </c>
      <c r="L702" s="213" t="s">
        <v>79</v>
      </c>
      <c r="M702" s="180">
        <f t="shared" si="10"/>
        <v>0</v>
      </c>
    </row>
    <row r="703" spans="1:13">
      <c r="A703" s="2" t="s">
        <v>217</v>
      </c>
      <c r="B703" s="2" t="s">
        <v>146</v>
      </c>
      <c r="C703" s="2" t="s">
        <v>147</v>
      </c>
      <c r="D703" s="2" t="s">
        <v>78</v>
      </c>
      <c r="E703" s="2" t="s">
        <v>72</v>
      </c>
      <c r="F703" s="213" t="s">
        <v>79</v>
      </c>
      <c r="G703" s="213" t="s">
        <v>79</v>
      </c>
      <c r="H703" s="213" t="s">
        <v>79</v>
      </c>
      <c r="I703" s="213" t="s">
        <v>79</v>
      </c>
      <c r="J703" s="213" t="s">
        <v>79</v>
      </c>
      <c r="K703" s="213" t="s">
        <v>79</v>
      </c>
      <c r="L703" s="213" t="s">
        <v>79</v>
      </c>
      <c r="M703" s="180">
        <f t="shared" si="10"/>
        <v>0</v>
      </c>
    </row>
    <row r="704" spans="1:13">
      <c r="A704" s="2" t="s">
        <v>217</v>
      </c>
      <c r="B704" s="2" t="s">
        <v>148</v>
      </c>
      <c r="C704" s="2" t="s">
        <v>149</v>
      </c>
      <c r="D704" s="2" t="s">
        <v>78</v>
      </c>
      <c r="E704" s="2" t="s">
        <v>72</v>
      </c>
      <c r="F704" s="213" t="s">
        <v>79</v>
      </c>
      <c r="G704" s="213" t="s">
        <v>79</v>
      </c>
      <c r="H704" s="213" t="s">
        <v>79</v>
      </c>
      <c r="I704" s="213" t="s">
        <v>79</v>
      </c>
      <c r="J704" s="213" t="s">
        <v>79</v>
      </c>
      <c r="K704" s="213" t="s">
        <v>79</v>
      </c>
      <c r="L704" s="213" t="s">
        <v>79</v>
      </c>
      <c r="M704" s="180">
        <f t="shared" si="10"/>
        <v>0</v>
      </c>
    </row>
    <row r="705" spans="1:13">
      <c r="A705" s="2" t="s">
        <v>217</v>
      </c>
      <c r="B705" s="2" t="s">
        <v>150</v>
      </c>
      <c r="C705" s="2" t="s">
        <v>151</v>
      </c>
      <c r="D705" s="2" t="s">
        <v>78</v>
      </c>
      <c r="E705" s="2" t="s">
        <v>72</v>
      </c>
      <c r="F705" s="213" t="s">
        <v>79</v>
      </c>
      <c r="G705" s="213" t="s">
        <v>79</v>
      </c>
      <c r="H705" s="213" t="s">
        <v>79</v>
      </c>
      <c r="I705" s="213" t="s">
        <v>79</v>
      </c>
      <c r="J705" s="213" t="s">
        <v>79</v>
      </c>
      <c r="K705" s="213" t="s">
        <v>79</v>
      </c>
      <c r="L705" s="213" t="s">
        <v>79</v>
      </c>
      <c r="M705" s="180">
        <f t="shared" si="10"/>
        <v>0</v>
      </c>
    </row>
    <row r="706" spans="1:13">
      <c r="A706" s="2" t="s">
        <v>217</v>
      </c>
      <c r="B706" s="2" t="s">
        <v>152</v>
      </c>
      <c r="C706" s="2" t="s">
        <v>153</v>
      </c>
      <c r="D706" s="2" t="s">
        <v>78</v>
      </c>
      <c r="E706" s="2" t="s">
        <v>72</v>
      </c>
      <c r="F706" s="213" t="s">
        <v>79</v>
      </c>
      <c r="G706" s="213" t="s">
        <v>79</v>
      </c>
      <c r="H706" s="213" t="s">
        <v>79</v>
      </c>
      <c r="I706" s="213" t="s">
        <v>79</v>
      </c>
      <c r="J706" s="213" t="s">
        <v>79</v>
      </c>
      <c r="K706" s="213" t="s">
        <v>79</v>
      </c>
      <c r="L706" s="213" t="s">
        <v>79</v>
      </c>
      <c r="M706" s="180">
        <f t="shared" si="10"/>
        <v>0</v>
      </c>
    </row>
    <row r="707" spans="1:13">
      <c r="A707" s="2" t="s">
        <v>217</v>
      </c>
      <c r="B707" s="2" t="s">
        <v>154</v>
      </c>
      <c r="C707" s="2" t="s">
        <v>155</v>
      </c>
      <c r="D707" s="2" t="s">
        <v>78</v>
      </c>
      <c r="E707" s="2" t="s">
        <v>72</v>
      </c>
      <c r="F707" s="213" t="s">
        <v>79</v>
      </c>
      <c r="G707" s="213" t="s">
        <v>79</v>
      </c>
      <c r="H707" s="213" t="s">
        <v>79</v>
      </c>
      <c r="I707" s="213" t="s">
        <v>79</v>
      </c>
      <c r="J707" s="213" t="s">
        <v>79</v>
      </c>
      <c r="K707" s="213" t="s">
        <v>79</v>
      </c>
      <c r="L707" s="213" t="s">
        <v>79</v>
      </c>
      <c r="M707" s="180">
        <f t="shared" si="10"/>
        <v>0</v>
      </c>
    </row>
    <row r="708" spans="1:13">
      <c r="A708" s="2" t="s">
        <v>217</v>
      </c>
      <c r="B708" s="2" t="s">
        <v>156</v>
      </c>
      <c r="C708" s="2" t="s">
        <v>157</v>
      </c>
      <c r="D708" s="2" t="s">
        <v>78</v>
      </c>
      <c r="E708" s="2" t="s">
        <v>72</v>
      </c>
      <c r="F708" s="213" t="s">
        <v>79</v>
      </c>
      <c r="G708" s="213" t="s">
        <v>79</v>
      </c>
      <c r="H708" s="213" t="s">
        <v>79</v>
      </c>
      <c r="I708" s="213" t="s">
        <v>79</v>
      </c>
      <c r="J708" s="213" t="s">
        <v>79</v>
      </c>
      <c r="K708" s="213" t="s">
        <v>79</v>
      </c>
      <c r="L708" s="213" t="s">
        <v>79</v>
      </c>
      <c r="M708" s="180">
        <f t="shared" si="10"/>
        <v>0</v>
      </c>
    </row>
    <row r="709" spans="1:13">
      <c r="A709" s="2" t="s">
        <v>217</v>
      </c>
      <c r="B709" s="2" t="s">
        <v>158</v>
      </c>
      <c r="C709" s="2" t="s">
        <v>159</v>
      </c>
      <c r="D709" s="2" t="s">
        <v>78</v>
      </c>
      <c r="E709" s="2" t="s">
        <v>72</v>
      </c>
      <c r="F709" s="213" t="s">
        <v>79</v>
      </c>
      <c r="G709" s="213" t="s">
        <v>79</v>
      </c>
      <c r="H709" s="213" t="s">
        <v>79</v>
      </c>
      <c r="I709" s="213" t="s">
        <v>79</v>
      </c>
      <c r="J709" s="213" t="s">
        <v>79</v>
      </c>
      <c r="K709" s="213" t="s">
        <v>79</v>
      </c>
      <c r="L709" s="213" t="s">
        <v>79</v>
      </c>
      <c r="M709" s="180">
        <f t="shared" si="10"/>
        <v>0</v>
      </c>
    </row>
    <row r="710" spans="1:13">
      <c r="A710" s="2" t="s">
        <v>217</v>
      </c>
      <c r="B710" s="2" t="s">
        <v>160</v>
      </c>
      <c r="C710" s="2" t="s">
        <v>161</v>
      </c>
      <c r="D710" s="2" t="s">
        <v>78</v>
      </c>
      <c r="E710" s="2" t="s">
        <v>72</v>
      </c>
      <c r="F710" s="213" t="s">
        <v>79</v>
      </c>
      <c r="G710" s="213" t="s">
        <v>79</v>
      </c>
      <c r="H710" s="213" t="s">
        <v>79</v>
      </c>
      <c r="I710" s="213" t="s">
        <v>79</v>
      </c>
      <c r="J710" s="213" t="s">
        <v>79</v>
      </c>
      <c r="K710" s="213" t="s">
        <v>79</v>
      </c>
      <c r="L710" s="213" t="s">
        <v>79</v>
      </c>
      <c r="M710" s="180">
        <f t="shared" ref="M710:M735" si="11">SUM(F710:L710)</f>
        <v>0</v>
      </c>
    </row>
    <row r="711" spans="1:13">
      <c r="A711" s="2" t="s">
        <v>217</v>
      </c>
      <c r="B711" s="2" t="s">
        <v>162</v>
      </c>
      <c r="C711" s="2" t="s">
        <v>163</v>
      </c>
      <c r="D711" s="2" t="s">
        <v>78</v>
      </c>
      <c r="E711" s="2" t="s">
        <v>72</v>
      </c>
      <c r="F711" s="213" t="s">
        <v>79</v>
      </c>
      <c r="G711" s="213" t="s">
        <v>79</v>
      </c>
      <c r="H711" s="213" t="s">
        <v>79</v>
      </c>
      <c r="I711" s="213" t="s">
        <v>79</v>
      </c>
      <c r="J711" s="213" t="s">
        <v>79</v>
      </c>
      <c r="K711" s="213" t="s">
        <v>79</v>
      </c>
      <c r="L711" s="213" t="s">
        <v>79</v>
      </c>
      <c r="M711" s="180">
        <f t="shared" si="11"/>
        <v>0</v>
      </c>
    </row>
    <row r="712" spans="1:13">
      <c r="A712" s="2" t="s">
        <v>217</v>
      </c>
      <c r="B712" s="2" t="s">
        <v>164</v>
      </c>
      <c r="C712" s="2" t="s">
        <v>165</v>
      </c>
      <c r="D712" s="2" t="s">
        <v>78</v>
      </c>
      <c r="E712" s="2" t="s">
        <v>72</v>
      </c>
      <c r="F712" s="213" t="s">
        <v>79</v>
      </c>
      <c r="G712" s="213" t="s">
        <v>79</v>
      </c>
      <c r="H712" s="213" t="s">
        <v>79</v>
      </c>
      <c r="I712" s="213" t="s">
        <v>79</v>
      </c>
      <c r="J712" s="213" t="s">
        <v>79</v>
      </c>
      <c r="K712" s="213" t="s">
        <v>79</v>
      </c>
      <c r="L712" s="213" t="s">
        <v>79</v>
      </c>
      <c r="M712" s="180">
        <f t="shared" si="11"/>
        <v>0</v>
      </c>
    </row>
    <row r="713" spans="1:13">
      <c r="A713" s="2" t="s">
        <v>217</v>
      </c>
      <c r="B713" s="2" t="s">
        <v>166</v>
      </c>
      <c r="C713" s="2" t="s">
        <v>167</v>
      </c>
      <c r="D713" s="2" t="s">
        <v>78</v>
      </c>
      <c r="E713" s="2" t="s">
        <v>72</v>
      </c>
      <c r="F713" s="213" t="s">
        <v>79</v>
      </c>
      <c r="G713" s="213" t="s">
        <v>79</v>
      </c>
      <c r="H713" s="213" t="s">
        <v>79</v>
      </c>
      <c r="I713" s="213" t="s">
        <v>79</v>
      </c>
      <c r="J713" s="213" t="s">
        <v>79</v>
      </c>
      <c r="K713" s="213" t="s">
        <v>79</v>
      </c>
      <c r="L713" s="213" t="s">
        <v>79</v>
      </c>
      <c r="M713" s="180">
        <f t="shared" si="11"/>
        <v>0</v>
      </c>
    </row>
    <row r="714" spans="1:13">
      <c r="A714" s="2" t="s">
        <v>217</v>
      </c>
      <c r="B714" s="2" t="s">
        <v>168</v>
      </c>
      <c r="C714" s="2" t="s">
        <v>169</v>
      </c>
      <c r="D714" s="2" t="s">
        <v>78</v>
      </c>
      <c r="E714" s="2" t="s">
        <v>72</v>
      </c>
      <c r="F714" s="213" t="s">
        <v>79</v>
      </c>
      <c r="G714" s="213" t="s">
        <v>79</v>
      </c>
      <c r="H714" s="213" t="s">
        <v>79</v>
      </c>
      <c r="I714" s="213" t="s">
        <v>79</v>
      </c>
      <c r="J714" s="213" t="s">
        <v>79</v>
      </c>
      <c r="K714" s="213" t="s">
        <v>79</v>
      </c>
      <c r="L714" s="213" t="s">
        <v>79</v>
      </c>
      <c r="M714" s="180">
        <f t="shared" si="11"/>
        <v>0</v>
      </c>
    </row>
    <row r="715" spans="1:13">
      <c r="A715" s="2" t="s">
        <v>217</v>
      </c>
      <c r="B715" s="2" t="s">
        <v>170</v>
      </c>
      <c r="C715" s="2" t="s">
        <v>171</v>
      </c>
      <c r="D715" s="2" t="s">
        <v>78</v>
      </c>
      <c r="E715" s="2" t="s">
        <v>72</v>
      </c>
      <c r="F715" s="213" t="s">
        <v>79</v>
      </c>
      <c r="G715" s="213" t="s">
        <v>79</v>
      </c>
      <c r="H715" s="213" t="s">
        <v>79</v>
      </c>
      <c r="I715" s="213" t="s">
        <v>79</v>
      </c>
      <c r="J715" s="213" t="s">
        <v>79</v>
      </c>
      <c r="K715" s="213" t="s">
        <v>79</v>
      </c>
      <c r="L715" s="213" t="s">
        <v>79</v>
      </c>
      <c r="M715" s="180">
        <f t="shared" si="11"/>
        <v>0</v>
      </c>
    </row>
    <row r="716" spans="1:13">
      <c r="A716" s="2" t="s">
        <v>217</v>
      </c>
      <c r="B716" s="2" t="s">
        <v>172</v>
      </c>
      <c r="C716" s="2" t="s">
        <v>173</v>
      </c>
      <c r="D716" s="2" t="s">
        <v>78</v>
      </c>
      <c r="E716" s="2" t="s">
        <v>72</v>
      </c>
      <c r="F716" s="213" t="s">
        <v>79</v>
      </c>
      <c r="G716" s="213" t="s">
        <v>79</v>
      </c>
      <c r="H716" s="213" t="s">
        <v>79</v>
      </c>
      <c r="I716" s="213" t="s">
        <v>79</v>
      </c>
      <c r="J716" s="213" t="s">
        <v>79</v>
      </c>
      <c r="K716" s="213" t="s">
        <v>79</v>
      </c>
      <c r="L716" s="213" t="s">
        <v>79</v>
      </c>
      <c r="M716" s="180">
        <f t="shared" si="11"/>
        <v>0</v>
      </c>
    </row>
    <row r="717" spans="1:13">
      <c r="A717" s="2" t="s">
        <v>217</v>
      </c>
      <c r="B717" s="2" t="s">
        <v>174</v>
      </c>
      <c r="C717" s="2" t="s">
        <v>175</v>
      </c>
      <c r="D717" s="2" t="s">
        <v>78</v>
      </c>
      <c r="E717" s="2" t="s">
        <v>72</v>
      </c>
      <c r="F717" s="213" t="s">
        <v>79</v>
      </c>
      <c r="G717" s="213" t="s">
        <v>79</v>
      </c>
      <c r="H717" s="213" t="s">
        <v>79</v>
      </c>
      <c r="I717" s="213" t="s">
        <v>79</v>
      </c>
      <c r="J717" s="213" t="s">
        <v>79</v>
      </c>
      <c r="K717" s="213" t="s">
        <v>79</v>
      </c>
      <c r="L717" s="213" t="s">
        <v>79</v>
      </c>
      <c r="M717" s="180">
        <f t="shared" si="11"/>
        <v>0</v>
      </c>
    </row>
    <row r="718" spans="1:13">
      <c r="A718" s="2" t="s">
        <v>217</v>
      </c>
      <c r="B718" s="2" t="s">
        <v>176</v>
      </c>
      <c r="C718" s="2" t="s">
        <v>177</v>
      </c>
      <c r="D718" s="2" t="s">
        <v>78</v>
      </c>
      <c r="E718" s="2" t="s">
        <v>72</v>
      </c>
      <c r="F718" s="213" t="s">
        <v>79</v>
      </c>
      <c r="G718" s="213" t="s">
        <v>79</v>
      </c>
      <c r="H718" s="213" t="s">
        <v>79</v>
      </c>
      <c r="I718" s="213" t="s">
        <v>79</v>
      </c>
      <c r="J718" s="213" t="s">
        <v>79</v>
      </c>
      <c r="K718" s="213" t="s">
        <v>79</v>
      </c>
      <c r="L718" s="213" t="s">
        <v>79</v>
      </c>
      <c r="M718" s="180">
        <f t="shared" si="11"/>
        <v>0</v>
      </c>
    </row>
    <row r="719" spans="1:13">
      <c r="A719" s="2" t="s">
        <v>217</v>
      </c>
      <c r="B719" s="2" t="s">
        <v>178</v>
      </c>
      <c r="C719" s="2" t="s">
        <v>179</v>
      </c>
      <c r="D719" s="2" t="s">
        <v>78</v>
      </c>
      <c r="E719" s="2" t="s">
        <v>72</v>
      </c>
      <c r="F719" s="213" t="s">
        <v>79</v>
      </c>
      <c r="G719" s="213" t="s">
        <v>79</v>
      </c>
      <c r="H719" s="213" t="s">
        <v>79</v>
      </c>
      <c r="I719" s="213" t="s">
        <v>79</v>
      </c>
      <c r="J719" s="213" t="s">
        <v>79</v>
      </c>
      <c r="K719" s="213" t="s">
        <v>79</v>
      </c>
      <c r="L719" s="213" t="s">
        <v>79</v>
      </c>
      <c r="M719" s="180">
        <f t="shared" si="11"/>
        <v>0</v>
      </c>
    </row>
    <row r="720" spans="1:13">
      <c r="A720" s="2" t="s">
        <v>217</v>
      </c>
      <c r="B720" s="2" t="s">
        <v>180</v>
      </c>
      <c r="C720" s="2" t="s">
        <v>181</v>
      </c>
      <c r="D720" s="2" t="s">
        <v>78</v>
      </c>
      <c r="E720" s="2" t="s">
        <v>72</v>
      </c>
      <c r="F720" s="213" t="s">
        <v>79</v>
      </c>
      <c r="G720" s="213" t="s">
        <v>79</v>
      </c>
      <c r="H720" s="213" t="s">
        <v>79</v>
      </c>
      <c r="I720" s="213" t="s">
        <v>79</v>
      </c>
      <c r="J720" s="213" t="s">
        <v>79</v>
      </c>
      <c r="K720" s="213" t="s">
        <v>79</v>
      </c>
      <c r="L720" s="213" t="s">
        <v>79</v>
      </c>
      <c r="M720" s="180">
        <f t="shared" si="11"/>
        <v>0</v>
      </c>
    </row>
    <row r="721" spans="1:13">
      <c r="A721" s="2" t="s">
        <v>217</v>
      </c>
      <c r="B721" s="2" t="s">
        <v>182</v>
      </c>
      <c r="C721" s="2" t="s">
        <v>183</v>
      </c>
      <c r="D721" s="2" t="s">
        <v>78</v>
      </c>
      <c r="E721" s="2" t="s">
        <v>72</v>
      </c>
      <c r="F721" s="213" t="s">
        <v>79</v>
      </c>
      <c r="G721" s="213" t="s">
        <v>79</v>
      </c>
      <c r="H721" s="213" t="s">
        <v>79</v>
      </c>
      <c r="I721" s="213" t="s">
        <v>79</v>
      </c>
      <c r="J721" s="213" t="s">
        <v>79</v>
      </c>
      <c r="K721" s="213" t="s">
        <v>79</v>
      </c>
      <c r="L721" s="213" t="s">
        <v>79</v>
      </c>
      <c r="M721" s="180">
        <f t="shared" si="11"/>
        <v>0</v>
      </c>
    </row>
    <row r="722" spans="1:13">
      <c r="A722" s="2" t="s">
        <v>217</v>
      </c>
      <c r="B722" s="2" t="s">
        <v>184</v>
      </c>
      <c r="C722" s="2" t="s">
        <v>185</v>
      </c>
      <c r="D722" s="2" t="s">
        <v>78</v>
      </c>
      <c r="E722" s="2" t="s">
        <v>72</v>
      </c>
      <c r="F722" s="213" t="s">
        <v>79</v>
      </c>
      <c r="G722" s="213" t="s">
        <v>79</v>
      </c>
      <c r="H722" s="213" t="s">
        <v>79</v>
      </c>
      <c r="I722" s="213" t="s">
        <v>79</v>
      </c>
      <c r="J722" s="213" t="s">
        <v>79</v>
      </c>
      <c r="K722" s="213" t="s">
        <v>79</v>
      </c>
      <c r="L722" s="213" t="s">
        <v>79</v>
      </c>
      <c r="M722" s="180">
        <f t="shared" si="11"/>
        <v>0</v>
      </c>
    </row>
    <row r="723" spans="1:13">
      <c r="A723" s="2" t="s">
        <v>217</v>
      </c>
      <c r="B723" s="2" t="s">
        <v>186</v>
      </c>
      <c r="C723" s="2" t="s">
        <v>187</v>
      </c>
      <c r="D723" s="2" t="s">
        <v>78</v>
      </c>
      <c r="E723" s="2" t="s">
        <v>72</v>
      </c>
      <c r="F723" s="213" t="s">
        <v>79</v>
      </c>
      <c r="G723" s="213" t="s">
        <v>79</v>
      </c>
      <c r="H723" s="213" t="s">
        <v>79</v>
      </c>
      <c r="I723" s="213" t="s">
        <v>79</v>
      </c>
      <c r="J723" s="213" t="s">
        <v>79</v>
      </c>
      <c r="K723" s="213" t="s">
        <v>79</v>
      </c>
      <c r="L723" s="213" t="s">
        <v>79</v>
      </c>
      <c r="M723" s="180">
        <f t="shared" si="11"/>
        <v>0</v>
      </c>
    </row>
    <row r="724" spans="1:13">
      <c r="A724" s="2" t="s">
        <v>217</v>
      </c>
      <c r="B724" s="2" t="s">
        <v>188</v>
      </c>
      <c r="C724" s="2" t="s">
        <v>189</v>
      </c>
      <c r="D724" s="2" t="s">
        <v>78</v>
      </c>
      <c r="E724" s="2" t="s">
        <v>72</v>
      </c>
      <c r="F724" s="213" t="s">
        <v>79</v>
      </c>
      <c r="G724" s="213" t="s">
        <v>79</v>
      </c>
      <c r="H724" s="213" t="s">
        <v>79</v>
      </c>
      <c r="I724" s="213" t="s">
        <v>79</v>
      </c>
      <c r="J724" s="213" t="s">
        <v>79</v>
      </c>
      <c r="K724" s="213" t="s">
        <v>79</v>
      </c>
      <c r="L724" s="213" t="s">
        <v>79</v>
      </c>
      <c r="M724" s="180">
        <f t="shared" si="11"/>
        <v>0</v>
      </c>
    </row>
    <row r="725" spans="1:13">
      <c r="A725" s="2" t="s">
        <v>217</v>
      </c>
      <c r="B725" s="2" t="s">
        <v>190</v>
      </c>
      <c r="C725" s="2" t="s">
        <v>191</v>
      </c>
      <c r="D725" s="2" t="s">
        <v>78</v>
      </c>
      <c r="E725" s="2" t="s">
        <v>72</v>
      </c>
      <c r="F725" s="213" t="s">
        <v>79</v>
      </c>
      <c r="G725" s="213" t="s">
        <v>79</v>
      </c>
      <c r="H725" s="213" t="s">
        <v>79</v>
      </c>
      <c r="I725" s="213" t="s">
        <v>79</v>
      </c>
      <c r="J725" s="213" t="s">
        <v>79</v>
      </c>
      <c r="K725" s="213" t="s">
        <v>79</v>
      </c>
      <c r="L725" s="213" t="s">
        <v>79</v>
      </c>
      <c r="M725" s="180">
        <f t="shared" si="11"/>
        <v>0</v>
      </c>
    </row>
    <row r="726" spans="1:13">
      <c r="A726" s="2" t="s">
        <v>217</v>
      </c>
      <c r="B726" s="2" t="s">
        <v>192</v>
      </c>
      <c r="C726" s="2" t="s">
        <v>193</v>
      </c>
      <c r="D726" s="2" t="s">
        <v>78</v>
      </c>
      <c r="E726" s="2" t="s">
        <v>72</v>
      </c>
      <c r="F726" s="213" t="s">
        <v>79</v>
      </c>
      <c r="G726" s="213" t="s">
        <v>79</v>
      </c>
      <c r="H726" s="213" t="s">
        <v>79</v>
      </c>
      <c r="I726" s="213" t="s">
        <v>79</v>
      </c>
      <c r="J726" s="213" t="s">
        <v>79</v>
      </c>
      <c r="K726" s="213" t="s">
        <v>79</v>
      </c>
      <c r="L726" s="213" t="s">
        <v>79</v>
      </c>
      <c r="M726" s="180">
        <f t="shared" si="11"/>
        <v>0</v>
      </c>
    </row>
    <row r="727" spans="1:13">
      <c r="A727" s="2" t="s">
        <v>217</v>
      </c>
      <c r="B727" s="2" t="s">
        <v>194</v>
      </c>
      <c r="C727" s="2" t="s">
        <v>195</v>
      </c>
      <c r="D727" s="2" t="s">
        <v>78</v>
      </c>
      <c r="E727" s="2" t="s">
        <v>72</v>
      </c>
      <c r="F727" s="213" t="s">
        <v>79</v>
      </c>
      <c r="G727" s="213" t="s">
        <v>79</v>
      </c>
      <c r="H727" s="213" t="s">
        <v>79</v>
      </c>
      <c r="I727" s="213" t="s">
        <v>79</v>
      </c>
      <c r="J727" s="213" t="s">
        <v>79</v>
      </c>
      <c r="K727" s="213" t="s">
        <v>79</v>
      </c>
      <c r="L727" s="213" t="s">
        <v>79</v>
      </c>
      <c r="M727" s="180">
        <f t="shared" si="11"/>
        <v>0</v>
      </c>
    </row>
    <row r="728" spans="1:13">
      <c r="A728" s="2" t="s">
        <v>217</v>
      </c>
      <c r="B728" s="2" t="s">
        <v>196</v>
      </c>
      <c r="C728" s="2" t="s">
        <v>197</v>
      </c>
      <c r="D728" s="2" t="s">
        <v>78</v>
      </c>
      <c r="E728" s="2" t="s">
        <v>72</v>
      </c>
      <c r="F728" s="213" t="s">
        <v>79</v>
      </c>
      <c r="G728" s="213" t="s">
        <v>79</v>
      </c>
      <c r="H728" s="213" t="s">
        <v>79</v>
      </c>
      <c r="I728" s="213" t="s">
        <v>79</v>
      </c>
      <c r="J728" s="213" t="s">
        <v>79</v>
      </c>
      <c r="K728" s="213" t="s">
        <v>79</v>
      </c>
      <c r="L728" s="213" t="s">
        <v>79</v>
      </c>
      <c r="M728" s="180">
        <f t="shared" si="11"/>
        <v>0</v>
      </c>
    </row>
    <row r="729" spans="1:13">
      <c r="A729" s="2" t="s">
        <v>217</v>
      </c>
      <c r="B729" s="2" t="s">
        <v>198</v>
      </c>
      <c r="C729" s="2" t="s">
        <v>199</v>
      </c>
      <c r="D729" s="2" t="s">
        <v>78</v>
      </c>
      <c r="E729" s="2" t="s">
        <v>72</v>
      </c>
      <c r="F729" s="213" t="s">
        <v>79</v>
      </c>
      <c r="G729" s="213" t="s">
        <v>79</v>
      </c>
      <c r="H729" s="213" t="s">
        <v>79</v>
      </c>
      <c r="I729" s="213" t="s">
        <v>79</v>
      </c>
      <c r="J729" s="213" t="s">
        <v>79</v>
      </c>
      <c r="K729" s="213" t="s">
        <v>79</v>
      </c>
      <c r="L729" s="213" t="s">
        <v>79</v>
      </c>
      <c r="M729" s="180">
        <f t="shared" si="11"/>
        <v>0</v>
      </c>
    </row>
    <row r="730" spans="1:13">
      <c r="A730" s="2" t="s">
        <v>217</v>
      </c>
      <c r="B730" s="2" t="s">
        <v>200</v>
      </c>
      <c r="C730" s="2" t="s">
        <v>201</v>
      </c>
      <c r="D730" s="2" t="s">
        <v>78</v>
      </c>
      <c r="E730" s="2" t="s">
        <v>72</v>
      </c>
      <c r="F730" s="213" t="s">
        <v>79</v>
      </c>
      <c r="G730" s="213" t="s">
        <v>79</v>
      </c>
      <c r="H730" s="213" t="s">
        <v>79</v>
      </c>
      <c r="I730" s="213" t="s">
        <v>79</v>
      </c>
      <c r="J730" s="213" t="s">
        <v>79</v>
      </c>
      <c r="K730" s="213" t="s">
        <v>79</v>
      </c>
      <c r="L730" s="213" t="s">
        <v>79</v>
      </c>
      <c r="M730" s="180">
        <f t="shared" si="11"/>
        <v>0</v>
      </c>
    </row>
    <row r="731" spans="1:13">
      <c r="A731" s="2" t="s">
        <v>217</v>
      </c>
      <c r="B731" s="2" t="s">
        <v>202</v>
      </c>
      <c r="C731" s="2" t="s">
        <v>203</v>
      </c>
      <c r="D731" s="2" t="s">
        <v>78</v>
      </c>
      <c r="E731" s="2" t="s">
        <v>72</v>
      </c>
      <c r="F731" s="213" t="s">
        <v>79</v>
      </c>
      <c r="G731" s="213" t="s">
        <v>79</v>
      </c>
      <c r="H731" s="213" t="s">
        <v>79</v>
      </c>
      <c r="I731" s="213" t="s">
        <v>79</v>
      </c>
      <c r="J731" s="213" t="s">
        <v>79</v>
      </c>
      <c r="K731" s="213" t="s">
        <v>79</v>
      </c>
      <c r="L731" s="213" t="s">
        <v>79</v>
      </c>
      <c r="M731" s="180">
        <f t="shared" si="11"/>
        <v>0</v>
      </c>
    </row>
    <row r="732" spans="1:13">
      <c r="A732" s="2" t="s">
        <v>217</v>
      </c>
      <c r="B732" s="2" t="s">
        <v>204</v>
      </c>
      <c r="C732" s="2" t="s">
        <v>205</v>
      </c>
      <c r="D732" s="2" t="s">
        <v>78</v>
      </c>
      <c r="E732" s="2" t="s">
        <v>72</v>
      </c>
      <c r="F732" s="213" t="s">
        <v>79</v>
      </c>
      <c r="G732" s="213" t="s">
        <v>79</v>
      </c>
      <c r="H732" s="213" t="s">
        <v>79</v>
      </c>
      <c r="I732" s="213" t="s">
        <v>79</v>
      </c>
      <c r="J732" s="213" t="s">
        <v>79</v>
      </c>
      <c r="K732" s="213" t="s">
        <v>79</v>
      </c>
      <c r="L732" s="213" t="s">
        <v>79</v>
      </c>
      <c r="M732" s="180">
        <f t="shared" si="11"/>
        <v>0</v>
      </c>
    </row>
    <row r="733" spans="1:13">
      <c r="A733" s="2" t="s">
        <v>217</v>
      </c>
      <c r="B733" s="2" t="s">
        <v>206</v>
      </c>
      <c r="C733" s="2" t="s">
        <v>207</v>
      </c>
      <c r="D733" s="2" t="s">
        <v>78</v>
      </c>
      <c r="E733" s="2" t="s">
        <v>72</v>
      </c>
      <c r="F733" s="213" t="s">
        <v>79</v>
      </c>
      <c r="G733" s="213" t="s">
        <v>79</v>
      </c>
      <c r="H733" s="213" t="s">
        <v>79</v>
      </c>
      <c r="I733" s="213" t="s">
        <v>79</v>
      </c>
      <c r="J733" s="213" t="s">
        <v>79</v>
      </c>
      <c r="K733" s="213" t="s">
        <v>79</v>
      </c>
      <c r="L733" s="213" t="s">
        <v>79</v>
      </c>
      <c r="M733" s="180">
        <f t="shared" si="11"/>
        <v>0</v>
      </c>
    </row>
    <row r="734" spans="1:13">
      <c r="A734" s="2" t="s">
        <v>217</v>
      </c>
      <c r="B734" s="2" t="s">
        <v>208</v>
      </c>
      <c r="C734" s="2" t="s">
        <v>209</v>
      </c>
      <c r="D734" s="2" t="s">
        <v>78</v>
      </c>
      <c r="E734" s="2" t="s">
        <v>72</v>
      </c>
      <c r="F734" s="213" t="s">
        <v>79</v>
      </c>
      <c r="G734" s="213" t="s">
        <v>79</v>
      </c>
      <c r="H734" s="213" t="s">
        <v>79</v>
      </c>
      <c r="I734" s="213" t="s">
        <v>79</v>
      </c>
      <c r="J734" s="213" t="s">
        <v>79</v>
      </c>
      <c r="K734" s="213" t="s">
        <v>79</v>
      </c>
      <c r="L734" s="213" t="s">
        <v>79</v>
      </c>
      <c r="M734" s="180">
        <f t="shared" si="11"/>
        <v>0</v>
      </c>
    </row>
    <row r="735" spans="1:13">
      <c r="A735" s="2" t="s">
        <v>217</v>
      </c>
      <c r="B735" s="2" t="s">
        <v>210</v>
      </c>
      <c r="C735" s="2" t="s">
        <v>211</v>
      </c>
      <c r="D735" s="2" t="s">
        <v>78</v>
      </c>
      <c r="E735" s="2" t="s">
        <v>72</v>
      </c>
      <c r="F735" s="213" t="s">
        <v>79</v>
      </c>
      <c r="G735" s="213" t="s">
        <v>79</v>
      </c>
      <c r="H735" s="213" t="s">
        <v>79</v>
      </c>
      <c r="I735" s="213" t="s">
        <v>79</v>
      </c>
      <c r="J735" s="213" t="s">
        <v>79</v>
      </c>
      <c r="K735" s="213" t="s">
        <v>79</v>
      </c>
      <c r="L735" s="213" t="s">
        <v>79</v>
      </c>
      <c r="M735" s="180">
        <f t="shared" si="11"/>
        <v>0</v>
      </c>
    </row>
  </sheetData>
  <mergeCells count="1">
    <mergeCell ref="A1:M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9992-9C05-46F3-BA2B-022134FEF62B}">
  <sheetPr>
    <tabColor rgb="FFCCCCCE"/>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97EB-17D1-4620-BF1A-7B21A1615E15}">
  <sheetPr>
    <tabColor rgb="FFCCCCCE"/>
  </sheetPr>
  <dimension ref="A1:L17"/>
  <sheetViews>
    <sheetView zoomScale="80" zoomScaleNormal="80" workbookViewId="0"/>
  </sheetViews>
  <sheetFormatPr defaultRowHeight="12.75"/>
  <cols>
    <col min="3" max="3" width="25.7109375" customWidth="1"/>
    <col min="4" max="4" width="29.140625" customWidth="1"/>
    <col min="5" max="5" width="27.7109375" customWidth="1"/>
    <col min="6" max="6" width="18.7109375" customWidth="1"/>
    <col min="7" max="7" width="21.28515625" customWidth="1"/>
    <col min="8" max="9" width="17.140625" customWidth="1"/>
    <col min="11" max="11" width="57.85546875" bestFit="1" customWidth="1"/>
  </cols>
  <sheetData>
    <row r="1" spans="1:12" s="2" customFormat="1" ht="31.5">
      <c r="A1" s="1" t="str">
        <f ca="1" xml:space="preserve"> RIGHT(CELL("filename", $A$1), LEN(CELL("filename", $A$1)) - SEARCH("]", CELL("filename", $A$1)))</f>
        <v>Materiality &amp; shallow dive</v>
      </c>
      <c r="B1" s="1"/>
      <c r="C1" s="1"/>
      <c r="D1" s="1"/>
      <c r="E1" s="1"/>
      <c r="F1" s="1"/>
      <c r="G1" s="1"/>
      <c r="H1" s="1"/>
      <c r="I1" s="1"/>
      <c r="J1" s="1"/>
      <c r="K1" s="1"/>
      <c r="L1" s="1"/>
    </row>
    <row r="3" spans="1:12">
      <c r="D3" s="2"/>
      <c r="E3" s="2"/>
      <c r="F3" s="2"/>
      <c r="G3" s="2"/>
      <c r="H3" s="2"/>
      <c r="I3" s="2"/>
    </row>
    <row r="4" spans="1:12" s="2" customFormat="1" ht="22.5" customHeight="1">
      <c r="C4" s="2" t="s">
        <v>93</v>
      </c>
    </row>
    <row r="5" spans="1:12" s="2" customFormat="1" ht="38.25">
      <c r="A5" s="3"/>
      <c r="B5" s="143"/>
      <c r="C5" s="153" t="s">
        <v>218</v>
      </c>
      <c r="D5" s="154" t="s">
        <v>219</v>
      </c>
      <c r="E5" s="138" t="s">
        <v>112</v>
      </c>
      <c r="F5" s="154" t="s">
        <v>220</v>
      </c>
      <c r="G5" s="138" t="s">
        <v>221</v>
      </c>
      <c r="H5" s="155" t="s">
        <v>222</v>
      </c>
      <c r="I5" s="138" t="s">
        <v>223</v>
      </c>
      <c r="K5" s="138" t="s">
        <v>224</v>
      </c>
    </row>
    <row r="6" spans="1:12" s="2" customFormat="1">
      <c r="A6" s="18">
        <v>1</v>
      </c>
      <c r="B6" s="9" t="s">
        <v>75</v>
      </c>
      <c r="C6" s="144">
        <f>_xlfn.XLOOKUP($B6,Data_final_model_format!$A$7:$A$17,Data_final_model_format!$B$7:$B$17)</f>
        <v>6050.1791019508782</v>
      </c>
      <c r="D6" s="145">
        <f>_xlfn.XLOOKUP($B6,Data_final_model_format!$A$7:$A$17,Data_final_model_format!$C$7:$C$17)</f>
        <v>25.616999999999997</v>
      </c>
      <c r="E6" s="146">
        <f ca="1">_xlfn.XLOOKUP($B6,Data_final_model_format!$A$7:$A$17,Data_final_model_format!$K$7:$K$17)</f>
        <v>25.616999999999997</v>
      </c>
      <c r="F6" s="147">
        <f t="shared" ref="F6:F16" ca="1" si="0">E6/C6</f>
        <v>4.2340895316206103E-3</v>
      </c>
      <c r="G6" s="148" t="s">
        <v>225</v>
      </c>
      <c r="H6" s="52">
        <f>_xlfn.XLOOKUP($B6,'Company level efficiencies'!$B$8:$B$18,'Company level efficiencies'!$M$8:$M$18)</f>
        <v>0</v>
      </c>
      <c r="I6" s="149" t="str">
        <f t="shared" ref="I6:I16" ca="1" si="1">IF(G6="Shallow dive",(1-H6)*E6,"")</f>
        <v/>
      </c>
      <c r="K6" s="22"/>
    </row>
    <row r="7" spans="1:12" s="2" customFormat="1">
      <c r="A7" s="19">
        <v>2</v>
      </c>
      <c r="B7" s="9" t="s">
        <v>95</v>
      </c>
      <c r="C7" s="144">
        <f>_xlfn.XLOOKUP($B7,Data_final_model_format!$A$7:$A$17,Data_final_model_format!$B$7:$B$17)</f>
        <v>3318.1690000000003</v>
      </c>
      <c r="D7" s="145">
        <f>_xlfn.XLOOKUP($B7,Data_final_model_format!$A$7:$A$17,Data_final_model_format!$C$7:$C$17)</f>
        <v>3.0489999999999999</v>
      </c>
      <c r="E7" s="146">
        <f ca="1">_xlfn.XLOOKUP($B7,Data_final_model_format!$A$7:$A$17,Data_final_model_format!$K$7:$K$17)</f>
        <v>2.7519999999999998</v>
      </c>
      <c r="F7" s="147">
        <f t="shared" ca="1" si="0"/>
        <v>8.293730668932172E-4</v>
      </c>
      <c r="G7" s="148" t="s">
        <v>226</v>
      </c>
      <c r="H7" s="208">
        <v>0</v>
      </c>
      <c r="I7" s="149">
        <f ca="1">IF(G7="Shallow dive",(1-H7)*E7,"")</f>
        <v>2.7519999999999998</v>
      </c>
      <c r="K7" s="14" t="s">
        <v>227</v>
      </c>
    </row>
    <row r="8" spans="1:12" s="2" customFormat="1">
      <c r="A8" s="18">
        <v>3</v>
      </c>
      <c r="B8" s="9" t="s">
        <v>96</v>
      </c>
      <c r="C8" s="144">
        <f>_xlfn.XLOOKUP($B8,Data_final_model_format!$A$7:$A$17,Data_final_model_format!$B$7:$B$17)</f>
        <v>61.302812018456414</v>
      </c>
      <c r="D8" s="145">
        <f>_xlfn.XLOOKUP($B8,Data_final_model_format!$A$7:$A$17,Data_final_model_format!$C$7:$C$17)</f>
        <v>0</v>
      </c>
      <c r="E8" s="146">
        <f ca="1">_xlfn.XLOOKUP($B8,Data_final_model_format!$A$7:$A$17,Data_final_model_format!$K$7:$K$17)</f>
        <v>0</v>
      </c>
      <c r="F8" s="147">
        <f t="shared" ca="1" si="0"/>
        <v>0</v>
      </c>
      <c r="G8" s="148"/>
      <c r="H8" s="208">
        <v>0</v>
      </c>
      <c r="I8" s="149"/>
      <c r="K8" s="14" t="s">
        <v>227</v>
      </c>
    </row>
    <row r="9" spans="1:12" s="2" customFormat="1">
      <c r="A9" s="19">
        <v>4</v>
      </c>
      <c r="B9" s="9" t="s">
        <v>97</v>
      </c>
      <c r="C9" s="144">
        <f>_xlfn.XLOOKUP($B9,Data_final_model_format!$A$7:$A$17,Data_final_model_format!$B$7:$B$17)</f>
        <v>3207.9274023759344</v>
      </c>
      <c r="D9" s="145">
        <f>_xlfn.XLOOKUP($B9,Data_final_model_format!$A$7:$A$17,Data_final_model_format!$C$7:$C$17)</f>
        <v>5.2639999999999993</v>
      </c>
      <c r="E9" s="146">
        <f ca="1">_xlfn.XLOOKUP($B9,Data_final_model_format!$A$7:$A$17,Data_final_model_format!$K$7:$K$17)</f>
        <v>5.2639999999999993</v>
      </c>
      <c r="F9" s="147">
        <f t="shared" ca="1" si="0"/>
        <v>1.6409348902662964E-3</v>
      </c>
      <c r="G9" s="148" t="s">
        <v>226</v>
      </c>
      <c r="H9" s="208">
        <v>0</v>
      </c>
      <c r="I9" s="149">
        <f t="shared" ca="1" si="1"/>
        <v>5.2639999999999993</v>
      </c>
      <c r="K9" s="14" t="s">
        <v>227</v>
      </c>
    </row>
    <row r="10" spans="1:12" s="2" customFormat="1">
      <c r="A10" s="18">
        <v>5</v>
      </c>
      <c r="B10" s="9" t="s">
        <v>102</v>
      </c>
      <c r="C10" s="144">
        <f>_xlfn.XLOOKUP($B10,Data_final_model_format!$A$7:$A$17,Data_final_model_format!$B$7:$B$17)</f>
        <v>8993.1795747355063</v>
      </c>
      <c r="D10" s="145">
        <f>_xlfn.XLOOKUP($B10,Data_final_model_format!$A$7:$A$17,Data_final_model_format!$C$7:$C$17)</f>
        <v>8.3795515389849466</v>
      </c>
      <c r="E10" s="146">
        <f ca="1">_xlfn.XLOOKUP($B10,Data_final_model_format!$A$7:$A$17,Data_final_model_format!$K$7:$K$17)</f>
        <v>8.3795515389849449</v>
      </c>
      <c r="F10" s="147">
        <f t="shared" ca="1" si="0"/>
        <v>9.3176739876579091E-4</v>
      </c>
      <c r="G10" s="148" t="s">
        <v>226</v>
      </c>
      <c r="H10" s="208">
        <v>0</v>
      </c>
      <c r="I10" s="149">
        <f ca="1">IF(G10="Shallow dive",(1-H10)*E10,"")</f>
        <v>8.3795515389849449</v>
      </c>
      <c r="K10" s="14" t="s">
        <v>227</v>
      </c>
    </row>
    <row r="11" spans="1:12" s="2" customFormat="1">
      <c r="A11" s="19">
        <v>6</v>
      </c>
      <c r="B11" s="9" t="s">
        <v>100</v>
      </c>
      <c r="C11" s="144">
        <f>_xlfn.XLOOKUP($B11,Data_final_model_format!$A$7:$A$17,Data_final_model_format!$B$7:$B$17)</f>
        <v>5114.195692241</v>
      </c>
      <c r="D11" s="145">
        <f>_xlfn.XLOOKUP($B11,Data_final_model_format!$A$7:$A$17,Data_final_model_format!$C$7:$C$17)</f>
        <v>2.2390000000000003</v>
      </c>
      <c r="E11" s="146">
        <f ca="1">_xlfn.XLOOKUP($B11,Data_final_model_format!$A$7:$A$17,Data_final_model_format!$K$7:$K$17)</f>
        <v>2.2390000000000003</v>
      </c>
      <c r="F11" s="147">
        <f t="shared" ca="1" si="0"/>
        <v>4.3780100229580545E-4</v>
      </c>
      <c r="G11" s="148" t="s">
        <v>226</v>
      </c>
      <c r="H11" s="208">
        <v>0</v>
      </c>
      <c r="I11" s="149">
        <f ca="1">IF(G11="Shallow dive",(1-H11)*E11,"")</f>
        <v>2.2390000000000003</v>
      </c>
      <c r="K11" s="14" t="s">
        <v>227</v>
      </c>
    </row>
    <row r="12" spans="1:12" s="2" customFormat="1">
      <c r="A12" s="18">
        <v>7</v>
      </c>
      <c r="B12" s="9" t="s">
        <v>98</v>
      </c>
      <c r="C12" s="144">
        <f>_xlfn.XLOOKUP($B12,Data_final_model_format!$A$7:$A$17,Data_final_model_format!$B$7:$B$17)</f>
        <v>8618.71199666149</v>
      </c>
      <c r="D12" s="145">
        <f>_xlfn.XLOOKUP($B12,Data_final_model_format!$A$7:$A$17,Data_final_model_format!$C$7:$C$17)</f>
        <v>5.7906882190384223</v>
      </c>
      <c r="E12" s="146">
        <f ca="1">_xlfn.XLOOKUP($B12,Data_final_model_format!$A$7:$A$17,Data_final_model_format!$K$7:$K$17)</f>
        <v>5.7906882190384223</v>
      </c>
      <c r="F12" s="147">
        <f t="shared" ca="1" si="0"/>
        <v>6.718739669316576E-4</v>
      </c>
      <c r="G12" s="148" t="s">
        <v>226</v>
      </c>
      <c r="H12" s="208">
        <v>0</v>
      </c>
      <c r="I12" s="149">
        <f t="shared" ca="1" si="1"/>
        <v>5.7906882190384223</v>
      </c>
      <c r="K12" s="14" t="s">
        <v>227</v>
      </c>
    </row>
    <row r="13" spans="1:12" s="2" customFormat="1">
      <c r="A13" s="19">
        <v>8</v>
      </c>
      <c r="B13" s="9" t="s">
        <v>99</v>
      </c>
      <c r="C13" s="144">
        <f>_xlfn.XLOOKUP($B13,Data_final_model_format!$A$7:$A$17,Data_final_model_format!$B$7:$B$17)</f>
        <v>2220.3792602351086</v>
      </c>
      <c r="D13" s="145">
        <f>_xlfn.XLOOKUP($B13,Data_final_model_format!$A$7:$A$17,Data_final_model_format!$C$7:$C$17)</f>
        <v>2.1859999999999999</v>
      </c>
      <c r="E13" s="146">
        <f ca="1">_xlfn.XLOOKUP($B13,Data_final_model_format!$A$7:$A$17,Data_final_model_format!$K$7:$K$17)</f>
        <v>2.1859999999999999</v>
      </c>
      <c r="F13" s="147">
        <f t="shared" ca="1" si="0"/>
        <v>9.8451649191162575E-4</v>
      </c>
      <c r="G13" s="148" t="s">
        <v>226</v>
      </c>
      <c r="H13" s="208">
        <v>0</v>
      </c>
      <c r="I13" s="149">
        <f t="shared" ca="1" si="1"/>
        <v>2.1859999999999999</v>
      </c>
      <c r="K13" s="14" t="s">
        <v>227</v>
      </c>
    </row>
    <row r="14" spans="1:12" s="2" customFormat="1">
      <c r="A14" s="18">
        <v>9</v>
      </c>
      <c r="B14" s="9" t="s">
        <v>101</v>
      </c>
      <c r="C14" s="144">
        <f>_xlfn.XLOOKUP($B14,Data_final_model_format!$A$7:$A$17,Data_final_model_format!$B$7:$B$17)</f>
        <v>12775.473797822482</v>
      </c>
      <c r="D14" s="145">
        <f>_xlfn.XLOOKUP($B14,Data_final_model_format!$A$7:$A$17,Data_final_model_format!$C$7:$C$17)</f>
        <v>7.3220000000000001</v>
      </c>
      <c r="E14" s="146">
        <f ca="1">_xlfn.XLOOKUP($B14,Data_final_model_format!$A$7:$A$17,Data_final_model_format!$K$7:$K$17)</f>
        <v>7.3220000000000001</v>
      </c>
      <c r="F14" s="147">
        <f t="shared" ca="1" si="0"/>
        <v>5.7312942876905273E-4</v>
      </c>
      <c r="G14" s="148" t="s">
        <v>226</v>
      </c>
      <c r="H14" s="208">
        <v>0</v>
      </c>
      <c r="I14" s="149">
        <f t="shared" ca="1" si="1"/>
        <v>7.3220000000000001</v>
      </c>
      <c r="K14" s="14" t="s">
        <v>227</v>
      </c>
    </row>
    <row r="15" spans="1:12" s="2" customFormat="1">
      <c r="A15" s="19">
        <v>10</v>
      </c>
      <c r="B15" s="9" t="s">
        <v>103</v>
      </c>
      <c r="C15" s="144">
        <f>_xlfn.XLOOKUP($B15,Data_final_model_format!$A$7:$A$17,Data_final_model_format!$B$7:$B$17)</f>
        <v>3717.8809591462623</v>
      </c>
      <c r="D15" s="145">
        <f>_xlfn.XLOOKUP($B15,Data_final_model_format!$A$7:$A$17,Data_final_model_format!$C$7:$C$17)</f>
        <v>9.9811540000000001</v>
      </c>
      <c r="E15" s="146">
        <f ca="1">_xlfn.XLOOKUP($B15,Data_final_model_format!$A$7:$A$17,Data_final_model_format!$K$7:$K$17)</f>
        <v>9.9811540000000001</v>
      </c>
      <c r="F15" s="147">
        <f t="shared" ca="1" si="0"/>
        <v>2.6846351751649345E-3</v>
      </c>
      <c r="G15" s="148" t="s">
        <v>226</v>
      </c>
      <c r="H15" s="208">
        <v>0</v>
      </c>
      <c r="I15" s="149">
        <f t="shared" ca="1" si="1"/>
        <v>9.9811540000000001</v>
      </c>
      <c r="K15" s="14" t="s">
        <v>227</v>
      </c>
    </row>
    <row r="16" spans="1:12" s="2" customFormat="1">
      <c r="A16" s="18">
        <v>11</v>
      </c>
      <c r="B16" s="9" t="s">
        <v>104</v>
      </c>
      <c r="C16" s="144">
        <f>_xlfn.XLOOKUP($B16,Data_final_model_format!$A$7:$A$17,Data_final_model_format!$B$7:$B$17)</f>
        <v>4605.5684455095561</v>
      </c>
      <c r="D16" s="145">
        <f>_xlfn.XLOOKUP($B16,Data_final_model_format!$A$7:$A$17,Data_final_model_format!$C$7:$C$17)</f>
        <v>5.5708608000000002</v>
      </c>
      <c r="E16" s="146">
        <f ca="1">_xlfn.XLOOKUP($B16,Data_final_model_format!$A$7:$A$17,Data_final_model_format!$K$7:$K$17)</f>
        <v>5.5708608000000011</v>
      </c>
      <c r="F16" s="147">
        <f t="shared" ca="1" si="0"/>
        <v>1.2095924457341651E-3</v>
      </c>
      <c r="G16" s="148" t="s">
        <v>226</v>
      </c>
      <c r="H16" s="208">
        <v>0</v>
      </c>
      <c r="I16" s="149">
        <f t="shared" ca="1" si="1"/>
        <v>5.5708608000000011</v>
      </c>
      <c r="K16" s="14" t="s">
        <v>227</v>
      </c>
    </row>
    <row r="17" spans="1:11" s="2" customFormat="1">
      <c r="A17" s="3"/>
      <c r="B17" s="16" t="s">
        <v>105</v>
      </c>
      <c r="C17" s="150">
        <f>SUM(C6:C16)</f>
        <v>58682.968042696673</v>
      </c>
      <c r="D17" s="151">
        <f>SUM(D6:D16)</f>
        <v>75.399254558023372</v>
      </c>
      <c r="E17" s="152">
        <f ca="1">SUM(E6:E16)</f>
        <v>75.102254558023361</v>
      </c>
      <c r="F17" s="150"/>
      <c r="G17" s="150"/>
      <c r="H17" s="150"/>
      <c r="I17" s="150">
        <f t="shared" ref="I17" ca="1" si="2">SUM(I6:I16)</f>
        <v>49.485254558023364</v>
      </c>
      <c r="K17" s="15"/>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A6FFC5-B66E-455E-ADD3-4BF65F6D9C88}">
          <x14:formula1>
            <xm:f>'DROPDOWN LISTS'!$F$5:$F$7</xm:f>
          </x14:formula1>
          <xm:sqref>G6:G16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B7808-5213-47A0-B9EF-1EA99550AE16}">
  <sheetPr>
    <tabColor rgb="FFCCCCCE"/>
  </sheetPr>
  <dimension ref="A1:AA54"/>
  <sheetViews>
    <sheetView zoomScale="80" zoomScaleNormal="80" workbookViewId="0"/>
  </sheetViews>
  <sheetFormatPr defaultRowHeight="12.75"/>
  <cols>
    <col min="1" max="1" width="16.42578125" customWidth="1"/>
    <col min="2" max="3" width="15" customWidth="1"/>
    <col min="4" max="5" width="14" customWidth="1"/>
    <col min="6" max="7" width="13.5703125" customWidth="1"/>
    <col min="8" max="9" width="12.140625" customWidth="1"/>
    <col min="11" max="11" width="14.140625" customWidth="1"/>
    <col min="12" max="12" width="22.7109375" customWidth="1"/>
    <col min="13" max="13" width="14.5703125" customWidth="1"/>
    <col min="14" max="14" width="11.7109375" customWidth="1"/>
    <col min="15" max="16" width="10.85546875" customWidth="1"/>
    <col min="17" max="17" width="11.7109375" customWidth="1"/>
    <col min="18" max="18" width="21.5703125" customWidth="1"/>
    <col min="19" max="20" width="10.42578125" customWidth="1"/>
    <col min="21" max="21" width="21.5703125" customWidth="1"/>
    <col min="24" max="24" width="10" customWidth="1"/>
    <col min="25" max="25" width="19.5703125" customWidth="1"/>
    <col min="26" max="26" width="21.5703125" customWidth="1"/>
  </cols>
  <sheetData>
    <row r="1" spans="1:27" s="2" customFormat="1" ht="31.5" customHeight="1">
      <c r="A1" s="1" t="str">
        <f ca="1" xml:space="preserve"> RIGHT(CELL("filename", $A$1), LEN(CELL("filename", $A$1)) - SEARCH("]", CELL("filename", $A$1)))</f>
        <v>Modelled costs</v>
      </c>
      <c r="B1" s="1"/>
      <c r="C1" s="1"/>
      <c r="D1" s="1"/>
      <c r="E1" s="1"/>
      <c r="F1" s="1"/>
      <c r="G1" s="1"/>
      <c r="H1" s="1"/>
      <c r="I1" s="1"/>
      <c r="J1" s="1"/>
      <c r="K1" s="1"/>
      <c r="L1" s="1"/>
    </row>
    <row r="2" spans="1:27" ht="8.25" customHeight="1" thickBot="1"/>
    <row r="3" spans="1:27" s="2" customFormat="1" ht="13.5" thickBot="1">
      <c r="A3" s="148" t="s">
        <v>228</v>
      </c>
      <c r="D3" s="224" t="s">
        <v>229</v>
      </c>
      <c r="E3" s="225"/>
      <c r="F3" s="225"/>
      <c r="G3" s="225"/>
      <c r="H3" s="225"/>
      <c r="I3" s="225"/>
      <c r="J3" s="225"/>
      <c r="K3" s="226"/>
      <c r="L3" s="224" t="s">
        <v>230</v>
      </c>
      <c r="M3" s="225"/>
      <c r="N3" s="225"/>
      <c r="O3" s="225"/>
      <c r="P3" s="225"/>
      <c r="Q3" s="225"/>
      <c r="R3" s="226"/>
      <c r="S3" s="224" t="s">
        <v>231</v>
      </c>
      <c r="T3" s="225"/>
      <c r="U3" s="226"/>
      <c r="V3" s="224" t="s">
        <v>232</v>
      </c>
      <c r="W3" s="225"/>
      <c r="X3" s="225"/>
      <c r="Y3" s="226"/>
      <c r="Z3"/>
    </row>
    <row r="4" spans="1:27" s="2" customFormat="1" ht="76.5">
      <c r="A4" s="136" t="s">
        <v>52</v>
      </c>
      <c r="B4" s="187" t="s">
        <v>233</v>
      </c>
      <c r="C4" s="137" t="s">
        <v>111</v>
      </c>
      <c r="D4" s="188" t="s">
        <v>64</v>
      </c>
      <c r="E4" s="188" t="s">
        <v>65</v>
      </c>
      <c r="F4" s="189" t="s">
        <v>66</v>
      </c>
      <c r="G4" s="189" t="s">
        <v>67</v>
      </c>
      <c r="H4" s="189" t="s">
        <v>68</v>
      </c>
      <c r="I4" s="189" t="s">
        <v>69</v>
      </c>
      <c r="J4" s="189" t="s">
        <v>70</v>
      </c>
      <c r="K4" s="137" t="s">
        <v>112</v>
      </c>
      <c r="L4" s="190" t="s">
        <v>234</v>
      </c>
      <c r="M4" s="137" t="s">
        <v>112</v>
      </c>
      <c r="N4" s="190" t="s">
        <v>235</v>
      </c>
      <c r="O4" s="191" t="s">
        <v>236</v>
      </c>
      <c r="P4" s="191" t="s">
        <v>237</v>
      </c>
      <c r="Q4" s="190" t="s">
        <v>238</v>
      </c>
      <c r="R4" s="190" t="s">
        <v>239</v>
      </c>
      <c r="S4" s="190" t="s">
        <v>240</v>
      </c>
      <c r="T4" s="190" t="s">
        <v>241</v>
      </c>
      <c r="U4" s="190" t="s">
        <v>242</v>
      </c>
      <c r="V4" s="190" t="s">
        <v>243</v>
      </c>
      <c r="W4" s="190" t="s">
        <v>244</v>
      </c>
      <c r="X4" s="190" t="s">
        <v>245</v>
      </c>
      <c r="Y4" s="190" t="s">
        <v>246</v>
      </c>
      <c r="Z4" s="137" t="s">
        <v>247</v>
      </c>
      <c r="AA4" s="137" t="s">
        <v>248</v>
      </c>
    </row>
    <row r="5" spans="1:27" s="2" customFormat="1">
      <c r="A5" s="29" t="str">
        <f>Data_final_model_format!A7</f>
        <v>ANH</v>
      </c>
      <c r="B5" s="88">
        <f>_xlfn.XLOOKUP($A5,Data_final_model_format!$A$7:$A$17,Data_final_model_format!$B$7:$B$17)</f>
        <v>6050.1791019508782</v>
      </c>
      <c r="C5" s="88">
        <f>_xlfn.XLOOKUP($A5,Data_final_model_format!$A$7:$A$17,Data_final_model_format!$C$7:$C$17)</f>
        <v>25.616999999999997</v>
      </c>
      <c r="D5" s="88">
        <f ca="1">_xlfn.XLOOKUP($A5,Data_final_model_format!$A$7:$A$17,Data_final_model_format!D$7:D$17)</f>
        <v>1.9E-2</v>
      </c>
      <c r="E5" s="88">
        <f ca="1">_xlfn.XLOOKUP($A5,Data_final_model_format!$A$7:$A$17,Data_final_model_format!E$7:E$17)</f>
        <v>1.7999999999999999E-2</v>
      </c>
      <c r="F5" s="88">
        <f ca="1">_xlfn.XLOOKUP($A5,Data_final_model_format!$A$7:$A$17,Data_final_model_format!F$7:F$17)</f>
        <v>4.6470000000000002</v>
      </c>
      <c r="G5" s="88">
        <f ca="1">_xlfn.XLOOKUP($A5,Data_final_model_format!$A$7:$A$17,Data_final_model_format!G$7:G$17)</f>
        <v>6.5570000000000004</v>
      </c>
      <c r="H5" s="88">
        <f ca="1">_xlfn.XLOOKUP($A5,Data_final_model_format!$A$7:$A$17,Data_final_model_format!H$7:H$17)</f>
        <v>4.6680000000000001</v>
      </c>
      <c r="I5" s="88">
        <f ca="1">_xlfn.XLOOKUP($A5,Data_final_model_format!$A$7:$A$17,Data_final_model_format!I$7:I$17)</f>
        <v>4.6769999999999996</v>
      </c>
      <c r="J5" s="88">
        <f ca="1">_xlfn.XLOOKUP($A5,Data_final_model_format!$A$7:$A$17,Data_final_model_format!J$7:J$17)</f>
        <v>5.0309999999999997</v>
      </c>
      <c r="K5" s="89">
        <f ca="1">SUM(D5:J5)</f>
        <v>25.616999999999997</v>
      </c>
      <c r="L5" s="88">
        <f ca="1">_xlfn.XLOOKUP($A5,Data_final_model_format!$A$7:$A$17,Data_final_model_format!L$7:L$17)</f>
        <v>7392.8429999999998</v>
      </c>
      <c r="M5" s="156">
        <f ca="1">K5</f>
        <v>25.616999999999997</v>
      </c>
      <c r="N5" s="156">
        <f ca="1">C5-M5</f>
        <v>0</v>
      </c>
      <c r="O5" s="157">
        <f ca="1">IF($A5="ANH",0,M5)</f>
        <v>0</v>
      </c>
      <c r="P5" s="157">
        <v>0</v>
      </c>
      <c r="Q5" s="135">
        <f ca="1">(L$24*(L5)+M$24)</f>
        <v>7.8230012894220256</v>
      </c>
      <c r="R5" s="135">
        <f ca="1">Q5-K5</f>
        <v>-17.793998710577974</v>
      </c>
      <c r="S5" s="135">
        <f ca="1">IFERROR(K5/L5,"")</f>
        <v>3.4651080781777726E-3</v>
      </c>
      <c r="T5" s="158">
        <f ca="1">L5*(S$16)</f>
        <v>6.9479469618207066</v>
      </c>
      <c r="U5" s="158">
        <f ca="1">T5-K5</f>
        <v>-18.669053038179293</v>
      </c>
      <c r="V5" s="158"/>
      <c r="W5" s="158"/>
      <c r="X5" s="158"/>
      <c r="Y5" s="158">
        <f>EXP(X5)</f>
        <v>1</v>
      </c>
      <c r="Z5" s="135">
        <f ca="1">Y5-K5</f>
        <v>-24.616999999999997</v>
      </c>
      <c r="AA5" s="158">
        <f t="shared" ref="AA5:AA14" ca="1" si="0">M5/Y5</f>
        <v>25.616999999999997</v>
      </c>
    </row>
    <row r="6" spans="1:27" s="2" customFormat="1">
      <c r="A6" s="29" t="str">
        <f>Data_final_model_format!A8</f>
        <v>WSH</v>
      </c>
      <c r="B6" s="88">
        <f>_xlfn.XLOOKUP($A6,Data_final_model_format!$A$7:$A$17,Data_final_model_format!$B$7:$B$17)</f>
        <v>3318.1690000000003</v>
      </c>
      <c r="C6" s="88">
        <f>_xlfn.XLOOKUP($A6,Data_final_model_format!$A$7:$A$17,Data_final_model_format!$C$7:$C$17)</f>
        <v>3.0489999999999999</v>
      </c>
      <c r="D6" s="88">
        <f ca="1">_xlfn.XLOOKUP($A6,Data_final_model_format!$A$7:$A$17,Data_final_model_format!D$7:D$17)</f>
        <v>0</v>
      </c>
      <c r="E6" s="88">
        <f ca="1">_xlfn.XLOOKUP($A6,Data_final_model_format!$A$7:$A$17,Data_final_model_format!E$7:E$17)</f>
        <v>0</v>
      </c>
      <c r="F6" s="88">
        <f ca="1">_xlfn.XLOOKUP($A6,Data_final_model_format!$A$7:$A$17,Data_final_model_format!F$7:F$17)</f>
        <v>1.3959999999999999</v>
      </c>
      <c r="G6" s="88">
        <f ca="1">_xlfn.XLOOKUP($A6,Data_final_model_format!$A$7:$A$17,Data_final_model_format!G$7:G$17)</f>
        <v>1.3560000000000001</v>
      </c>
      <c r="H6" s="88">
        <f ca="1">_xlfn.XLOOKUP($A6,Data_final_model_format!$A$7:$A$17,Data_final_model_format!H$7:H$17)</f>
        <v>0</v>
      </c>
      <c r="I6" s="88">
        <f ca="1">_xlfn.XLOOKUP($A6,Data_final_model_format!$A$7:$A$17,Data_final_model_format!I$7:I$17)</f>
        <v>0</v>
      </c>
      <c r="J6" s="88">
        <f ca="1">_xlfn.XLOOKUP($A6,Data_final_model_format!$A$7:$A$17,Data_final_model_format!J$7:J$17)</f>
        <v>0</v>
      </c>
      <c r="K6" s="89">
        <f t="shared" ref="K6:K15" ca="1" si="1">SUM(D6:J6)</f>
        <v>2.7519999999999998</v>
      </c>
      <c r="L6" s="88">
        <f ca="1">_xlfn.XLOOKUP($A6,Data_final_model_format!$A$7:$A$17,Data_final_model_format!L$7:L$17)</f>
        <v>3946.3209999999999</v>
      </c>
      <c r="M6" s="156">
        <f t="shared" ref="M6:M15" ca="1" si="2">K6</f>
        <v>2.7519999999999998</v>
      </c>
      <c r="N6" s="156">
        <f t="shared" ref="N6:N15" ca="1" si="3">C6-M6</f>
        <v>0.29700000000000015</v>
      </c>
      <c r="O6" s="157">
        <f t="shared" ref="O6:O15" ca="1" si="4">IF($A6="ANH",0,M6)</f>
        <v>2.7519999999999998</v>
      </c>
      <c r="P6" s="157">
        <f ca="1">L6</f>
        <v>3946.3209999999999</v>
      </c>
      <c r="Q6" s="135">
        <f t="shared" ref="Q6:Q15" ca="1" si="5">(L$24*(L6)+M$24)</f>
        <v>6.5677067034547969</v>
      </c>
      <c r="R6" s="135">
        <f t="shared" ref="R6:R15" ca="1" si="6">Q6-K6</f>
        <v>3.8157067034547971</v>
      </c>
      <c r="S6" s="135">
        <f t="shared" ref="S6:S15" ca="1" si="7">IFERROR(K6/L6,"")</f>
        <v>6.9735837505362588E-4</v>
      </c>
      <c r="T6" s="158">
        <f t="shared" ref="T6:T15" ca="1" si="8">L6*(S$16)</f>
        <v>3.7088342065859177</v>
      </c>
      <c r="U6" s="158">
        <f t="shared" ref="U6:U15" ca="1" si="9">T6-K6</f>
        <v>0.95683420658591789</v>
      </c>
      <c r="V6" s="158">
        <f t="shared" ref="V6:V15" ca="1" si="10">LN(L6)</f>
        <v>8.2805390314746852</v>
      </c>
      <c r="W6" s="158">
        <f t="shared" ref="W6:W15" ca="1" si="11">LN(K6)</f>
        <v>1.0123279200710971</v>
      </c>
      <c r="X6" s="158">
        <f t="shared" ref="X6:X15" ca="1" si="12">R$24*(V6)+S$24</f>
        <v>1.4495931746642392</v>
      </c>
      <c r="Y6" s="158">
        <f t="shared" ref="Y6:Y15" ca="1" si="13">EXP(X6)</f>
        <v>4.2613805249142969</v>
      </c>
      <c r="Z6" s="135">
        <f t="shared" ref="Z6:Z15" ca="1" si="14">Y6-K6</f>
        <v>1.5093805249142971</v>
      </c>
      <c r="AA6" s="158">
        <f t="shared" ca="1" si="0"/>
        <v>0.64580010724466974</v>
      </c>
    </row>
    <row r="7" spans="1:27" s="2" customFormat="1">
      <c r="A7" s="29" t="s">
        <v>96</v>
      </c>
      <c r="B7" s="88">
        <f>_xlfn.XLOOKUP($A7,Data_final_model_format!$A$7:$A$17,Data_final_model_format!$B$7:$B$17)</f>
        <v>61.302812018456414</v>
      </c>
      <c r="C7" s="88">
        <f>_xlfn.XLOOKUP($A7,Data_final_model_format!$A$7:$A$17,Data_final_model_format!$C$7:$C$17)</f>
        <v>0</v>
      </c>
      <c r="D7" s="88">
        <f ca="1">_xlfn.XLOOKUP($A7,Data_final_model_format!$A$7:$A$17,Data_final_model_format!D$7:D$17)</f>
        <v>0</v>
      </c>
      <c r="E7" s="88">
        <f ca="1">_xlfn.XLOOKUP($A7,Data_final_model_format!$A$7:$A$17,Data_final_model_format!E$7:E$17)</f>
        <v>0</v>
      </c>
      <c r="F7" s="88">
        <f ca="1">_xlfn.XLOOKUP($A7,Data_final_model_format!$A$7:$A$17,Data_final_model_format!F$7:F$17)</f>
        <v>0</v>
      </c>
      <c r="G7" s="88">
        <f ca="1">_xlfn.XLOOKUP($A7,Data_final_model_format!$A$7:$A$17,Data_final_model_format!G$7:G$17)</f>
        <v>0</v>
      </c>
      <c r="H7" s="88">
        <f ca="1">_xlfn.XLOOKUP($A7,Data_final_model_format!$A$7:$A$17,Data_final_model_format!H$7:H$17)</f>
        <v>0</v>
      </c>
      <c r="I7" s="88">
        <f ca="1">_xlfn.XLOOKUP($A7,Data_final_model_format!$A$7:$A$17,Data_final_model_format!I$7:I$17)</f>
        <v>0</v>
      </c>
      <c r="J7" s="88">
        <f ca="1">_xlfn.XLOOKUP($A7,Data_final_model_format!$A$7:$A$17,Data_final_model_format!J$7:J$17)</f>
        <v>0</v>
      </c>
      <c r="K7" s="89">
        <f t="shared" ref="K7" ca="1" si="15">SUM(D7:J7)</f>
        <v>0</v>
      </c>
      <c r="L7" s="88"/>
      <c r="M7" s="156"/>
      <c r="N7" s="156">
        <f t="shared" si="3"/>
        <v>0</v>
      </c>
      <c r="O7" s="157">
        <f t="shared" si="4"/>
        <v>0</v>
      </c>
      <c r="P7" s="157">
        <v>0</v>
      </c>
      <c r="Q7" s="135">
        <f t="shared" ca="1" si="5"/>
        <v>5.1303749859178769</v>
      </c>
      <c r="R7" s="135"/>
      <c r="S7" s="135" t="str">
        <f t="shared" ca="1" si="7"/>
        <v/>
      </c>
      <c r="T7" s="158">
        <f t="shared" ca="1" si="8"/>
        <v>0</v>
      </c>
      <c r="U7" s="158"/>
      <c r="V7" s="158">
        <v>0</v>
      </c>
      <c r="W7" s="158"/>
      <c r="X7" s="158">
        <f t="shared" ca="1" si="12"/>
        <v>-2.1255664391751274</v>
      </c>
      <c r="Y7" s="158"/>
      <c r="Z7" s="135"/>
      <c r="AA7" s="158"/>
    </row>
    <row r="8" spans="1:27" s="2" customFormat="1">
      <c r="A8" s="29" t="str">
        <f>Data_final_model_format!A10</f>
        <v>NES</v>
      </c>
      <c r="B8" s="88">
        <f>_xlfn.XLOOKUP($A8,Data_final_model_format!$A$7:$A$17,Data_final_model_format!$B$7:$B$17)</f>
        <v>3207.9274023759344</v>
      </c>
      <c r="C8" s="88">
        <f>_xlfn.XLOOKUP($A8,Data_final_model_format!$A$7:$A$17,Data_final_model_format!$C$7:$C$17)</f>
        <v>5.2639999999999993</v>
      </c>
      <c r="D8" s="88">
        <f ca="1">_xlfn.XLOOKUP($A8,Data_final_model_format!$A$7:$A$17,Data_final_model_format!D$7:D$17)</f>
        <v>0.03</v>
      </c>
      <c r="E8" s="88">
        <f ca="1">_xlfn.XLOOKUP($A8,Data_final_model_format!$A$7:$A$17,Data_final_model_format!E$7:E$17)</f>
        <v>0.03</v>
      </c>
      <c r="F8" s="88">
        <f ca="1">_xlfn.XLOOKUP($A8,Data_final_model_format!$A$7:$A$17,Data_final_model_format!F$7:F$17)</f>
        <v>2.6019999999999999</v>
      </c>
      <c r="G8" s="88">
        <f ca="1">_xlfn.XLOOKUP($A8,Data_final_model_format!$A$7:$A$17,Data_final_model_format!G$7:G$17)</f>
        <v>2.6019999999999999</v>
      </c>
      <c r="H8" s="88">
        <f ca="1">_xlfn.XLOOKUP($A8,Data_final_model_format!$A$7:$A$17,Data_final_model_format!H$7:H$17)</f>
        <v>0</v>
      </c>
      <c r="I8" s="88">
        <f ca="1">_xlfn.XLOOKUP($A8,Data_final_model_format!$A$7:$A$17,Data_final_model_format!I$7:I$17)</f>
        <v>0</v>
      </c>
      <c r="J8" s="88">
        <f ca="1">_xlfn.XLOOKUP($A8,Data_final_model_format!$A$7:$A$17,Data_final_model_format!J$7:J$17)</f>
        <v>0</v>
      </c>
      <c r="K8" s="89">
        <f t="shared" ca="1" si="1"/>
        <v>5.2639999999999993</v>
      </c>
      <c r="L8" s="88">
        <f ca="1">_xlfn.XLOOKUP($A8,Data_final_model_format!$A$7:$A$17,Data_final_model_format!L$7:L$17)</f>
        <v>2832.5329999999999</v>
      </c>
      <c r="M8" s="156">
        <f t="shared" ca="1" si="2"/>
        <v>5.2639999999999993</v>
      </c>
      <c r="N8" s="156">
        <f t="shared" ca="1" si="3"/>
        <v>0</v>
      </c>
      <c r="O8" s="157">
        <f t="shared" ca="1" si="4"/>
        <v>5.2639999999999993</v>
      </c>
      <c r="P8" s="157">
        <f t="shared" ref="P8:P15" ca="1" si="16">L8</f>
        <v>2832.5329999999999</v>
      </c>
      <c r="Q8" s="135">
        <f t="shared" ca="1" si="5"/>
        <v>6.1620420808830367</v>
      </c>
      <c r="R8" s="135">
        <f t="shared" ca="1" si="6"/>
        <v>0.89804208088303739</v>
      </c>
      <c r="S8" s="135">
        <f t="shared" ca="1" si="7"/>
        <v>1.8584072983439202E-3</v>
      </c>
      <c r="T8" s="158">
        <f t="shared" ca="1" si="8"/>
        <v>2.6620731769370582</v>
      </c>
      <c r="U8" s="158">
        <f t="shared" ca="1" si="9"/>
        <v>-2.6019268230629411</v>
      </c>
      <c r="V8" s="158">
        <f t="shared" ca="1" si="10"/>
        <v>7.9489266433197319</v>
      </c>
      <c r="W8" s="158">
        <f t="shared" ca="1" si="11"/>
        <v>1.660891194023016</v>
      </c>
      <c r="X8" s="158">
        <f t="shared" ca="1" si="12"/>
        <v>1.3064180488573296</v>
      </c>
      <c r="Y8" s="158">
        <f t="shared" ca="1" si="13"/>
        <v>3.6929221264816974</v>
      </c>
      <c r="Z8" s="135">
        <f t="shared" ca="1" si="14"/>
        <v>-1.571077873518302</v>
      </c>
      <c r="AA8" s="158">
        <f t="shared" ca="1" si="0"/>
        <v>1.4254294620111829</v>
      </c>
    </row>
    <row r="9" spans="1:27" s="2" customFormat="1">
      <c r="A9" s="29" t="str">
        <f>Data_final_model_format!A11</f>
        <v>NWT</v>
      </c>
      <c r="B9" s="88">
        <f>_xlfn.XLOOKUP($A9,Data_final_model_format!$A$7:$A$17,Data_final_model_format!$B$7:$B$17)</f>
        <v>8993.1795747355063</v>
      </c>
      <c r="C9" s="88">
        <f>_xlfn.XLOOKUP($A9,Data_final_model_format!$A$7:$A$17,Data_final_model_format!$C$7:$C$17)</f>
        <v>8.3795515389849466</v>
      </c>
      <c r="D9" s="88">
        <f ca="1">_xlfn.XLOOKUP($A9,Data_final_model_format!$A$7:$A$17,Data_final_model_format!D$7:D$17)</f>
        <v>0.31084484288372688</v>
      </c>
      <c r="E9" s="88">
        <f ca="1">_xlfn.XLOOKUP($A9,Data_final_model_format!$A$7:$A$17,Data_final_model_format!E$7:E$17)</f>
        <v>2.019469543117149</v>
      </c>
      <c r="F9" s="88">
        <f ca="1">_xlfn.XLOOKUP($A9,Data_final_model_format!$A$7:$A$17,Data_final_model_format!F$7:F$17)</f>
        <v>3.24249915219084</v>
      </c>
      <c r="G9" s="88">
        <f ca="1">_xlfn.XLOOKUP($A9,Data_final_model_format!$A$7:$A$17,Data_final_model_format!G$7:G$17)</f>
        <v>2.681757880249751</v>
      </c>
      <c r="H9" s="88">
        <f ca="1">_xlfn.XLOOKUP($A9,Data_final_model_format!$A$7:$A$17,Data_final_model_format!H$7:H$17)</f>
        <v>3.4002496492784327E-2</v>
      </c>
      <c r="I9" s="88">
        <f ca="1">_xlfn.XLOOKUP($A9,Data_final_model_format!$A$7:$A$17,Data_final_model_format!I$7:I$17)</f>
        <v>5.6356616175938533E-2</v>
      </c>
      <c r="J9" s="88">
        <f ca="1">_xlfn.XLOOKUP($A9,Data_final_model_format!$A$7:$A$17,Data_final_model_format!J$7:J$17)</f>
        <v>3.4621007874756547E-2</v>
      </c>
      <c r="K9" s="89">
        <f t="shared" ca="1" si="1"/>
        <v>8.3795515389849449</v>
      </c>
      <c r="L9" s="88">
        <f ca="1">_xlfn.XLOOKUP($A9,Data_final_model_format!$A$7:$A$17,Data_final_model_format!L$7:L$17)</f>
        <v>8857.8136265519515</v>
      </c>
      <c r="M9" s="156">
        <f t="shared" ca="1" si="2"/>
        <v>8.3795515389849449</v>
      </c>
      <c r="N9" s="156">
        <f t="shared" ca="1" si="3"/>
        <v>0</v>
      </c>
      <c r="O9" s="157">
        <f t="shared" ca="1" si="4"/>
        <v>8.3795515389849449</v>
      </c>
      <c r="P9" s="157">
        <f t="shared" ca="1" si="16"/>
        <v>8857.8136265519515</v>
      </c>
      <c r="Q9" s="135">
        <f t="shared" ca="1" si="5"/>
        <v>8.3565738869889881</v>
      </c>
      <c r="R9" s="135">
        <f t="shared" ca="1" si="6"/>
        <v>-2.2977651995956805E-2</v>
      </c>
      <c r="S9" s="135">
        <f t="shared" ca="1" si="7"/>
        <v>9.4600675655069318E-4</v>
      </c>
      <c r="T9" s="158">
        <f t="shared" ca="1" si="8"/>
        <v>8.324756697115804</v>
      </c>
      <c r="U9" s="158">
        <f t="shared" ca="1" si="9"/>
        <v>-5.4794841869140853E-2</v>
      </c>
      <c r="V9" s="158">
        <f t="shared" ca="1" si="10"/>
        <v>9.0890552441344497</v>
      </c>
      <c r="W9" s="158">
        <f t="shared" ca="1" si="11"/>
        <v>2.125794397427724</v>
      </c>
      <c r="X9" s="158">
        <f t="shared" ca="1" si="12"/>
        <v>1.7986736511463075</v>
      </c>
      <c r="Y9" s="158">
        <f t="shared" ca="1" si="13"/>
        <v>6.041628840355223</v>
      </c>
      <c r="Z9" s="135">
        <f t="shared" ca="1" si="14"/>
        <v>-2.3379226986297219</v>
      </c>
      <c r="AA9" s="158">
        <f t="shared" ca="1" si="0"/>
        <v>1.3869689384116919</v>
      </c>
    </row>
    <row r="10" spans="1:27" s="2" customFormat="1">
      <c r="A10" s="29" t="str">
        <f>Data_final_model_format!A12</f>
        <v>SRN</v>
      </c>
      <c r="B10" s="88">
        <f>_xlfn.XLOOKUP($A10,Data_final_model_format!$A$7:$A$17,Data_final_model_format!$B$7:$B$17)</f>
        <v>5114.195692241</v>
      </c>
      <c r="C10" s="88">
        <f>_xlfn.XLOOKUP($A10,Data_final_model_format!$A$7:$A$17,Data_final_model_format!$C$7:$C$17)</f>
        <v>2.2390000000000003</v>
      </c>
      <c r="D10" s="88">
        <f ca="1">_xlfn.XLOOKUP($A10,Data_final_model_format!$A$7:$A$17,Data_final_model_format!D$7:D$17)</f>
        <v>0</v>
      </c>
      <c r="E10" s="88">
        <f ca="1">_xlfn.XLOOKUP($A10,Data_final_model_format!$A$7:$A$17,Data_final_model_format!E$7:E$17)</f>
        <v>0</v>
      </c>
      <c r="F10" s="88">
        <f ca="1">_xlfn.XLOOKUP($A10,Data_final_model_format!$A$7:$A$17,Data_final_model_format!F$7:F$17)</f>
        <v>0.70899999999999996</v>
      </c>
      <c r="G10" s="88">
        <f ca="1">_xlfn.XLOOKUP($A10,Data_final_model_format!$A$7:$A$17,Data_final_model_format!G$7:G$17)</f>
        <v>1.4750000000000001</v>
      </c>
      <c r="H10" s="88">
        <f ca="1">_xlfn.XLOOKUP($A10,Data_final_model_format!$A$7:$A$17,Data_final_model_format!H$7:H$17)</f>
        <v>5.5E-2</v>
      </c>
      <c r="I10" s="88">
        <f ca="1">_xlfn.XLOOKUP($A10,Data_final_model_format!$A$7:$A$17,Data_final_model_format!I$7:I$17)</f>
        <v>0</v>
      </c>
      <c r="J10" s="88">
        <f ca="1">_xlfn.XLOOKUP($A10,Data_final_model_format!$A$7:$A$17,Data_final_model_format!J$7:J$17)</f>
        <v>0</v>
      </c>
      <c r="K10" s="89">
        <f t="shared" ca="1" si="1"/>
        <v>2.2390000000000003</v>
      </c>
      <c r="L10" s="88">
        <f ca="1">_xlfn.XLOOKUP($A10,Data_final_model_format!$A$7:$A$17,Data_final_model_format!L$7:L$17)</f>
        <v>4975.1540000000005</v>
      </c>
      <c r="M10" s="156">
        <f t="shared" ca="1" si="2"/>
        <v>2.2390000000000003</v>
      </c>
      <c r="N10" s="156">
        <f t="shared" ca="1" si="3"/>
        <v>0</v>
      </c>
      <c r="O10" s="157">
        <f t="shared" ca="1" si="4"/>
        <v>2.2390000000000003</v>
      </c>
      <c r="P10" s="157">
        <f t="shared" ca="1" si="16"/>
        <v>4975.1540000000005</v>
      </c>
      <c r="Q10" s="135">
        <f t="shared" ca="1" si="5"/>
        <v>6.9424289581696721</v>
      </c>
      <c r="R10" s="135">
        <f t="shared" ca="1" si="6"/>
        <v>4.7034289581696722</v>
      </c>
      <c r="S10" s="135">
        <f t="shared" ca="1" si="7"/>
        <v>4.5003632048374784E-4</v>
      </c>
      <c r="T10" s="158">
        <f t="shared" ca="1" si="8"/>
        <v>4.6757527677633819</v>
      </c>
      <c r="U10" s="158">
        <f t="shared" ca="1" si="9"/>
        <v>2.4367527677633816</v>
      </c>
      <c r="V10" s="158">
        <f t="shared" ca="1" si="10"/>
        <v>8.512211603887474</v>
      </c>
      <c r="W10" s="158">
        <f t="shared" ca="1" si="11"/>
        <v>0.80602933761661788</v>
      </c>
      <c r="X10" s="158">
        <f t="shared" ca="1" si="12"/>
        <v>1.5496188398263984</v>
      </c>
      <c r="Y10" s="158">
        <f t="shared" ca="1" si="13"/>
        <v>4.7096747000029913</v>
      </c>
      <c r="Z10" s="135">
        <f t="shared" ca="1" si="14"/>
        <v>2.4706747000029909</v>
      </c>
      <c r="AA10" s="158">
        <f t="shared" ca="1" si="0"/>
        <v>0.47540438408592811</v>
      </c>
    </row>
    <row r="11" spans="1:27" s="2" customFormat="1">
      <c r="A11" s="29" t="str">
        <f>Data_final_model_format!A13</f>
        <v>SVE</v>
      </c>
      <c r="B11" s="88">
        <f>_xlfn.XLOOKUP($A11,Data_final_model_format!$A$7:$A$17,Data_final_model_format!$B$7:$B$17)</f>
        <v>8618.71199666149</v>
      </c>
      <c r="C11" s="88">
        <f>_xlfn.XLOOKUP($A11,Data_final_model_format!$A$7:$A$17,Data_final_model_format!$C$7:$C$17)</f>
        <v>5.7906882190384223</v>
      </c>
      <c r="D11" s="88">
        <f ca="1">_xlfn.XLOOKUP($A11,Data_final_model_format!$A$7:$A$17,Data_final_model_format!D$7:D$17)</f>
        <v>0</v>
      </c>
      <c r="E11" s="88">
        <f ca="1">_xlfn.XLOOKUP($A11,Data_final_model_format!$A$7:$A$17,Data_final_model_format!E$7:E$17)</f>
        <v>1.5077451020150889</v>
      </c>
      <c r="F11" s="88">
        <f ca="1">_xlfn.XLOOKUP($A11,Data_final_model_format!$A$7:$A$17,Data_final_model_format!F$7:F$17)</f>
        <v>1.0951869413392581</v>
      </c>
      <c r="G11" s="88">
        <f ca="1">_xlfn.XLOOKUP($A11,Data_final_model_format!$A$7:$A$17,Data_final_model_format!G$7:G$17)</f>
        <v>2.62753219832075</v>
      </c>
      <c r="H11" s="88">
        <f ca="1">_xlfn.XLOOKUP($A11,Data_final_model_format!$A$7:$A$17,Data_final_model_format!H$7:H$17)</f>
        <v>0.18554710569434299</v>
      </c>
      <c r="I11" s="88">
        <f ca="1">_xlfn.XLOOKUP($A11,Data_final_model_format!$A$7:$A$17,Data_final_model_format!I$7:I$17)</f>
        <v>0.186676871668983</v>
      </c>
      <c r="J11" s="88">
        <f ca="1">_xlfn.XLOOKUP($A11,Data_final_model_format!$A$7:$A$17,Data_final_model_format!J$7:J$17)</f>
        <v>0.188</v>
      </c>
      <c r="K11" s="89">
        <f t="shared" ca="1" si="1"/>
        <v>5.7906882190384223</v>
      </c>
      <c r="L11" s="88">
        <f ca="1">_xlfn.XLOOKUP($A11,Data_final_model_format!$A$7:$A$17,Data_final_model_format!L$7:L$17)</f>
        <v>10610.32</v>
      </c>
      <c r="M11" s="156">
        <f t="shared" ca="1" si="2"/>
        <v>5.7906882190384223</v>
      </c>
      <c r="N11" s="156">
        <f t="shared" ca="1" si="3"/>
        <v>0</v>
      </c>
      <c r="O11" s="157">
        <f t="shared" ca="1" si="4"/>
        <v>5.7906882190384223</v>
      </c>
      <c r="P11" s="157">
        <f t="shared" ca="1" si="16"/>
        <v>10610.32</v>
      </c>
      <c r="Q11" s="135">
        <f t="shared" ca="1" si="5"/>
        <v>8.9948729497723967</v>
      </c>
      <c r="R11" s="135">
        <f t="shared" ca="1" si="6"/>
        <v>3.2041847307339744</v>
      </c>
      <c r="S11" s="135">
        <f t="shared" ca="1" si="7"/>
        <v>5.4575999772282292E-4</v>
      </c>
      <c r="T11" s="158">
        <f t="shared" ca="1" si="8"/>
        <v>9.9717984823897226</v>
      </c>
      <c r="U11" s="158">
        <f t="shared" ca="1" si="9"/>
        <v>4.1811102633513002</v>
      </c>
      <c r="V11" s="158">
        <f t="shared" ca="1" si="10"/>
        <v>9.2695823913794193</v>
      </c>
      <c r="W11" s="158">
        <f t="shared" ca="1" si="11"/>
        <v>1.7562511479129934</v>
      </c>
      <c r="X11" s="158">
        <f t="shared" ca="1" si="12"/>
        <v>1.8766170511566944</v>
      </c>
      <c r="Y11" s="158">
        <f t="shared" ca="1" si="13"/>
        <v>6.531372148524909</v>
      </c>
      <c r="Z11" s="135">
        <f t="shared" ca="1" si="14"/>
        <v>0.74068392948648665</v>
      </c>
      <c r="AA11" s="158">
        <f t="shared" ca="1" si="0"/>
        <v>0.88659596901797</v>
      </c>
    </row>
    <row r="12" spans="1:27" s="2" customFormat="1">
      <c r="A12" s="29" t="str">
        <f>Data_final_model_format!A14</f>
        <v>SWB</v>
      </c>
      <c r="B12" s="88">
        <f>_xlfn.XLOOKUP($A12,Data_final_model_format!$A$7:$A$17,Data_final_model_format!$B$7:$B$17)</f>
        <v>2220.3792602351086</v>
      </c>
      <c r="C12" s="88">
        <f>_xlfn.XLOOKUP($A12,Data_final_model_format!$A$7:$A$17,Data_final_model_format!$C$7:$C$17)</f>
        <v>2.1859999999999999</v>
      </c>
      <c r="D12" s="88">
        <f ca="1">_xlfn.XLOOKUP($A12,Data_final_model_format!$A$7:$A$17,Data_final_model_format!D$7:D$17)</f>
        <v>0</v>
      </c>
      <c r="E12" s="88">
        <f ca="1">_xlfn.XLOOKUP($A12,Data_final_model_format!$A$7:$A$17,Data_final_model_format!E$7:E$17)</f>
        <v>0</v>
      </c>
      <c r="F12" s="88">
        <f ca="1">_xlfn.XLOOKUP($A12,Data_final_model_format!$A$7:$A$17,Data_final_model_format!F$7:F$17)</f>
        <v>0.56999999999999995</v>
      </c>
      <c r="G12" s="88">
        <f ca="1">_xlfn.XLOOKUP($A12,Data_final_model_format!$A$7:$A$17,Data_final_model_format!G$7:G$17)</f>
        <v>0.67200000000000004</v>
      </c>
      <c r="H12" s="88">
        <f ca="1">_xlfn.XLOOKUP($A12,Data_final_model_format!$A$7:$A$17,Data_final_model_format!H$7:H$17)</f>
        <v>0.70599999999999996</v>
      </c>
      <c r="I12" s="88">
        <f ca="1">_xlfn.XLOOKUP($A12,Data_final_model_format!$A$7:$A$17,Data_final_model_format!I$7:I$17)</f>
        <v>0.17</v>
      </c>
      <c r="J12" s="88">
        <f ca="1">_xlfn.XLOOKUP($A12,Data_final_model_format!$A$7:$A$17,Data_final_model_format!J$7:J$17)</f>
        <v>6.8000000000000005E-2</v>
      </c>
      <c r="K12" s="89">
        <f t="shared" ca="1" si="1"/>
        <v>2.1859999999999999</v>
      </c>
      <c r="L12" s="88">
        <f ca="1">_xlfn.XLOOKUP($A12,Data_final_model_format!$A$7:$A$17,Data_final_model_format!L$7:L$17)</f>
        <v>1743.2239999999999</v>
      </c>
      <c r="M12" s="156">
        <f t="shared" ca="1" si="2"/>
        <v>2.1859999999999999</v>
      </c>
      <c r="N12" s="156">
        <f t="shared" ca="1" si="3"/>
        <v>0</v>
      </c>
      <c r="O12" s="157">
        <f t="shared" ca="1" si="4"/>
        <v>2.1859999999999999</v>
      </c>
      <c r="P12" s="157">
        <f t="shared" ca="1" si="16"/>
        <v>1743.2239999999999</v>
      </c>
      <c r="Q12" s="135">
        <f t="shared" ca="1" si="5"/>
        <v>5.7652932163333901</v>
      </c>
      <c r="R12" s="135">
        <f t="shared" ca="1" si="6"/>
        <v>3.5792932163333901</v>
      </c>
      <c r="S12" s="135">
        <f t="shared" ca="1" si="7"/>
        <v>1.2539983387103435E-3</v>
      </c>
      <c r="T12" s="158">
        <f t="shared" ca="1" si="8"/>
        <v>1.6383180184636601</v>
      </c>
      <c r="U12" s="158">
        <f t="shared" ca="1" si="9"/>
        <v>-0.54768198153633985</v>
      </c>
      <c r="V12" s="158">
        <f t="shared" ref="V12" ca="1" si="17">LN(L12)</f>
        <v>7.4634915513190219</v>
      </c>
      <c r="W12" s="158">
        <f t="shared" ref="W12" ca="1" si="18">LN(K12)</f>
        <v>0.78207338975434681</v>
      </c>
      <c r="X12" s="158">
        <f t="shared" ca="1" si="12"/>
        <v>1.0968292854369053</v>
      </c>
      <c r="Y12" s="158">
        <f t="shared" ca="1" si="13"/>
        <v>2.9946557561242599</v>
      </c>
      <c r="Z12" s="135">
        <f t="shared" ca="1" si="14"/>
        <v>0.80865575612425999</v>
      </c>
      <c r="AA12" s="159">
        <f t="shared" ca="1" si="0"/>
        <v>0.72996704062879081</v>
      </c>
    </row>
    <row r="13" spans="1:27" s="2" customFormat="1">
      <c r="A13" s="29" t="str">
        <f>Data_final_model_format!A15</f>
        <v>TMS</v>
      </c>
      <c r="B13" s="88">
        <f>_xlfn.XLOOKUP($A13,Data_final_model_format!$A$7:$A$17,Data_final_model_format!$B$7:$B$17)</f>
        <v>12775.473797822482</v>
      </c>
      <c r="C13" s="88">
        <f>_xlfn.XLOOKUP($A13,Data_final_model_format!$A$7:$A$17,Data_final_model_format!$C$7:$C$17)</f>
        <v>7.3220000000000001</v>
      </c>
      <c r="D13" s="88">
        <f ca="1">_xlfn.XLOOKUP($A13,Data_final_model_format!$A$7:$A$17,Data_final_model_format!D$7:D$17)</f>
        <v>0</v>
      </c>
      <c r="E13" s="88">
        <f ca="1">_xlfn.XLOOKUP($A13,Data_final_model_format!$A$7:$A$17,Data_final_model_format!E$7:E$17)</f>
        <v>0</v>
      </c>
      <c r="F13" s="88">
        <f ca="1">_xlfn.XLOOKUP($A13,Data_final_model_format!$A$7:$A$17,Data_final_model_format!F$7:F$17)</f>
        <v>1.752</v>
      </c>
      <c r="G13" s="88">
        <f ca="1">_xlfn.XLOOKUP($A13,Data_final_model_format!$A$7:$A$17,Data_final_model_format!G$7:G$17)</f>
        <v>2.6120000000000001</v>
      </c>
      <c r="H13" s="88">
        <f ca="1">_xlfn.XLOOKUP($A13,Data_final_model_format!$A$7:$A$17,Data_final_model_format!H$7:H$17)</f>
        <v>2.7869999999999999</v>
      </c>
      <c r="I13" s="88">
        <f ca="1">_xlfn.XLOOKUP($A13,Data_final_model_format!$A$7:$A$17,Data_final_model_format!I$7:I$17)</f>
        <v>8.5000000000000006E-2</v>
      </c>
      <c r="J13" s="88">
        <f ca="1">_xlfn.XLOOKUP($A13,Data_final_model_format!$A$7:$A$17,Data_final_model_format!J$7:J$17)</f>
        <v>8.5999999999999993E-2</v>
      </c>
      <c r="K13" s="89">
        <f t="shared" ca="1" si="1"/>
        <v>7.3220000000000001</v>
      </c>
      <c r="L13" s="88">
        <f ca="1">_xlfn.XLOOKUP($A13,Data_final_model_format!$A$7:$A$17,Data_final_model_format!L$7:L$17)</f>
        <v>15428.745999999999</v>
      </c>
      <c r="M13" s="156">
        <f ca="1">K13</f>
        <v>7.3220000000000001</v>
      </c>
      <c r="N13" s="156">
        <f t="shared" ca="1" si="3"/>
        <v>0</v>
      </c>
      <c r="O13" s="157">
        <f t="shared" ca="1" si="4"/>
        <v>7.3220000000000001</v>
      </c>
      <c r="P13" s="157">
        <f t="shared" ca="1" si="16"/>
        <v>15428.745999999999</v>
      </c>
      <c r="Q13" s="135">
        <f t="shared" ca="1" si="5"/>
        <v>10.749843343312239</v>
      </c>
      <c r="R13" s="135">
        <f t="shared" ref="R13" ca="1" si="19">Q13-K13</f>
        <v>3.4278433433122393</v>
      </c>
      <c r="S13" s="135">
        <f t="shared" ca="1" si="7"/>
        <v>4.745687044170667E-4</v>
      </c>
      <c r="T13" s="158">
        <f t="shared" ca="1" si="8"/>
        <v>14.50025502981781</v>
      </c>
      <c r="U13" s="158">
        <f t="shared" ref="U13" ca="1" si="20">T13-K13</f>
        <v>7.1782550298178096</v>
      </c>
      <c r="V13" s="158">
        <f t="shared" ref="V13" ca="1" si="21">LN(L13)</f>
        <v>9.6439876718018454</v>
      </c>
      <c r="W13" s="158">
        <f t="shared" ref="W13" ca="1" si="22">LN(K13)</f>
        <v>1.9908835146980444</v>
      </c>
      <c r="X13" s="158">
        <f t="shared" ca="1" si="12"/>
        <v>2.0382681988279439</v>
      </c>
      <c r="Y13" s="158">
        <f t="shared" ref="Y13" ca="1" si="23">EXP(X13)</f>
        <v>7.6773021187888126</v>
      </c>
      <c r="Z13" s="135">
        <f t="shared" ref="Z13" ca="1" si="24">Y13-K13</f>
        <v>0.35530211878881257</v>
      </c>
      <c r="AA13" s="159">
        <f t="shared" ref="AA13" ca="1" si="25">M13/Y13</f>
        <v>0.95372044589475324</v>
      </c>
    </row>
    <row r="14" spans="1:27" s="2" customFormat="1">
      <c r="A14" s="29" t="str">
        <f>Data_final_model_format!A16</f>
        <v>WSX</v>
      </c>
      <c r="B14" s="88">
        <f>_xlfn.XLOOKUP($A14,Data_final_model_format!$A$7:$A$17,Data_final_model_format!$B$7:$B$17)</f>
        <v>3717.8809591462623</v>
      </c>
      <c r="C14" s="88">
        <f>_xlfn.XLOOKUP($A14,Data_final_model_format!$A$7:$A$17,Data_final_model_format!$C$7:$C$17)</f>
        <v>9.9811540000000001</v>
      </c>
      <c r="D14" s="88">
        <f ca="1">_xlfn.XLOOKUP($A14,Data_final_model_format!$A$7:$A$17,Data_final_model_format!D$7:D$17)</f>
        <v>0.187781</v>
      </c>
      <c r="E14" s="88">
        <f ca="1">_xlfn.XLOOKUP($A14,Data_final_model_format!$A$7:$A$17,Data_final_model_format!E$7:E$17)</f>
        <v>0.73588399999999998</v>
      </c>
      <c r="F14" s="88">
        <f ca="1">_xlfn.XLOOKUP($A14,Data_final_model_format!$A$7:$A$17,Data_final_model_format!F$7:F$17)</f>
        <v>3.602735</v>
      </c>
      <c r="G14" s="88">
        <f ca="1">_xlfn.XLOOKUP($A14,Data_final_model_format!$A$7:$A$17,Data_final_model_format!G$7:G$17)</f>
        <v>3.3669609999999999</v>
      </c>
      <c r="H14" s="88">
        <f ca="1">_xlfn.XLOOKUP($A14,Data_final_model_format!$A$7:$A$17,Data_final_model_format!H$7:H$17)</f>
        <v>1.3767480000000001</v>
      </c>
      <c r="I14" s="88">
        <f ca="1">_xlfn.XLOOKUP($A14,Data_final_model_format!$A$7:$A$17,Data_final_model_format!I$7:I$17)</f>
        <v>0.60099900000000006</v>
      </c>
      <c r="J14" s="88">
        <f ca="1">_xlfn.XLOOKUP($A14,Data_final_model_format!$A$7:$A$17,Data_final_model_format!J$7:J$17)</f>
        <v>0.110046</v>
      </c>
      <c r="K14" s="89">
        <f t="shared" ca="1" si="1"/>
        <v>9.9811540000000001</v>
      </c>
      <c r="L14" s="88">
        <f ca="1">_xlfn.XLOOKUP($A14,Data_final_model_format!$A$7:$A$17,Data_final_model_format!L$7:L$17)</f>
        <v>3587.0859999999998</v>
      </c>
      <c r="M14" s="156">
        <f t="shared" ca="1" si="2"/>
        <v>9.9811540000000001</v>
      </c>
      <c r="N14" s="156">
        <f t="shared" ca="1" si="3"/>
        <v>0</v>
      </c>
      <c r="O14" s="157">
        <f t="shared" ca="1" si="4"/>
        <v>9.9811540000000001</v>
      </c>
      <c r="P14" s="157">
        <f t="shared" ca="1" si="16"/>
        <v>3587.0859999999998</v>
      </c>
      <c r="Q14" s="135">
        <f t="shared" ca="1" si="5"/>
        <v>6.4368658875279179</v>
      </c>
      <c r="R14" s="135">
        <f t="shared" ca="1" si="6"/>
        <v>-3.5442881124720822</v>
      </c>
      <c r="S14" s="135">
        <f t="shared" ca="1" si="7"/>
        <v>2.7825243108194229E-3</v>
      </c>
      <c r="T14" s="158">
        <f t="shared" ca="1" si="8"/>
        <v>3.3712177136034933</v>
      </c>
      <c r="U14" s="158">
        <f t="shared" ca="1" si="9"/>
        <v>-6.6099362863965068</v>
      </c>
      <c r="V14" s="158">
        <f t="shared" ca="1" si="10"/>
        <v>8.18509545271184</v>
      </c>
      <c r="W14" s="158">
        <f t="shared" ca="1" si="11"/>
        <v>2.3006987149011184</v>
      </c>
      <c r="X14" s="158">
        <f t="shared" ca="1" si="12"/>
        <v>1.4083849843645249</v>
      </c>
      <c r="Y14" s="158">
        <f t="shared" ca="1" si="13"/>
        <v>4.0893457108669864</v>
      </c>
      <c r="Z14" s="135">
        <f t="shared" ca="1" si="14"/>
        <v>-5.8918082891330137</v>
      </c>
      <c r="AA14" s="159">
        <f t="shared" ca="1" si="0"/>
        <v>2.4407704082039778</v>
      </c>
    </row>
    <row r="15" spans="1:27" s="2" customFormat="1">
      <c r="A15" s="29" t="str">
        <f>Data_final_model_format!A17</f>
        <v>YKY</v>
      </c>
      <c r="B15" s="88">
        <f>_xlfn.XLOOKUP($A15,Data_final_model_format!$A$7:$A$17,Data_final_model_format!$B$7:$B$17)</f>
        <v>4605.5684455095561</v>
      </c>
      <c r="C15" s="88">
        <f>_xlfn.XLOOKUP($A15,Data_final_model_format!$A$7:$A$17,Data_final_model_format!$C$7:$C$17)</f>
        <v>5.5708608000000002</v>
      </c>
      <c r="D15" s="88">
        <f ca="1">_xlfn.XLOOKUP($A15,Data_final_model_format!$A$7:$A$17,Data_final_model_format!D$7:D$17)</f>
        <v>0</v>
      </c>
      <c r="E15" s="88">
        <f ca="1">_xlfn.XLOOKUP($A15,Data_final_model_format!$A$7:$A$17,Data_final_model_format!E$7:E$17)</f>
        <v>0.41199999999999998</v>
      </c>
      <c r="F15" s="88">
        <f ca="1">_xlfn.XLOOKUP($A15,Data_final_model_format!$A$7:$A$17,Data_final_model_format!F$7:F$17)</f>
        <v>2.1737215999999999</v>
      </c>
      <c r="G15" s="88">
        <f ca="1">_xlfn.XLOOKUP($A15,Data_final_model_format!$A$7:$A$17,Data_final_model_format!G$7:G$17)</f>
        <v>1.9448639999999999</v>
      </c>
      <c r="H15" s="88">
        <f ca="1">_xlfn.XLOOKUP($A15,Data_final_model_format!$A$7:$A$17,Data_final_model_format!H$7:H$17)</f>
        <v>0.85227520000000001</v>
      </c>
      <c r="I15" s="88">
        <f ca="1">_xlfn.XLOOKUP($A15,Data_final_model_format!$A$7:$A$17,Data_final_model_format!I$7:I$17)</f>
        <v>9.4E-2</v>
      </c>
      <c r="J15" s="88">
        <f ca="1">_xlfn.XLOOKUP($A15,Data_final_model_format!$A$7:$A$17,Data_final_model_format!J$7:J$17)</f>
        <v>9.4E-2</v>
      </c>
      <c r="K15" s="89">
        <f t="shared" ca="1" si="1"/>
        <v>5.5708608000000011</v>
      </c>
      <c r="L15" s="88">
        <f ca="1">_xlfn.XLOOKUP($A15,Data_final_model_format!$A$7:$A$17,Data_final_model_format!L$7:L$17)</f>
        <v>5966.8530000000001</v>
      </c>
      <c r="M15" s="156">
        <f t="shared" ca="1" si="2"/>
        <v>5.5708608000000011</v>
      </c>
      <c r="N15" s="156">
        <f t="shared" ca="1" si="3"/>
        <v>0</v>
      </c>
      <c r="O15" s="157">
        <f t="shared" ca="1" si="4"/>
        <v>5.5708608000000011</v>
      </c>
      <c r="P15" s="157">
        <f t="shared" ca="1" si="16"/>
        <v>5966.8530000000001</v>
      </c>
      <c r="Q15" s="135">
        <f t="shared" ca="1" si="5"/>
        <v>7.3036262421588987</v>
      </c>
      <c r="R15" s="135">
        <f t="shared" ca="1" si="6"/>
        <v>1.7327654421588976</v>
      </c>
      <c r="S15" s="135">
        <f t="shared" ca="1" si="7"/>
        <v>9.3363466470516388E-4</v>
      </c>
      <c r="T15" s="158">
        <f t="shared" ca="1" si="8"/>
        <v>5.6077720266723876</v>
      </c>
      <c r="U15" s="158">
        <f t="shared" ca="1" si="9"/>
        <v>3.6911226672386555E-2</v>
      </c>
      <c r="V15" s="159">
        <f t="shared" ca="1" si="10"/>
        <v>8.6939749317233996</v>
      </c>
      <c r="W15" s="159">
        <f t="shared" ca="1" si="11"/>
        <v>1.717549584189084</v>
      </c>
      <c r="X15" s="158">
        <f t="shared" ca="1" si="12"/>
        <v>1.6280959663136962</v>
      </c>
      <c r="Y15" s="159">
        <f t="shared" ca="1" si="13"/>
        <v>5.0941660149244381</v>
      </c>
      <c r="Z15" s="135">
        <f t="shared" ca="1" si="14"/>
        <v>-0.47669478507556295</v>
      </c>
      <c r="AA15" s="159">
        <f ca="1">M15/Y15</f>
        <v>1.0935766097294404</v>
      </c>
    </row>
    <row r="16" spans="1:27" s="2" customFormat="1">
      <c r="A16" s="172" t="s">
        <v>249</v>
      </c>
      <c r="B16" s="173">
        <f>SUM(B5:B15)</f>
        <v>58682.968042696673</v>
      </c>
      <c r="C16" s="173">
        <f>SUM(C5:C15)</f>
        <v>75.399254558023372</v>
      </c>
      <c r="D16" s="173">
        <f t="shared" ref="D16:J16" ca="1" si="26">SUM(D5:D15)</f>
        <v>0.54762584288372684</v>
      </c>
      <c r="E16" s="173">
        <f t="shared" ca="1" si="26"/>
        <v>4.7230986451322385</v>
      </c>
      <c r="F16" s="173">
        <f t="shared" ca="1" si="26"/>
        <v>21.790142693530097</v>
      </c>
      <c r="G16" s="173">
        <f t="shared" ca="1" si="26"/>
        <v>25.895115078570498</v>
      </c>
      <c r="H16" s="173">
        <f t="shared" ca="1" si="26"/>
        <v>10.664572802187125</v>
      </c>
      <c r="I16" s="173">
        <f t="shared" ca="1" si="26"/>
        <v>5.870032487844921</v>
      </c>
      <c r="J16" s="173">
        <f t="shared" ca="1" si="26"/>
        <v>5.6116670078747557</v>
      </c>
      <c r="K16" s="174">
        <f ca="1">SUM(K5:K15)</f>
        <v>75.102254558023361</v>
      </c>
      <c r="L16" s="175">
        <f ca="1">SUM(L5:L15)</f>
        <v>65340.893626551959</v>
      </c>
      <c r="M16" s="174">
        <f t="shared" ref="M16:U16" ca="1" si="27">SUM(M5:M15)</f>
        <v>75.102254558023361</v>
      </c>
      <c r="N16" s="174">
        <f t="shared" ca="1" si="27"/>
        <v>0.29700000000000015</v>
      </c>
      <c r="O16" s="174">
        <f t="shared" ca="1" si="27"/>
        <v>49.485254558023364</v>
      </c>
      <c r="P16" s="174"/>
      <c r="Q16" s="171">
        <f t="shared" ref="Q16" ca="1" si="28">(L$24*(L16)+M$24)</f>
        <v>28.928879684762471</v>
      </c>
      <c r="R16" s="171">
        <f t="shared" ca="1" si="27"/>
        <v>-4.4408920985006262E-15</v>
      </c>
      <c r="S16" s="171">
        <f ca="1">MEDIAN(S5:S15)</f>
        <v>9.3982071062792853E-4</v>
      </c>
      <c r="T16" s="174">
        <f t="shared" ca="1" si="27"/>
        <v>61.408725081169933</v>
      </c>
      <c r="U16" s="174">
        <f t="shared" ca="1" si="27"/>
        <v>-13.693529476853424</v>
      </c>
      <c r="V16" s="174">
        <f ca="1">SUM(V5:V15)</f>
        <v>77.086864521751878</v>
      </c>
      <c r="W16" s="174">
        <f ca="1">SUM(W5:W15)</f>
        <v>14.152499200594043</v>
      </c>
      <c r="X16" s="174">
        <f ca="1">SUM(X5:X15)</f>
        <v>12.026932761418911</v>
      </c>
      <c r="Y16" s="174">
        <f ca="1">SUM(Y5:Y15)</f>
        <v>46.092447940983618</v>
      </c>
      <c r="Z16" s="171">
        <f ca="1">SUM(Z5:Z15)</f>
        <v>-29.009806617039747</v>
      </c>
      <c r="AA16" s="174">
        <f ca="1">MEDIAN(AA5:AA15)</f>
        <v>1.0236485278120968</v>
      </c>
    </row>
    <row r="17" spans="1:26" s="2" customFormat="1">
      <c r="Q17" s="123"/>
      <c r="R17" s="123"/>
      <c r="S17" s="123"/>
      <c r="T17" s="123"/>
      <c r="U17" s="123"/>
      <c r="Y17" s="160"/>
      <c r="Z17" s="123"/>
    </row>
    <row r="18" spans="1:26" s="2" customFormat="1">
      <c r="K18" s="28"/>
      <c r="L18" s="28"/>
      <c r="M18" s="28"/>
      <c r="N18" s="28"/>
      <c r="O18" s="28"/>
      <c r="P18" s="28"/>
      <c r="Q18" s="28"/>
      <c r="R18" s="28"/>
      <c r="T18" s="28"/>
      <c r="U18" s="28"/>
      <c r="V18" s="28"/>
      <c r="W18" s="28"/>
      <c r="X18" s="28"/>
      <c r="Y18" s="161"/>
      <c r="Z18" s="28"/>
    </row>
    <row r="19" spans="1:26" s="2" customFormat="1">
      <c r="K19" s="28"/>
      <c r="L19" s="28"/>
      <c r="M19" s="28"/>
      <c r="N19" s="28"/>
      <c r="O19" s="28"/>
      <c r="P19" s="28"/>
      <c r="Q19" s="28"/>
      <c r="R19" s="28"/>
      <c r="S19" s="28"/>
      <c r="T19" s="28"/>
      <c r="U19" s="28"/>
      <c r="V19" s="28"/>
      <c r="W19" s="28"/>
      <c r="X19" s="28"/>
      <c r="Y19" s="161"/>
      <c r="Z19" s="28"/>
    </row>
    <row r="20" spans="1:26" s="2" customFormat="1">
      <c r="A20" s="227" t="s">
        <v>250</v>
      </c>
      <c r="B20" s="228"/>
      <c r="C20" s="228"/>
      <c r="D20" s="228"/>
      <c r="E20" s="228"/>
      <c r="F20" s="228"/>
      <c r="G20" s="229"/>
      <c r="K20" s="28"/>
      <c r="L20" s="28"/>
      <c r="M20" s="28"/>
      <c r="N20" s="28"/>
      <c r="O20" s="28"/>
      <c r="P20" s="28"/>
      <c r="Q20" s="28"/>
      <c r="R20" s="28"/>
      <c r="S20" s="28"/>
      <c r="T20" s="28"/>
      <c r="U20" s="28"/>
      <c r="V20" s="28"/>
      <c r="W20" s="28"/>
      <c r="X20" s="28"/>
      <c r="Y20" s="161"/>
      <c r="Z20" s="28"/>
    </row>
    <row r="21" spans="1:26" s="2" customFormat="1" ht="29.25" customHeight="1">
      <c r="A21" s="230"/>
      <c r="B21" s="231"/>
      <c r="C21" s="231"/>
      <c r="D21" s="231"/>
      <c r="E21" s="231"/>
      <c r="F21" s="231"/>
      <c r="G21" s="232"/>
      <c r="K21" s="162" t="s">
        <v>251</v>
      </c>
      <c r="L21" s="142"/>
      <c r="M21" s="163"/>
      <c r="Q21" s="162" t="s">
        <v>252</v>
      </c>
      <c r="R21" s="142"/>
      <c r="S21" s="163"/>
      <c r="T21" s="28"/>
      <c r="U21" s="28"/>
      <c r="V21" s="28"/>
      <c r="W21" s="28"/>
      <c r="X21" s="28"/>
      <c r="Y21" s="161"/>
      <c r="Z21" s="28"/>
    </row>
    <row r="22" spans="1:26" s="2" customFormat="1">
      <c r="A22" s="230"/>
      <c r="B22" s="231"/>
      <c r="C22" s="231"/>
      <c r="D22" s="231"/>
      <c r="E22" s="231"/>
      <c r="F22" s="231"/>
      <c r="G22" s="232"/>
      <c r="K22" s="164"/>
      <c r="M22" s="165"/>
      <c r="Q22" s="164"/>
      <c r="S22" s="165"/>
      <c r="T22" s="28"/>
      <c r="U22" s="28"/>
      <c r="V22" s="28"/>
      <c r="W22" s="28"/>
      <c r="X22" s="28"/>
      <c r="Y22" s="161"/>
      <c r="Z22" s="28"/>
    </row>
    <row r="23" spans="1:26" s="2" customFormat="1">
      <c r="A23" s="230"/>
      <c r="B23" s="231"/>
      <c r="C23" s="231"/>
      <c r="D23" s="231"/>
      <c r="E23" s="231"/>
      <c r="F23" s="231"/>
      <c r="G23" s="232"/>
      <c r="K23" s="164"/>
      <c r="L23" s="2" t="s">
        <v>253</v>
      </c>
      <c r="M23" s="165" t="s">
        <v>71</v>
      </c>
      <c r="Q23" s="164"/>
      <c r="R23" s="2" t="s">
        <v>253</v>
      </c>
      <c r="S23" s="165" t="s">
        <v>71</v>
      </c>
      <c r="T23" s="28"/>
      <c r="U23" s="28"/>
      <c r="V23" s="28"/>
      <c r="W23" s="28"/>
      <c r="X23" s="28"/>
      <c r="Y23" s="161"/>
      <c r="Z23" s="28"/>
    </row>
    <row r="24" spans="1:26" s="2" customFormat="1">
      <c r="A24" s="233"/>
      <c r="B24" s="234"/>
      <c r="C24" s="234"/>
      <c r="D24" s="234"/>
      <c r="E24" s="234"/>
      <c r="F24" s="234"/>
      <c r="G24" s="235"/>
      <c r="K24" s="166" t="s">
        <v>254</v>
      </c>
      <c r="L24" s="167" cm="1">
        <f t="array" aca="1" ref="L24:M24" ca="1">LINEST(_xlfn._xlws.FILTER(K5:K15,K5:K15&lt;&gt;0),_xlfn._xlws.FILTER(L5:L15,L5:L15&lt;&gt;0))</f>
        <v>3.64220679852683E-4</v>
      </c>
      <c r="M24" s="168">
        <f ca="1"/>
        <v>5.1303749859178769</v>
      </c>
      <c r="Q24" s="166" t="s">
        <v>254</v>
      </c>
      <c r="R24" s="167" cm="1">
        <f t="array" aca="1" ref="R24:S24" ca="1">LINEST(_xlfn._xlws.FILTER(W5:W15,W5:W15&lt;&gt;0),_xlfn._xlws.FILTER(V5:V15,V5:V15&lt;&gt;0))</f>
        <v>0.43175445466171114</v>
      </c>
      <c r="S24" s="168">
        <f ca="1"/>
        <v>-2.1255664391751274</v>
      </c>
      <c r="T24" s="28"/>
      <c r="U24" s="28"/>
      <c r="V24" s="28"/>
      <c r="W24" s="28"/>
      <c r="X24" s="28"/>
      <c r="Y24" s="161"/>
      <c r="Z24" s="28"/>
    </row>
    <row r="25" spans="1:26" s="2" customFormat="1">
      <c r="K25" s="28"/>
      <c r="L25" s="28"/>
      <c r="M25" s="28"/>
      <c r="N25" s="28"/>
      <c r="O25" s="28"/>
      <c r="P25" s="28"/>
      <c r="Q25" s="28"/>
      <c r="R25" s="28"/>
      <c r="S25" s="28"/>
      <c r="T25" s="28"/>
      <c r="U25" s="28"/>
      <c r="V25" s="28"/>
      <c r="W25" s="28"/>
      <c r="X25" s="28"/>
      <c r="Y25" s="169"/>
      <c r="Z25" s="28"/>
    </row>
    <row r="26" spans="1:26" s="2" customFormat="1">
      <c r="K26" s="28"/>
      <c r="L26" s="28"/>
      <c r="M26" s="28"/>
      <c r="N26" s="28"/>
      <c r="O26" s="28"/>
      <c r="P26" s="28"/>
      <c r="Q26" s="28"/>
      <c r="R26" s="28"/>
      <c r="S26" s="170"/>
      <c r="T26" s="170"/>
      <c r="U26" s="28"/>
      <c r="V26" s="170"/>
      <c r="W26" s="170"/>
      <c r="X26" s="170"/>
      <c r="Y26" s="161"/>
      <c r="Z26" s="28"/>
    </row>
    <row r="27" spans="1:26" s="2" customFormat="1"/>
    <row r="28" spans="1:26" s="2" customFormat="1"/>
    <row r="29" spans="1:26" s="2" customFormat="1"/>
    <row r="30" spans="1:26" s="2" customFormat="1"/>
    <row r="31" spans="1:26" s="2" customFormat="1"/>
    <row r="32" spans="1:26" s="2" customFormat="1"/>
    <row r="33" spans="25:25" s="2" customFormat="1"/>
    <row r="34" spans="25:25" s="2" customFormat="1"/>
    <row r="35" spans="25:25" s="2" customFormat="1"/>
    <row r="36" spans="25:25" s="2" customFormat="1"/>
    <row r="37" spans="25:25" s="2" customFormat="1"/>
    <row r="38" spans="25:25" s="2" customFormat="1">
      <c r="Y38" s="169"/>
    </row>
    <row r="39" spans="25:25" s="2" customFormat="1"/>
    <row r="40" spans="25:25" s="2" customFormat="1"/>
    <row r="41" spans="25:25" s="2" customFormat="1"/>
    <row r="42" spans="25:25" s="2" customFormat="1"/>
    <row r="43" spans="25:25" s="2" customFormat="1"/>
    <row r="44" spans="25:25" s="2" customFormat="1"/>
    <row r="45" spans="25:25" s="2" customFormat="1"/>
    <row r="46" spans="25:25" s="2" customFormat="1"/>
    <row r="47" spans="25:25" s="2" customFormat="1"/>
    <row r="48" spans="25:25" s="2" customFormat="1"/>
    <row r="49" s="2" customFormat="1"/>
    <row r="50" s="2" customFormat="1"/>
    <row r="51" s="2" customFormat="1"/>
    <row r="52" s="2" customFormat="1"/>
    <row r="53" s="2" customFormat="1"/>
    <row r="54" s="2" customFormat="1"/>
  </sheetData>
  <mergeCells count="5">
    <mergeCell ref="D3:K3"/>
    <mergeCell ref="L3:R3"/>
    <mergeCell ref="S3:U3"/>
    <mergeCell ref="V3:Y3"/>
    <mergeCell ref="A20:G24"/>
  </mergeCells>
  <pageMargins left="0.7" right="0.7" top="0.75" bottom="0.75" header="0.3" footer="0.3"/>
  <pageSetup paperSize="9" orientation="portrait" r:id="rId1"/>
  <ignoredErrors>
    <ignoredError sqref="S16"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76CE2-1A60-4A08-8C6F-3D1C19C9FEE8}">
  <sheetPr>
    <tabColor rgb="FFCCCCCE"/>
  </sheetPr>
  <dimension ref="A1:O39"/>
  <sheetViews>
    <sheetView zoomScale="80" zoomScaleNormal="80" workbookViewId="0"/>
  </sheetViews>
  <sheetFormatPr defaultRowHeight="12.75"/>
  <cols>
    <col min="1" max="1" width="4.42578125" customWidth="1"/>
    <col min="2" max="2" width="5" customWidth="1"/>
    <col min="3" max="3" width="27.85546875" customWidth="1"/>
    <col min="4" max="4" width="75.5703125" style="27" customWidth="1"/>
    <col min="5" max="7" width="15.5703125" style="27" customWidth="1"/>
    <col min="8" max="8" width="7" style="27" customWidth="1"/>
    <col min="9" max="9" width="4.42578125" customWidth="1"/>
    <col min="10" max="10" width="6.42578125" customWidth="1"/>
    <col min="11" max="11" width="27.85546875" customWidth="1"/>
    <col min="12" max="12" width="75.5703125" style="27" customWidth="1"/>
    <col min="13" max="15" width="15.5703125" style="27" customWidth="1"/>
  </cols>
  <sheetData>
    <row r="1" spans="1:15" s="2" customFormat="1" ht="31.5">
      <c r="A1" s="1" t="s">
        <v>255</v>
      </c>
      <c r="B1" s="1"/>
      <c r="C1" s="53"/>
      <c r="D1" s="53"/>
      <c r="E1" s="53"/>
      <c r="F1" s="247"/>
      <c r="G1" s="247"/>
      <c r="H1" s="27"/>
      <c r="I1" s="1" t="s">
        <v>256</v>
      </c>
      <c r="J1" s="1"/>
      <c r="K1" s="53"/>
      <c r="L1" s="53"/>
      <c r="M1" s="53"/>
      <c r="N1" s="247"/>
      <c r="O1" s="247"/>
    </row>
    <row r="2" spans="1:15" s="2" customFormat="1">
      <c r="C2" s="176" t="s">
        <v>257</v>
      </c>
      <c r="D2" s="176"/>
      <c r="E2" s="176"/>
      <c r="F2" s="176"/>
      <c r="G2" s="176"/>
      <c r="H2" s="161"/>
      <c r="K2" s="176" t="s">
        <v>257</v>
      </c>
      <c r="L2" s="176"/>
      <c r="M2" s="176"/>
      <c r="N2" s="176"/>
      <c r="O2" s="176"/>
    </row>
    <row r="3" spans="1:15" s="2" customFormat="1">
      <c r="C3" s="138" t="s">
        <v>52</v>
      </c>
      <c r="D3" s="98" t="s">
        <v>75</v>
      </c>
      <c r="E3" s="93"/>
      <c r="F3" s="91"/>
      <c r="G3" s="91"/>
      <c r="H3" s="161"/>
      <c r="K3" s="138" t="s">
        <v>52</v>
      </c>
      <c r="L3" s="98" t="s">
        <v>75</v>
      </c>
      <c r="M3" s="93"/>
      <c r="N3" s="91"/>
      <c r="O3" s="91"/>
    </row>
    <row r="4" spans="1:15" s="2" customFormat="1" ht="14.85" customHeight="1">
      <c r="C4" s="138" t="s">
        <v>258</v>
      </c>
      <c r="D4" s="99" t="s">
        <v>259</v>
      </c>
      <c r="E4" s="93"/>
      <c r="F4" s="92"/>
      <c r="G4" s="91"/>
      <c r="H4" s="161"/>
      <c r="K4" s="138" t="s">
        <v>258</v>
      </c>
      <c r="L4" s="99" t="s">
        <v>259</v>
      </c>
      <c r="M4" s="93"/>
      <c r="N4" s="92"/>
      <c r="O4" s="91"/>
    </row>
    <row r="5" spans="1:15" s="2" customFormat="1" ht="28.15" customHeight="1">
      <c r="C5" s="138" t="s">
        <v>260</v>
      </c>
      <c r="D5" s="205" t="s">
        <v>261</v>
      </c>
      <c r="E5" s="93"/>
      <c r="F5" s="92"/>
      <c r="G5" s="91"/>
      <c r="H5" s="161"/>
      <c r="K5" s="138" t="s">
        <v>260</v>
      </c>
      <c r="L5" s="205" t="s">
        <v>261</v>
      </c>
      <c r="M5" s="93"/>
      <c r="N5" s="92"/>
      <c r="O5" s="91"/>
    </row>
    <row r="6" spans="1:15" s="2" customFormat="1" ht="14.85" customHeight="1">
      <c r="C6" s="138" t="s">
        <v>262</v>
      </c>
      <c r="D6" s="195" t="s">
        <v>263</v>
      </c>
      <c r="E6" s="93"/>
      <c r="F6" s="92"/>
      <c r="G6" s="91"/>
      <c r="H6" s="161"/>
      <c r="K6" s="138" t="s">
        <v>262</v>
      </c>
      <c r="L6" s="195" t="s">
        <v>263</v>
      </c>
      <c r="M6" s="93"/>
      <c r="N6" s="92"/>
      <c r="O6" s="91"/>
    </row>
    <row r="7" spans="1:15" s="2" customFormat="1" ht="27.4" customHeight="1">
      <c r="C7" s="138" t="s">
        <v>264</v>
      </c>
      <c r="D7" s="196">
        <f>_xlfn.XLOOKUP($D$3,'Materiality &amp; shallow dive'!$B$6:$B$16,'Materiality &amp; shallow dive'!$D$6:$D$16)</f>
        <v>25.616999999999997</v>
      </c>
      <c r="E7" s="93"/>
      <c r="F7" s="92"/>
      <c r="G7" s="91"/>
      <c r="H7" s="161"/>
      <c r="K7" s="138" t="s">
        <v>264</v>
      </c>
      <c r="L7" s="196">
        <v>25.616999999999997</v>
      </c>
      <c r="M7" s="93"/>
      <c r="N7" s="92"/>
      <c r="O7" s="91"/>
    </row>
    <row r="8" spans="1:15" s="2" customFormat="1" ht="25.9" customHeight="1">
      <c r="C8" s="138" t="s">
        <v>265</v>
      </c>
      <c r="D8" s="196">
        <f ca="1">_xlfn.XLOOKUP($D$3,'Materiality &amp; shallow dive'!$B$6:$B$16,'Materiality &amp; shallow dive'!$E$6:$E$16)</f>
        <v>25.616999999999997</v>
      </c>
      <c r="E8" s="93"/>
      <c r="F8" s="92"/>
      <c r="G8" s="91"/>
      <c r="H8" s="161"/>
      <c r="K8" s="138" t="s">
        <v>265</v>
      </c>
      <c r="L8" s="197">
        <v>25.616999999999997</v>
      </c>
      <c r="M8" s="93"/>
      <c r="N8" s="92"/>
      <c r="O8" s="91"/>
    </row>
    <row r="9" spans="1:15" s="2" customFormat="1" ht="14.85" customHeight="1">
      <c r="C9" s="138" t="s">
        <v>266</v>
      </c>
      <c r="D9" s="192">
        <f>SUM(F13:F36)</f>
        <v>0.1</v>
      </c>
      <c r="E9" s="93"/>
      <c r="F9" s="92"/>
      <c r="G9" s="91"/>
      <c r="H9" s="161"/>
      <c r="K9" s="138" t="s">
        <v>266</v>
      </c>
      <c r="L9" s="192">
        <v>0.3</v>
      </c>
      <c r="M9" s="93"/>
      <c r="N9" s="92"/>
      <c r="O9" s="91"/>
    </row>
    <row r="10" spans="1:15" s="2" customFormat="1" ht="14.85" customHeight="1">
      <c r="C10" s="138" t="s">
        <v>267</v>
      </c>
      <c r="D10" s="198">
        <f ca="1">IF($D$9&lt;100%,$D$8-$D$8*$D$9,0)</f>
        <v>23.055299999999995</v>
      </c>
      <c r="E10" s="161"/>
      <c r="F10" s="161"/>
      <c r="G10" s="161"/>
      <c r="H10" s="161"/>
      <c r="K10" s="138" t="s">
        <v>267</v>
      </c>
      <c r="L10" s="198">
        <v>17.931899999999999</v>
      </c>
      <c r="M10" s="161"/>
      <c r="N10" s="161"/>
      <c r="O10" s="161"/>
    </row>
    <row r="11" spans="1:15" s="2" customFormat="1">
      <c r="C11" s="100"/>
      <c r="D11" s="54"/>
      <c r="E11" s="161"/>
      <c r="F11" s="161"/>
      <c r="G11" s="161"/>
      <c r="H11" s="161"/>
      <c r="K11" s="100"/>
      <c r="L11" s="54"/>
      <c r="M11" s="161"/>
      <c r="N11" s="161"/>
      <c r="O11" s="161"/>
    </row>
    <row r="12" spans="1:15" s="2" customFormat="1" ht="38.25">
      <c r="C12" s="177" t="s">
        <v>268</v>
      </c>
      <c r="D12" s="177" t="s">
        <v>269</v>
      </c>
      <c r="E12" s="177" t="s">
        <v>270</v>
      </c>
      <c r="F12" s="177" t="s">
        <v>271</v>
      </c>
      <c r="G12" s="177" t="s">
        <v>272</v>
      </c>
      <c r="H12" s="55"/>
      <c r="K12" s="177" t="s">
        <v>268</v>
      </c>
      <c r="L12" s="177" t="s">
        <v>269</v>
      </c>
      <c r="M12" s="177" t="s">
        <v>270</v>
      </c>
      <c r="N12" s="177" t="s">
        <v>271</v>
      </c>
      <c r="O12" s="177" t="s">
        <v>272</v>
      </c>
    </row>
    <row r="13" spans="1:15" s="2" customFormat="1" ht="42" customHeight="1">
      <c r="C13" s="236" t="s">
        <v>273</v>
      </c>
      <c r="D13" s="237" t="s">
        <v>274</v>
      </c>
      <c r="E13" s="238" t="s">
        <v>275</v>
      </c>
      <c r="F13" s="239">
        <f>IF(E13="Pass",0%,IF(E13="Partial pass","10% to 80% adjustment",100%))</f>
        <v>0</v>
      </c>
      <c r="G13" s="240" t="s">
        <v>276</v>
      </c>
      <c r="H13" s="90"/>
      <c r="K13" s="236" t="s">
        <v>273</v>
      </c>
      <c r="L13" s="237" t="s">
        <v>277</v>
      </c>
      <c r="M13" s="238" t="s">
        <v>275</v>
      </c>
      <c r="N13" s="239">
        <f>IF(M13="Pass",0%,IF(M13="Partial pass","10% to 80% adjustment",100%))</f>
        <v>0</v>
      </c>
      <c r="O13" s="240" t="s">
        <v>276</v>
      </c>
    </row>
    <row r="14" spans="1:15" s="2" customFormat="1" ht="42" customHeight="1">
      <c r="C14" s="236"/>
      <c r="D14" s="237"/>
      <c r="E14" s="238"/>
      <c r="F14" s="239"/>
      <c r="G14" s="240"/>
      <c r="H14" s="90"/>
      <c r="K14" s="236"/>
      <c r="L14" s="237"/>
      <c r="M14" s="238"/>
      <c r="N14" s="239"/>
      <c r="O14" s="240"/>
    </row>
    <row r="15" spans="1:15" s="2" customFormat="1" ht="42" customHeight="1">
      <c r="C15" s="236"/>
      <c r="D15" s="237"/>
      <c r="E15" s="238"/>
      <c r="F15" s="239"/>
      <c r="G15" s="240"/>
      <c r="H15" s="90"/>
      <c r="K15" s="236"/>
      <c r="L15" s="237"/>
      <c r="M15" s="238"/>
      <c r="N15" s="239"/>
      <c r="O15" s="240"/>
    </row>
    <row r="16" spans="1:15" s="2" customFormat="1" ht="42" customHeight="1">
      <c r="C16" s="236"/>
      <c r="D16" s="237"/>
      <c r="E16" s="238"/>
      <c r="F16" s="239"/>
      <c r="G16" s="240"/>
      <c r="H16" s="90"/>
      <c r="K16" s="236"/>
      <c r="L16" s="237"/>
      <c r="M16" s="238"/>
      <c r="N16" s="239"/>
      <c r="O16" s="240"/>
    </row>
    <row r="17" spans="3:15" s="2" customFormat="1" ht="42" customHeight="1">
      <c r="C17" s="236"/>
      <c r="D17" s="237"/>
      <c r="E17" s="238"/>
      <c r="F17" s="239"/>
      <c r="G17" s="240"/>
      <c r="H17" s="90"/>
      <c r="K17" s="236"/>
      <c r="L17" s="237"/>
      <c r="M17" s="238"/>
      <c r="N17" s="239"/>
      <c r="O17" s="240"/>
    </row>
    <row r="18" spans="3:15" s="2" customFormat="1" ht="42" customHeight="1">
      <c r="C18" s="236"/>
      <c r="D18" s="237"/>
      <c r="E18" s="238"/>
      <c r="F18" s="239"/>
      <c r="G18" s="240"/>
      <c r="H18" s="90"/>
      <c r="K18" s="236"/>
      <c r="L18" s="237"/>
      <c r="M18" s="238"/>
      <c r="N18" s="239"/>
      <c r="O18" s="240"/>
    </row>
    <row r="19" spans="3:15" s="2" customFormat="1" ht="42" customHeight="1">
      <c r="C19" s="236"/>
      <c r="D19" s="237"/>
      <c r="E19" s="238"/>
      <c r="F19" s="239"/>
      <c r="G19" s="240"/>
      <c r="H19" s="90"/>
      <c r="K19" s="236"/>
      <c r="L19" s="237"/>
      <c r="M19" s="238"/>
      <c r="N19" s="239"/>
      <c r="O19" s="240"/>
    </row>
    <row r="20" spans="3:15" s="2" customFormat="1" ht="12.75" customHeight="1">
      <c r="C20" s="236" t="s">
        <v>278</v>
      </c>
      <c r="D20" s="237" t="s">
        <v>279</v>
      </c>
      <c r="E20" s="241" t="s">
        <v>275</v>
      </c>
      <c r="F20" s="244">
        <f>IF(E20="Pass",0%,IF(E20="Minor concerns",10%,IF(E20="Some concerns",20%,IF(E20="Significant concerns",30%))))</f>
        <v>0</v>
      </c>
      <c r="G20" s="240"/>
      <c r="H20" s="90"/>
      <c r="K20" s="236" t="s">
        <v>278</v>
      </c>
      <c r="L20" s="237" t="s">
        <v>280</v>
      </c>
      <c r="M20" s="241" t="s">
        <v>275</v>
      </c>
      <c r="N20" s="244">
        <f>IF(M20="Pass",0%,IF(M20="Minor concerns",10%,IF(M20="Some concerns",20%,IF(M20="Significant concerns",30%))))</f>
        <v>0</v>
      </c>
      <c r="O20" s="240"/>
    </row>
    <row r="21" spans="3:15" s="2" customFormat="1" ht="12.75" customHeight="1">
      <c r="C21" s="236"/>
      <c r="D21" s="237"/>
      <c r="E21" s="242"/>
      <c r="F21" s="245"/>
      <c r="G21" s="240"/>
      <c r="H21" s="90"/>
      <c r="K21" s="236"/>
      <c r="L21" s="237"/>
      <c r="M21" s="242"/>
      <c r="N21" s="245"/>
      <c r="O21" s="240"/>
    </row>
    <row r="22" spans="3:15" s="2" customFormat="1" ht="12.75" customHeight="1">
      <c r="C22" s="236"/>
      <c r="D22" s="237"/>
      <c r="E22" s="242"/>
      <c r="F22" s="245"/>
      <c r="G22" s="240"/>
      <c r="H22" s="90"/>
      <c r="K22" s="236"/>
      <c r="L22" s="237"/>
      <c r="M22" s="242"/>
      <c r="N22" s="245"/>
      <c r="O22" s="240"/>
    </row>
    <row r="23" spans="3:15" s="2" customFormat="1" ht="12.75" customHeight="1">
      <c r="C23" s="236"/>
      <c r="D23" s="237"/>
      <c r="E23" s="242"/>
      <c r="F23" s="245"/>
      <c r="G23" s="240"/>
      <c r="H23" s="90"/>
      <c r="K23" s="236"/>
      <c r="L23" s="237"/>
      <c r="M23" s="242"/>
      <c r="N23" s="245"/>
      <c r="O23" s="240"/>
    </row>
    <row r="24" spans="3:15" s="2" customFormat="1" ht="12.75" customHeight="1">
      <c r="C24" s="236"/>
      <c r="D24" s="237"/>
      <c r="E24" s="242"/>
      <c r="F24" s="245"/>
      <c r="G24" s="240"/>
      <c r="H24" s="90"/>
      <c r="K24" s="236"/>
      <c r="L24" s="237"/>
      <c r="M24" s="242"/>
      <c r="N24" s="245"/>
      <c r="O24" s="240"/>
    </row>
    <row r="25" spans="3:15" s="2" customFormat="1" ht="12.75" customHeight="1">
      <c r="C25" s="236"/>
      <c r="D25" s="237"/>
      <c r="E25" s="242"/>
      <c r="F25" s="245"/>
      <c r="G25" s="240"/>
      <c r="H25" s="90"/>
      <c r="K25" s="236"/>
      <c r="L25" s="237"/>
      <c r="M25" s="242"/>
      <c r="N25" s="245"/>
      <c r="O25" s="240"/>
    </row>
    <row r="26" spans="3:15" s="2" customFormat="1" ht="12.75" customHeight="1">
      <c r="C26" s="236"/>
      <c r="D26" s="237"/>
      <c r="E26" s="242"/>
      <c r="F26" s="245"/>
      <c r="G26" s="240"/>
      <c r="H26" s="90"/>
      <c r="K26" s="236"/>
      <c r="L26" s="237"/>
      <c r="M26" s="242"/>
      <c r="N26" s="245"/>
      <c r="O26" s="240"/>
    </row>
    <row r="27" spans="3:15" s="2" customFormat="1" ht="12.75" customHeight="1">
      <c r="C27" s="236"/>
      <c r="D27" s="237"/>
      <c r="E27" s="242"/>
      <c r="F27" s="245"/>
      <c r="G27" s="240"/>
      <c r="H27" s="90"/>
      <c r="K27" s="236"/>
      <c r="L27" s="237"/>
      <c r="M27" s="243"/>
      <c r="N27" s="246"/>
      <c r="O27" s="240"/>
    </row>
    <row r="28" spans="3:15" s="2" customFormat="1" ht="62.45" customHeight="1">
      <c r="C28" s="236" t="s">
        <v>281</v>
      </c>
      <c r="D28" s="240" t="s">
        <v>282</v>
      </c>
      <c r="E28" s="248" t="s">
        <v>283</v>
      </c>
      <c r="F28" s="249">
        <f>IF(E28="Pass",0%,IF(E28="Minor concerns",10%,IF(E28="Some concerns",20%,IF(E28="Significant concerns",30%))))</f>
        <v>0.1</v>
      </c>
      <c r="G28" s="250"/>
      <c r="H28" s="90"/>
      <c r="K28" s="236" t="s">
        <v>281</v>
      </c>
      <c r="L28" s="237" t="s">
        <v>284</v>
      </c>
      <c r="M28" s="238" t="s">
        <v>285</v>
      </c>
      <c r="N28" s="239">
        <f>IF(M28="Pass",0%,IF(M28="Minor concerns",10%,IF(M28="Some concerns",20%,IF(M28="Significant concerns",30%))))</f>
        <v>0.3</v>
      </c>
      <c r="O28" s="240"/>
    </row>
    <row r="29" spans="3:15" s="2" customFormat="1" ht="62.45" customHeight="1">
      <c r="C29" s="236"/>
      <c r="D29" s="240"/>
      <c r="E29" s="248"/>
      <c r="F29" s="249"/>
      <c r="G29" s="250"/>
      <c r="H29" s="90"/>
      <c r="K29" s="236"/>
      <c r="L29" s="237"/>
      <c r="M29" s="238"/>
      <c r="N29" s="239"/>
      <c r="O29" s="240"/>
    </row>
    <row r="30" spans="3:15" s="2" customFormat="1" ht="62.45" customHeight="1">
      <c r="C30" s="236"/>
      <c r="D30" s="240"/>
      <c r="E30" s="248"/>
      <c r="F30" s="249"/>
      <c r="G30" s="250"/>
      <c r="H30" s="90"/>
      <c r="K30" s="236"/>
      <c r="L30" s="237"/>
      <c r="M30" s="238"/>
      <c r="N30" s="239"/>
      <c r="O30" s="240"/>
    </row>
    <row r="31" spans="3:15" s="2" customFormat="1" ht="62.45" customHeight="1">
      <c r="C31" s="236"/>
      <c r="D31" s="240"/>
      <c r="E31" s="248"/>
      <c r="F31" s="249"/>
      <c r="G31" s="250"/>
      <c r="H31" s="90"/>
      <c r="K31" s="236"/>
      <c r="L31" s="237"/>
      <c r="M31" s="238"/>
      <c r="N31" s="239"/>
      <c r="O31" s="240"/>
    </row>
    <row r="32" spans="3:15" s="2" customFormat="1" ht="62.45" customHeight="1">
      <c r="C32" s="236"/>
      <c r="D32" s="240"/>
      <c r="E32" s="248"/>
      <c r="F32" s="249"/>
      <c r="G32" s="250"/>
      <c r="H32" s="90"/>
      <c r="K32" s="236"/>
      <c r="L32" s="237"/>
      <c r="M32" s="238"/>
      <c r="N32" s="239"/>
      <c r="O32" s="240"/>
    </row>
    <row r="33" spans="3:15" s="2" customFormat="1" ht="62.45" customHeight="1">
      <c r="C33" s="236"/>
      <c r="D33" s="240"/>
      <c r="E33" s="248"/>
      <c r="F33" s="249"/>
      <c r="G33" s="250"/>
      <c r="H33" s="90"/>
      <c r="K33" s="236"/>
      <c r="L33" s="237"/>
      <c r="M33" s="238"/>
      <c r="N33" s="239"/>
      <c r="O33" s="240"/>
    </row>
    <row r="34" spans="3:15" s="2" customFormat="1" ht="47.45" customHeight="1">
      <c r="C34" s="236" t="s">
        <v>286</v>
      </c>
      <c r="D34" s="237" t="s">
        <v>287</v>
      </c>
      <c r="E34" s="243" t="s">
        <v>275</v>
      </c>
      <c r="F34" s="246" t="s">
        <v>288</v>
      </c>
      <c r="G34" s="240"/>
      <c r="H34" s="90"/>
      <c r="K34" s="236" t="s">
        <v>286</v>
      </c>
      <c r="L34" s="237" t="s">
        <v>289</v>
      </c>
      <c r="M34" s="238" t="s">
        <v>290</v>
      </c>
      <c r="N34" s="239" t="s">
        <v>288</v>
      </c>
      <c r="O34" s="240"/>
    </row>
    <row r="35" spans="3:15" s="2" customFormat="1" ht="47.45" customHeight="1">
      <c r="C35" s="236"/>
      <c r="D35" s="237"/>
      <c r="E35" s="238"/>
      <c r="F35" s="239"/>
      <c r="G35" s="240"/>
      <c r="H35" s="90"/>
      <c r="K35" s="236"/>
      <c r="L35" s="237"/>
      <c r="M35" s="238"/>
      <c r="N35" s="239"/>
      <c r="O35" s="240"/>
    </row>
    <row r="36" spans="3:15" s="2" customFormat="1" ht="47.45" customHeight="1">
      <c r="C36" s="236"/>
      <c r="D36" s="237"/>
      <c r="E36" s="238"/>
      <c r="F36" s="239"/>
      <c r="G36" s="240"/>
      <c r="H36" s="90"/>
      <c r="K36" s="236"/>
      <c r="L36" s="237"/>
      <c r="M36" s="238"/>
      <c r="N36" s="239"/>
      <c r="O36" s="240"/>
    </row>
    <row r="37" spans="3:15" s="2" customFormat="1" ht="47.45" customHeight="1">
      <c r="C37" s="236"/>
      <c r="D37" s="237"/>
      <c r="E37" s="238"/>
      <c r="F37" s="239"/>
      <c r="G37" s="240"/>
      <c r="H37" s="90"/>
      <c r="K37" s="236"/>
      <c r="L37" s="237"/>
      <c r="M37" s="238"/>
      <c r="N37" s="239"/>
      <c r="O37" s="240"/>
    </row>
    <row r="38" spans="3:15" s="2" customFormat="1" ht="47.45" customHeight="1">
      <c r="C38" s="236"/>
      <c r="D38" s="237"/>
      <c r="E38" s="238"/>
      <c r="F38" s="239"/>
      <c r="G38" s="240"/>
      <c r="H38" s="90"/>
      <c r="K38" s="236"/>
      <c r="L38" s="237"/>
      <c r="M38" s="238"/>
      <c r="N38" s="239"/>
      <c r="O38" s="240"/>
    </row>
    <row r="39" spans="3:15" s="2" customFormat="1" ht="47.45" customHeight="1">
      <c r="C39" s="236"/>
      <c r="D39" s="237"/>
      <c r="E39" s="238"/>
      <c r="F39" s="239"/>
      <c r="G39" s="240"/>
      <c r="H39" s="90"/>
      <c r="K39" s="236"/>
      <c r="L39" s="237"/>
      <c r="M39" s="238"/>
      <c r="N39" s="239"/>
      <c r="O39" s="240"/>
    </row>
  </sheetData>
  <mergeCells count="42">
    <mergeCell ref="C28:C33"/>
    <mergeCell ref="D28:D33"/>
    <mergeCell ref="E28:E33"/>
    <mergeCell ref="F28:F33"/>
    <mergeCell ref="G28:G33"/>
    <mergeCell ref="C20:C27"/>
    <mergeCell ref="D20:D27"/>
    <mergeCell ref="E20:E27"/>
    <mergeCell ref="F20:F27"/>
    <mergeCell ref="G20:G27"/>
    <mergeCell ref="F1:G1"/>
    <mergeCell ref="C13:C19"/>
    <mergeCell ref="D13:D19"/>
    <mergeCell ref="E13:E19"/>
    <mergeCell ref="F13:F19"/>
    <mergeCell ref="G13:G19"/>
    <mergeCell ref="G34:G39"/>
    <mergeCell ref="C34:C39"/>
    <mergeCell ref="D34:D39"/>
    <mergeCell ref="E34:E39"/>
    <mergeCell ref="F34:F39"/>
    <mergeCell ref="N1:O1"/>
    <mergeCell ref="K13:K19"/>
    <mergeCell ref="L13:L19"/>
    <mergeCell ref="M13:M19"/>
    <mergeCell ref="N13:N19"/>
    <mergeCell ref="O13:O19"/>
    <mergeCell ref="K20:K27"/>
    <mergeCell ref="L20:L27"/>
    <mergeCell ref="M20:M27"/>
    <mergeCell ref="N20:N27"/>
    <mergeCell ref="O20:O27"/>
    <mergeCell ref="K28:K33"/>
    <mergeCell ref="L28:L33"/>
    <mergeCell ref="M28:M33"/>
    <mergeCell ref="N28:N33"/>
    <mergeCell ref="O28:O33"/>
    <mergeCell ref="K34:K39"/>
    <mergeCell ref="L34:L39"/>
    <mergeCell ref="M34:M39"/>
    <mergeCell ref="N34:N39"/>
    <mergeCell ref="O34:O3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5869252-6F95-46BF-9079-5E71E73E46F9}">
          <x14:formula1>
            <xm:f>'DROPDOWN LISTS'!$B$26:$B$32</xm:f>
          </x14:formula1>
          <xm:sqref>E13:E39 M13:M39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608CA-58A4-402C-9E43-CFB0EFF076BB}">
  <sheetPr>
    <tabColor rgb="FF98C561"/>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FE5D-5DC6-4CF4-9E02-431F90EF6ABC}">
  <sheetPr>
    <tabColor rgb="FF98C561"/>
  </sheetPr>
  <dimension ref="A1:O27"/>
  <sheetViews>
    <sheetView zoomScale="80" zoomScaleNormal="80" workbookViewId="0"/>
  </sheetViews>
  <sheetFormatPr defaultColWidth="9.140625" defaultRowHeight="12.75"/>
  <cols>
    <col min="1" max="1" width="9.140625" style="2"/>
    <col min="2" max="2" width="21" style="2" customWidth="1"/>
    <col min="3" max="3" width="20" style="2" customWidth="1"/>
    <col min="4" max="6" width="13.5703125" style="2" hidden="1" customWidth="1"/>
    <col min="7" max="7" width="18.42578125" style="2" customWidth="1"/>
    <col min="8" max="13" width="13.5703125" style="2" customWidth="1"/>
    <col min="14" max="14" width="9.140625" style="2"/>
    <col min="15" max="15" width="19.140625" style="2" customWidth="1"/>
    <col min="16" max="16384" width="9.140625" style="2"/>
  </cols>
  <sheetData>
    <row r="1" spans="1:15" ht="31.5">
      <c r="A1" s="1" t="str">
        <f ca="1" xml:space="preserve"> RIGHT(CELL("filename", $A$1), LEN(CELL("filename", $A$1)) - SEARCH("]", CELL("filename", $A$1)))</f>
        <v>Allowance</v>
      </c>
      <c r="B1" s="1"/>
      <c r="C1" s="1"/>
      <c r="D1" s="1"/>
      <c r="E1" s="1"/>
      <c r="F1" s="1"/>
      <c r="G1" s="1"/>
      <c r="H1" s="1"/>
      <c r="I1" s="1"/>
      <c r="J1" s="1"/>
      <c r="K1" s="1"/>
      <c r="L1" s="1"/>
      <c r="M1" s="1"/>
      <c r="N1" s="1"/>
      <c r="O1" s="1"/>
    </row>
    <row r="3" spans="1:15" ht="18.75">
      <c r="A3" s="251" t="s">
        <v>291</v>
      </c>
      <c r="B3" s="251"/>
      <c r="C3" s="251"/>
      <c r="D3" s="251"/>
      <c r="E3" s="251"/>
      <c r="F3" s="251"/>
      <c r="G3" s="251"/>
      <c r="H3" s="251"/>
      <c r="I3" s="251"/>
      <c r="J3" s="251"/>
      <c r="K3" s="251"/>
      <c r="L3" s="251"/>
      <c r="M3" s="251"/>
      <c r="N3" s="251"/>
      <c r="O3" s="251"/>
    </row>
    <row r="4" spans="1:15">
      <c r="A4" s="3"/>
      <c r="B4" s="3"/>
      <c r="C4" s="3"/>
      <c r="D4" s="3"/>
      <c r="E4" s="3"/>
      <c r="F4" s="3"/>
      <c r="G4" s="3"/>
      <c r="H4" s="3"/>
      <c r="I4" s="3"/>
      <c r="J4" s="3"/>
      <c r="K4" s="3"/>
      <c r="L4" s="3"/>
      <c r="M4" s="3"/>
    </row>
    <row r="5" spans="1:15">
      <c r="A5" s="3"/>
      <c r="B5" s="3"/>
      <c r="C5" s="3"/>
      <c r="D5" s="3"/>
      <c r="E5" s="3"/>
      <c r="F5" s="3"/>
      <c r="G5" s="3"/>
      <c r="H5" s="3"/>
      <c r="I5" s="3"/>
      <c r="J5" s="3"/>
      <c r="K5" s="3"/>
      <c r="L5" s="3"/>
      <c r="M5" s="3"/>
    </row>
    <row r="6" spans="1:15">
      <c r="A6" s="3"/>
      <c r="B6" s="3"/>
      <c r="C6" s="3"/>
      <c r="D6" s="3"/>
      <c r="E6" s="3"/>
      <c r="F6" s="3"/>
      <c r="G6" s="3"/>
      <c r="H6" s="3"/>
      <c r="I6" s="3"/>
      <c r="J6" s="3"/>
      <c r="K6" s="3"/>
      <c r="L6" s="3"/>
      <c r="M6" s="3"/>
    </row>
    <row r="7" spans="1:15">
      <c r="A7" s="3"/>
      <c r="B7" s="101" t="s">
        <v>292</v>
      </c>
      <c r="C7" s="102" t="s">
        <v>228</v>
      </c>
      <c r="D7" s="3"/>
      <c r="E7" s="3"/>
      <c r="F7" s="3"/>
      <c r="G7" s="3"/>
      <c r="H7" s="3"/>
      <c r="I7" s="3"/>
      <c r="J7" s="3"/>
      <c r="K7" s="7"/>
      <c r="L7" s="3"/>
      <c r="M7" s="3"/>
    </row>
    <row r="8" spans="1:15" ht="136.5" customHeight="1">
      <c r="A8" s="3"/>
      <c r="B8" s="5" t="s">
        <v>293</v>
      </c>
      <c r="C8" s="6" t="str">
        <f>'Final Input'!C7</f>
        <v>EA/NRW environmental programme wastewater (WINEP/NEP) - Chemicals and emerging contaminants monitoring, investigations, options appraisals; (WINEP/NEP) wastewater totex - Total</v>
      </c>
      <c r="D8" s="3"/>
      <c r="E8" s="3"/>
      <c r="F8" s="3"/>
      <c r="G8" s="3"/>
      <c r="H8" s="3"/>
      <c r="I8" s="3"/>
      <c r="J8" s="3"/>
      <c r="K8" s="3"/>
      <c r="L8" s="3"/>
      <c r="M8" s="3"/>
    </row>
    <row r="9" spans="1:15">
      <c r="A9" s="3"/>
      <c r="B9" s="3"/>
      <c r="C9" s="3"/>
      <c r="D9" s="3"/>
      <c r="E9" s="3"/>
      <c r="F9" s="3"/>
      <c r="G9" s="3"/>
      <c r="H9" s="3"/>
      <c r="I9" s="3"/>
      <c r="J9" s="3"/>
      <c r="K9" s="3"/>
      <c r="L9" s="3"/>
      <c r="M9" s="3"/>
    </row>
    <row r="10" spans="1:15">
      <c r="A10" s="3"/>
      <c r="B10" s="3"/>
      <c r="C10" s="3"/>
      <c r="D10" s="3"/>
      <c r="E10" s="3"/>
      <c r="F10" s="3"/>
      <c r="G10" s="3"/>
      <c r="H10" s="3"/>
      <c r="I10" s="3"/>
      <c r="J10" s="3"/>
      <c r="K10" s="3"/>
      <c r="L10" s="3"/>
      <c r="M10" s="3"/>
    </row>
    <row r="11" spans="1:15">
      <c r="A11" s="8" t="s">
        <v>294</v>
      </c>
      <c r="B11" s="8"/>
      <c r="C11" s="8"/>
      <c r="D11" s="3"/>
      <c r="E11" s="3"/>
      <c r="F11" s="3"/>
      <c r="G11" s="3"/>
      <c r="H11" s="3"/>
      <c r="I11" s="3"/>
      <c r="J11" s="3"/>
      <c r="K11" s="3"/>
      <c r="L11" s="3"/>
      <c r="M11" s="3"/>
    </row>
    <row r="12" spans="1:15">
      <c r="A12" s="8"/>
      <c r="B12" s="8"/>
      <c r="C12" s="8"/>
      <c r="D12" s="3"/>
      <c r="E12" s="3"/>
      <c r="F12" s="3"/>
      <c r="G12" s="3"/>
      <c r="H12" s="3"/>
      <c r="I12" s="3"/>
      <c r="J12" s="3"/>
      <c r="K12" s="3"/>
      <c r="L12" s="3"/>
      <c r="M12" s="3"/>
    </row>
    <row r="14" spans="1:15">
      <c r="A14" s="23"/>
    </row>
    <row r="15" spans="1:15" ht="51">
      <c r="A15" s="3"/>
      <c r="B15" s="138" t="s">
        <v>52</v>
      </c>
      <c r="C15" s="178" t="s">
        <v>295</v>
      </c>
      <c r="D15" s="179" t="s">
        <v>296</v>
      </c>
      <c r="E15" s="179" t="s">
        <v>297</v>
      </c>
      <c r="F15" s="179" t="s">
        <v>298</v>
      </c>
      <c r="G15" s="178" t="s">
        <v>112</v>
      </c>
      <c r="H15" s="138" t="s">
        <v>299</v>
      </c>
      <c r="I15" s="138" t="s">
        <v>300</v>
      </c>
      <c r="J15" s="138" t="s">
        <v>301</v>
      </c>
      <c r="K15" s="138" t="s">
        <v>302</v>
      </c>
      <c r="L15" s="138" t="s">
        <v>303</v>
      </c>
      <c r="M15" s="138" t="s">
        <v>304</v>
      </c>
    </row>
    <row r="16" spans="1:15">
      <c r="A16" s="9">
        <v>1</v>
      </c>
      <c r="B16" s="10" t="s">
        <v>75</v>
      </c>
      <c r="C16" s="30">
        <f ca="1">VLOOKUP(B16,'Materiality &amp; shallow dive'!B$6:E$16,3,FALSE)</f>
        <v>25.616999999999997</v>
      </c>
      <c r="D16" s="32"/>
      <c r="E16" s="49"/>
      <c r="F16" s="33"/>
      <c r="G16" s="33">
        <f ca="1">VLOOKUP(B16,'Materiality &amp; shallow dive'!B$6:E$16,4,FALSE)</f>
        <v>25.616999999999997</v>
      </c>
      <c r="H16" s="31" t="str">
        <f ca="1">_xlfn.XLOOKUP($B16,'Materiality &amp; shallow dive'!$B$6:$B$16,'Materiality &amp; shallow dive'!$I$6:$I$16)</f>
        <v/>
      </c>
      <c r="I16" s="31"/>
      <c r="J16" s="31">
        <f ca="1">'Deep dive_ANH'!D10</f>
        <v>23.055299999999995</v>
      </c>
      <c r="K16" s="31">
        <f ca="1">SUM(H16:J16)</f>
        <v>23.055299999999995</v>
      </c>
      <c r="L16" s="14"/>
      <c r="M16" s="14"/>
      <c r="N16" s="206"/>
    </row>
    <row r="17" spans="1:13">
      <c r="A17" s="9">
        <v>2</v>
      </c>
      <c r="B17" s="10" t="s">
        <v>95</v>
      </c>
      <c r="C17" s="30">
        <f ca="1">VLOOKUP(B17,'Materiality &amp; shallow dive'!B$6:E$16,3,FALSE)</f>
        <v>3.0489999999999999</v>
      </c>
      <c r="D17" s="32"/>
      <c r="E17" s="49"/>
      <c r="F17" s="33"/>
      <c r="G17" s="33">
        <f ca="1">VLOOKUP(B17,'Materiality &amp; shallow dive'!B$6:E$16,4,FALSE)</f>
        <v>2.7519999999999998</v>
      </c>
      <c r="H17" s="31">
        <f ca="1">_xlfn.XLOOKUP($B17,'Materiality &amp; shallow dive'!$B$6:$B$16,'Materiality &amp; shallow dive'!$I$6:$I$16)</f>
        <v>2.7519999999999998</v>
      </c>
      <c r="I17" s="209"/>
      <c r="J17" s="48"/>
      <c r="K17" s="31">
        <f t="shared" ref="K17:K26" ca="1" si="0">SUM(H17:J17)</f>
        <v>2.7519999999999998</v>
      </c>
      <c r="L17" s="14"/>
      <c r="M17" s="14"/>
    </row>
    <row r="18" spans="1:13">
      <c r="A18" s="9">
        <v>3</v>
      </c>
      <c r="B18" s="10" t="s">
        <v>96</v>
      </c>
      <c r="C18" s="30">
        <f ca="1">VLOOKUP(B18,'Materiality &amp; shallow dive'!B$6:E$16,3,FALSE)</f>
        <v>0</v>
      </c>
      <c r="D18" s="32"/>
      <c r="E18" s="49"/>
      <c r="F18" s="33"/>
      <c r="G18" s="33">
        <f ca="1">VLOOKUP(B18,'Materiality &amp; shallow dive'!B$6:E$16,4,FALSE)</f>
        <v>0</v>
      </c>
      <c r="H18" s="31">
        <f ca="1">_xlfn.XLOOKUP($B18,'Materiality &amp; shallow dive'!$B$6:$B$16,'Materiality &amp; shallow dive'!$I$6:$I$16)</f>
        <v>0</v>
      </c>
      <c r="I18" s="209"/>
      <c r="J18" s="48"/>
      <c r="K18" s="31">
        <f t="shared" ca="1" si="0"/>
        <v>0</v>
      </c>
      <c r="L18" s="14"/>
      <c r="M18" s="14"/>
    </row>
    <row r="19" spans="1:13">
      <c r="A19" s="9">
        <v>4</v>
      </c>
      <c r="B19" s="10" t="s">
        <v>97</v>
      </c>
      <c r="C19" s="30">
        <f ca="1">VLOOKUP(B19,'Materiality &amp; shallow dive'!B$6:E$16,3,FALSE)</f>
        <v>5.2639999999999993</v>
      </c>
      <c r="D19" s="32"/>
      <c r="E19" s="49"/>
      <c r="F19" s="33"/>
      <c r="G19" s="33">
        <f ca="1">VLOOKUP(B19,'Materiality &amp; shallow dive'!B$6:E$16,4,FALSE)</f>
        <v>5.2639999999999993</v>
      </c>
      <c r="H19" s="31">
        <f ca="1">_xlfn.XLOOKUP($B19,'Materiality &amp; shallow dive'!$B$6:$B$16,'Materiality &amp; shallow dive'!$I$6:$I$16)</f>
        <v>5.2639999999999993</v>
      </c>
      <c r="I19" s="209"/>
      <c r="J19" s="48"/>
      <c r="K19" s="31">
        <f t="shared" ca="1" si="0"/>
        <v>5.2639999999999993</v>
      </c>
      <c r="L19" s="14"/>
      <c r="M19" s="14"/>
    </row>
    <row r="20" spans="1:13">
      <c r="A20" s="9">
        <v>5</v>
      </c>
      <c r="B20" s="10" t="s">
        <v>102</v>
      </c>
      <c r="C20" s="30">
        <f ca="1">VLOOKUP(B20,'Materiality &amp; shallow dive'!B$6:E$16,3,FALSE)</f>
        <v>8.3795515389849466</v>
      </c>
      <c r="D20" s="32"/>
      <c r="E20" s="49"/>
      <c r="F20" s="33"/>
      <c r="G20" s="33">
        <f ca="1">VLOOKUP(B20,'Materiality &amp; shallow dive'!B$6:E$16,4,FALSE)</f>
        <v>8.3795515389849449</v>
      </c>
      <c r="H20" s="31">
        <f ca="1">_xlfn.XLOOKUP($B20,'Materiality &amp; shallow dive'!$B$6:$B$16,'Materiality &amp; shallow dive'!$I$6:$I$16)</f>
        <v>8.3795515389849449</v>
      </c>
      <c r="I20" s="209"/>
      <c r="J20" s="48"/>
      <c r="K20" s="31">
        <f t="shared" ca="1" si="0"/>
        <v>8.3795515389849449</v>
      </c>
      <c r="L20" s="14"/>
      <c r="M20" s="14"/>
    </row>
    <row r="21" spans="1:13">
      <c r="A21" s="9">
        <v>6</v>
      </c>
      <c r="B21" s="10" t="s">
        <v>100</v>
      </c>
      <c r="C21" s="30">
        <f ca="1">VLOOKUP(B21,'Materiality &amp; shallow dive'!B$6:E$16,3,FALSE)</f>
        <v>2.2390000000000003</v>
      </c>
      <c r="D21" s="32"/>
      <c r="E21" s="49"/>
      <c r="F21" s="33"/>
      <c r="G21" s="33">
        <f ca="1">VLOOKUP(B21,'Materiality &amp; shallow dive'!B$6:E$16,4,FALSE)</f>
        <v>2.2390000000000003</v>
      </c>
      <c r="H21" s="31">
        <f ca="1">_xlfn.XLOOKUP($B21,'Materiality &amp; shallow dive'!$B$6:$B$16,'Materiality &amp; shallow dive'!$I$6:$I$16)</f>
        <v>2.2390000000000003</v>
      </c>
      <c r="I21" s="209"/>
      <c r="J21" s="48"/>
      <c r="K21" s="31">
        <f t="shared" ca="1" si="0"/>
        <v>2.2390000000000003</v>
      </c>
      <c r="L21" s="14"/>
      <c r="M21" s="14"/>
    </row>
    <row r="22" spans="1:13">
      <c r="A22" s="9">
        <v>7</v>
      </c>
      <c r="B22" s="10" t="s">
        <v>98</v>
      </c>
      <c r="C22" s="30">
        <f ca="1">VLOOKUP(B22,'Materiality &amp; shallow dive'!B$6:E$16,3,FALSE)</f>
        <v>5.7906882190384223</v>
      </c>
      <c r="D22" s="32"/>
      <c r="E22" s="49"/>
      <c r="F22" s="33"/>
      <c r="G22" s="33">
        <f ca="1">VLOOKUP(B22,'Materiality &amp; shallow dive'!B$6:E$16,4,FALSE)</f>
        <v>5.7906882190384223</v>
      </c>
      <c r="H22" s="31">
        <f ca="1">_xlfn.XLOOKUP($B22,'Materiality &amp; shallow dive'!$B$6:$B$16,'Materiality &amp; shallow dive'!$I$6:$I$16)</f>
        <v>5.7906882190384223</v>
      </c>
      <c r="I22" s="209"/>
      <c r="J22" s="48"/>
      <c r="K22" s="31">
        <f t="shared" ca="1" si="0"/>
        <v>5.7906882190384223</v>
      </c>
      <c r="L22" s="14"/>
      <c r="M22" s="14"/>
    </row>
    <row r="23" spans="1:13">
      <c r="A23" s="9">
        <v>8</v>
      </c>
      <c r="B23" s="10" t="s">
        <v>99</v>
      </c>
      <c r="C23" s="30">
        <f ca="1">VLOOKUP(B23,'Materiality &amp; shallow dive'!B$6:E$16,3,FALSE)</f>
        <v>2.1859999999999999</v>
      </c>
      <c r="D23" s="32"/>
      <c r="E23" s="49"/>
      <c r="F23" s="33"/>
      <c r="G23" s="33">
        <f ca="1">VLOOKUP(B23,'Materiality &amp; shallow dive'!B$6:E$16,4,FALSE)</f>
        <v>2.1859999999999999</v>
      </c>
      <c r="H23" s="31">
        <f ca="1">_xlfn.XLOOKUP($B23,'Materiality &amp; shallow dive'!$B$6:$B$16,'Materiality &amp; shallow dive'!$I$6:$I$16)</f>
        <v>2.1859999999999999</v>
      </c>
      <c r="I23" s="209"/>
      <c r="J23" s="48"/>
      <c r="K23" s="31">
        <f t="shared" ca="1" si="0"/>
        <v>2.1859999999999999</v>
      </c>
      <c r="L23" s="14"/>
      <c r="M23" s="14"/>
    </row>
    <row r="24" spans="1:13">
      <c r="A24" s="9">
        <v>9</v>
      </c>
      <c r="B24" s="10" t="s">
        <v>101</v>
      </c>
      <c r="C24" s="30">
        <f ca="1">VLOOKUP(B24,'Materiality &amp; shallow dive'!B$6:E$16,3,FALSE)</f>
        <v>7.3220000000000001</v>
      </c>
      <c r="D24" s="32"/>
      <c r="E24" s="49"/>
      <c r="F24" s="33"/>
      <c r="G24" s="33">
        <f ca="1">VLOOKUP(B24,'Materiality &amp; shallow dive'!B$6:E$16,4,FALSE)</f>
        <v>7.3220000000000001</v>
      </c>
      <c r="H24" s="31">
        <f ca="1">_xlfn.XLOOKUP($B24,'Materiality &amp; shallow dive'!$B$6:$B$16,'Materiality &amp; shallow dive'!$I$6:$I$16)</f>
        <v>7.3220000000000001</v>
      </c>
      <c r="I24" s="209"/>
      <c r="J24" s="48"/>
      <c r="K24" s="31">
        <f t="shared" ca="1" si="0"/>
        <v>7.3220000000000001</v>
      </c>
      <c r="L24" s="14"/>
      <c r="M24" s="14"/>
    </row>
    <row r="25" spans="1:13">
      <c r="A25" s="9">
        <v>10</v>
      </c>
      <c r="B25" s="10" t="s">
        <v>103</v>
      </c>
      <c r="C25" s="30">
        <f ca="1">VLOOKUP(B25,'Materiality &amp; shallow dive'!B$6:E$16,3,FALSE)</f>
        <v>9.9811540000000001</v>
      </c>
      <c r="D25" s="32"/>
      <c r="E25" s="49"/>
      <c r="F25" s="33"/>
      <c r="G25" s="33">
        <f ca="1">VLOOKUP(B25,'Materiality &amp; shallow dive'!B$6:E$16,4,FALSE)</f>
        <v>9.9811540000000001</v>
      </c>
      <c r="H25" s="31">
        <f ca="1">_xlfn.XLOOKUP($B25,'Materiality &amp; shallow dive'!$B$6:$B$16,'Materiality &amp; shallow dive'!$I$6:$I$16)</f>
        <v>9.9811540000000001</v>
      </c>
      <c r="I25" s="209"/>
      <c r="J25" s="48"/>
      <c r="K25" s="31">
        <f t="shared" ca="1" si="0"/>
        <v>9.9811540000000001</v>
      </c>
      <c r="L25" s="14"/>
      <c r="M25" s="14"/>
    </row>
    <row r="26" spans="1:13">
      <c r="A26" s="9">
        <v>11</v>
      </c>
      <c r="B26" s="10" t="s">
        <v>104</v>
      </c>
      <c r="C26" s="30">
        <f ca="1">VLOOKUP(B26,'Materiality &amp; shallow dive'!B$6:E$16,3,FALSE)</f>
        <v>5.5708608000000002</v>
      </c>
      <c r="D26" s="32"/>
      <c r="E26" s="49"/>
      <c r="F26" s="33"/>
      <c r="G26" s="33">
        <f ca="1">VLOOKUP(B26,'Materiality &amp; shallow dive'!B$6:E$16,4,FALSE)</f>
        <v>5.5708608000000011</v>
      </c>
      <c r="H26" s="31">
        <f ca="1">_xlfn.XLOOKUP($B26,'Materiality &amp; shallow dive'!$B$6:$B$16,'Materiality &amp; shallow dive'!$I$6:$I$16)</f>
        <v>5.5708608000000011</v>
      </c>
      <c r="I26" s="209"/>
      <c r="J26" s="48"/>
      <c r="K26" s="31">
        <f t="shared" ca="1" si="0"/>
        <v>5.5708608000000011</v>
      </c>
      <c r="L26" s="14"/>
      <c r="M26" s="14"/>
    </row>
    <row r="27" spans="1:13">
      <c r="A27" s="3"/>
      <c r="B27" s="12" t="s">
        <v>105</v>
      </c>
      <c r="C27" s="57">
        <f ca="1">SUM(C16:C26)</f>
        <v>75.399254558023372</v>
      </c>
      <c r="D27" s="34">
        <f t="shared" ref="D27:H27" si="1">SUM(D16:D26)</f>
        <v>0</v>
      </c>
      <c r="E27" s="34">
        <f t="shared" si="1"/>
        <v>0</v>
      </c>
      <c r="F27" s="34"/>
      <c r="G27" s="34">
        <f t="shared" ca="1" si="1"/>
        <v>75.102254558023361</v>
      </c>
      <c r="H27" s="34">
        <f t="shared" ca="1" si="1"/>
        <v>49.485254558023364</v>
      </c>
      <c r="I27" s="34"/>
      <c r="J27" s="34"/>
      <c r="K27" s="34">
        <f ca="1">SUM(K16:K26)</f>
        <v>72.540554558023359</v>
      </c>
      <c r="L27" s="16"/>
      <c r="M27" s="15"/>
    </row>
  </sheetData>
  <mergeCells count="1">
    <mergeCell ref="A3:O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578A-E5F2-48BF-B871-66D0D5200A76}">
  <sheetPr>
    <tabColor rgb="FF98C561"/>
  </sheetPr>
  <dimension ref="A1:AF50"/>
  <sheetViews>
    <sheetView zoomScale="80" zoomScaleNormal="80" workbookViewId="0">
      <selection sqref="A1:AF1"/>
    </sheetView>
  </sheetViews>
  <sheetFormatPr defaultRowHeight="12.75"/>
  <cols>
    <col min="3" max="3" width="10.42578125" bestFit="1" customWidth="1"/>
    <col min="4" max="4" width="21.85546875" bestFit="1" customWidth="1"/>
    <col min="5" max="5" width="24.7109375" bestFit="1" customWidth="1"/>
    <col min="6" max="6" width="21.85546875" bestFit="1" customWidth="1"/>
    <col min="7" max="7" width="24.7109375" bestFit="1" customWidth="1"/>
    <col min="8" max="12" width="9.28515625" bestFit="1" customWidth="1"/>
    <col min="16" max="16" width="13.85546875" customWidth="1"/>
    <col min="21" max="25" width="9.28515625" bestFit="1" customWidth="1"/>
  </cols>
  <sheetData>
    <row r="1" spans="1:32" s="37" customFormat="1" ht="31.5">
      <c r="A1" s="223" t="str">
        <f ca="1" xml:space="preserve"> RIGHT(CELL("filename", $A$1), LEN(CELL("filename", $A$1)) - SEARCH("]", CELL("filename", $A$1)))</f>
        <v>Outputs to aggregator</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row>
    <row r="3" spans="1:32" ht="18.75">
      <c r="A3" s="251" t="s">
        <v>305</v>
      </c>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row>
    <row r="5" spans="1:32">
      <c r="B5" s="38" t="s">
        <v>306</v>
      </c>
      <c r="D5" s="25"/>
      <c r="O5" s="38" t="s">
        <v>307</v>
      </c>
      <c r="Q5" s="25"/>
    </row>
    <row r="6" spans="1:32" ht="51">
      <c r="B6" s="13" t="s">
        <v>52</v>
      </c>
      <c r="C6" s="13" t="s">
        <v>308</v>
      </c>
      <c r="D6" s="13" t="s">
        <v>309</v>
      </c>
      <c r="E6" s="13" t="s">
        <v>310</v>
      </c>
      <c r="F6" s="13" t="s">
        <v>311</v>
      </c>
      <c r="G6" s="13" t="s">
        <v>312</v>
      </c>
      <c r="H6" s="13" t="s">
        <v>313</v>
      </c>
      <c r="I6" s="13" t="s">
        <v>314</v>
      </c>
      <c r="J6" s="13" t="s">
        <v>315</v>
      </c>
      <c r="K6" s="50" t="s">
        <v>316</v>
      </c>
      <c r="L6" s="13" t="s">
        <v>105</v>
      </c>
      <c r="O6" s="13" t="s">
        <v>52</v>
      </c>
      <c r="P6" s="13" t="s">
        <v>317</v>
      </c>
      <c r="Q6" s="13" t="s">
        <v>308</v>
      </c>
      <c r="R6" s="13" t="s">
        <v>309</v>
      </c>
      <c r="S6" s="13" t="s">
        <v>310</v>
      </c>
      <c r="T6" s="13" t="s">
        <v>311</v>
      </c>
      <c r="U6" s="13" t="s">
        <v>312</v>
      </c>
      <c r="V6" s="13" t="s">
        <v>313</v>
      </c>
      <c r="W6" s="13" t="s">
        <v>314</v>
      </c>
      <c r="X6" s="13" t="s">
        <v>315</v>
      </c>
      <c r="Y6" s="13" t="s">
        <v>316</v>
      </c>
      <c r="Z6" s="13" t="s">
        <v>105</v>
      </c>
    </row>
    <row r="7" spans="1:32">
      <c r="B7" s="17" t="str">
        <f>Allowance!B16</f>
        <v>ANH</v>
      </c>
      <c r="C7" s="103">
        <f t="array" ref="C7">VLOOKUP($B7&amp;"|"&amp;'Consolidated Input'!$B$13,CHOOSE({1,2},Table1[Acronym]&amp;"|"&amp;Table1[BON code],Table1[2023-24]),2,FALSE)</f>
        <v>1.9E-2</v>
      </c>
      <c r="D7" s="103">
        <f t="array" ref="D7">VLOOKUP($B7&amp;"|"&amp;'Consolidated Input'!$B$14,CHOOSE({1,2},Table1[Acronym]&amp;"|"&amp;Table1[BON code],Table1[2023-24]),2,FALSE)</f>
        <v>0</v>
      </c>
      <c r="E7" s="103">
        <f t="array" ref="E7">VLOOKUP($B7&amp;"|"&amp;'Consolidated Input'!$B$13,CHOOSE({1,2},Table1[Acronym]&amp;"|"&amp;Table1[BON code],Table1[2024-25]),2,FALSE)</f>
        <v>1.7999999999999999E-2</v>
      </c>
      <c r="F7" s="103">
        <f t="array" ref="F7">VLOOKUP($B7&amp;"|"&amp;'Consolidated Input'!$B$14,CHOOSE({1,2},Table1[Acronym]&amp;"|"&amp;Table1[BON code],Table1[2024-25]),2,FALSE)</f>
        <v>0</v>
      </c>
      <c r="G7" s="104">
        <f t="array" ref="G7">VLOOKUP($B7&amp;"|"&amp;'Consolidated Input'!$B$7,CHOOSE({1,2},Table1[Acronym]&amp;"|"&amp;Table1[BON code],Table1[2025-26]),2,FALSE)</f>
        <v>4.6470000000000002</v>
      </c>
      <c r="H7" s="104">
        <f t="array" ref="H7">VLOOKUP($B7&amp;"|"&amp;'Consolidated Input'!$B$7,CHOOSE({1,2},Table1[Acronym]&amp;"|"&amp;Table1[BON code],Table1[2026-27]),2,FALSE)</f>
        <v>6.5570000000000004</v>
      </c>
      <c r="I7" s="104">
        <f t="array" ref="I7">VLOOKUP($B7&amp;"|"&amp;'Consolidated Input'!$B$7,CHOOSE({1,2},Table1[Acronym]&amp;"|"&amp;Table1[BON code],Table1[2027-28]),2,FALSE)</f>
        <v>4.6680000000000001</v>
      </c>
      <c r="J7" s="104">
        <f t="array" ref="J7">VLOOKUP($B7&amp;"|"&amp;'Consolidated Input'!$B$7,CHOOSE({1,2},Table1[Acronym]&amp;"|"&amp;Table1[BON code],Table1[2028-29]),2,FALSE)</f>
        <v>4.6769999999999996</v>
      </c>
      <c r="K7" s="104">
        <f t="array" ref="K7">VLOOKUP($B7&amp;"|"&amp;'Consolidated Input'!$B$7,CHOOSE({1,2},Table1[Acronym]&amp;"|"&amp;Table1[BON code],Table1[2029-30]),2,FALSE)</f>
        <v>5.0309999999999997</v>
      </c>
      <c r="L7" s="51">
        <f t="shared" ref="L7:L8" si="0">SUM(C7:K7)</f>
        <v>25.616999999999997</v>
      </c>
      <c r="O7" s="17" t="str">
        <f t="shared" ref="O7:O8" si="1">B7</f>
        <v>ANH</v>
      </c>
      <c r="P7" s="51">
        <f ca="1">Allowance!G16</f>
        <v>25.616999999999997</v>
      </c>
      <c r="Q7" s="109">
        <f t="array" ref="Q7">VLOOKUP($O7&amp;"|"&amp;'Final Input'!$B$13,CHOOSE({1,2},Table3[Acronym]&amp;"|"&amp;Table3[BON code],Table3[2023-24]),2,FALSE)</f>
        <v>1.9E-2</v>
      </c>
      <c r="R7" s="103">
        <f t="array" ref="R7">VLOOKUP($O7&amp;"|"&amp;'Final Input'!$B$14,CHOOSE({1,2},Table3[Acronym]&amp;"|"&amp;Table3[BON code],Table3[2023-24]),2,FALSE)</f>
        <v>0</v>
      </c>
      <c r="S7" s="103">
        <f t="array" ref="S7">VLOOKUP($O7&amp;"|"&amp;'Final Input'!$B$13,CHOOSE({1,2},Table3[Acronym]&amp;"|"&amp;Table3[BON code],Table3[2024-25]),2,FALSE)</f>
        <v>1.7999999999999999E-2</v>
      </c>
      <c r="T7" s="103">
        <f t="array" ref="T7">VLOOKUP($O7&amp;"|"&amp;'Final Input'!$B$14,CHOOSE({1,2},Table3[Acronym]&amp;"|"&amp;Table3[BON code],Table3[2024-25]),2,FALSE)</f>
        <v>0</v>
      </c>
      <c r="U7" s="104">
        <f t="array" ref="U7">VLOOKUP($O7&amp;"|"&amp;'Final Input'!$B$7,CHOOSE({1,2},Table3[Acronym]&amp;"|"&amp;Table3[BON code],Table3[2025-26]),2,FALSE)</f>
        <v>4.6470000000000002</v>
      </c>
      <c r="V7" s="104">
        <f t="array" ref="V7">VLOOKUP($O7&amp;"|"&amp;'Final Input'!$B$7,CHOOSE({1,2},Table3[Acronym]&amp;"|"&amp;Table3[BON code],Table3[2026-27]),2,FALSE)</f>
        <v>6.5570000000000004</v>
      </c>
      <c r="W7" s="104">
        <f t="array" ref="W7">VLOOKUP($O7&amp;"|"&amp;'Final Input'!$B$7,CHOOSE({1,2},Table3[Acronym]&amp;"|"&amp;Table3[BON code],Table3[2027-28]),2,FALSE)</f>
        <v>4.6680000000000001</v>
      </c>
      <c r="X7" s="104">
        <f t="array" ref="X7">VLOOKUP($O7&amp;"|"&amp;'Final Input'!$B$7,CHOOSE({1,2},Table3[Acronym]&amp;"|"&amp;Table3[BON code],Table3[2028-29]),2,FALSE)</f>
        <v>4.6769999999999996</v>
      </c>
      <c r="Y7" s="104">
        <f t="array" ref="Y7">VLOOKUP($O7&amp;"|"&amp;'Final Input'!$B$7,CHOOSE({1,2},Table3[Acronym]&amp;"|"&amp;Table3[BON code],Table3[2029-30]),2,FALSE)</f>
        <v>5.0309999999999997</v>
      </c>
      <c r="Z7" s="51">
        <f>SUM(Q7:Y7)</f>
        <v>25.616999999999997</v>
      </c>
      <c r="AA7" t="str">
        <f ca="1">IF(Z7=P7,"reconciled","check")</f>
        <v>reconciled</v>
      </c>
    </row>
    <row r="8" spans="1:32">
      <c r="B8" s="17" t="str">
        <f>Allowance!B17</f>
        <v>WSH</v>
      </c>
      <c r="C8" s="103">
        <f t="array" ref="C8">VLOOKUP($B8&amp;"|"&amp;'Consolidated Input'!$B$13,CHOOSE({1,2},Table1[Acronym]&amp;"|"&amp;Table1[BON code],Table1[2023-24]),2,FALSE)</f>
        <v>0</v>
      </c>
      <c r="D8" s="103">
        <f t="array" ref="D8">VLOOKUP($B8&amp;"|"&amp;'Consolidated Input'!$B$14,CHOOSE({1,2},Table1[Acronym]&amp;"|"&amp;Table1[BON code],Table1[2023-24]),2,FALSE)</f>
        <v>0</v>
      </c>
      <c r="E8" s="103">
        <f t="array" ref="E8">VLOOKUP($B8&amp;"|"&amp;'Consolidated Input'!$B$13,CHOOSE({1,2},Table1[Acronym]&amp;"|"&amp;Table1[BON code],Table1[2024-25]),2,FALSE)</f>
        <v>0</v>
      </c>
      <c r="F8" s="103">
        <f t="array" ref="F8">VLOOKUP($B8&amp;"|"&amp;'Consolidated Input'!$B$14,CHOOSE({1,2},Table1[Acronym]&amp;"|"&amp;Table1[BON code],Table1[2024-25]),2,FALSE)</f>
        <v>0</v>
      </c>
      <c r="G8" s="104">
        <f t="array" ref="G8">VLOOKUP($B8&amp;"|"&amp;'Consolidated Input'!$B$7,CHOOSE({1,2},Table1[Acronym]&amp;"|"&amp;Table1[BON code],Table1[2025-26]),2,FALSE)</f>
        <v>1.544</v>
      </c>
      <c r="H8" s="104">
        <f t="array" ref="H8">VLOOKUP($B8&amp;"|"&amp;'Consolidated Input'!$B$7,CHOOSE({1,2},Table1[Acronym]&amp;"|"&amp;Table1[BON code],Table1[2026-27]),2,FALSE)</f>
        <v>1.5049999999999999</v>
      </c>
      <c r="I8" s="104">
        <f t="array" ref="I8">VLOOKUP($B8&amp;"|"&amp;'Consolidated Input'!$B$7,CHOOSE({1,2},Table1[Acronym]&amp;"|"&amp;Table1[BON code],Table1[2027-28]),2,FALSE)</f>
        <v>0</v>
      </c>
      <c r="J8" s="104">
        <f t="array" ref="J8">VLOOKUP($B8&amp;"|"&amp;'Consolidated Input'!$B$7,CHOOSE({1,2},Table1[Acronym]&amp;"|"&amp;Table1[BON code],Table1[2028-29]),2,FALSE)</f>
        <v>0</v>
      </c>
      <c r="K8" s="104">
        <f t="array" ref="K8">VLOOKUP($B8&amp;"|"&amp;'Consolidated Input'!$B$7,CHOOSE({1,2},Table1[Acronym]&amp;"|"&amp;Table1[BON code],Table1[2029-30]),2,FALSE)</f>
        <v>0</v>
      </c>
      <c r="L8" s="51">
        <f t="shared" si="0"/>
        <v>3.0489999999999999</v>
      </c>
      <c r="O8" s="17" t="str">
        <f t="shared" si="1"/>
        <v>WSH</v>
      </c>
      <c r="P8" s="51">
        <f ca="1">Allowance!G17</f>
        <v>2.7519999999999998</v>
      </c>
      <c r="Q8" s="109">
        <f t="array" ref="Q8">VLOOKUP($O8&amp;"|"&amp;'Final Input'!$B$13,CHOOSE({1,2},Table3[Acronym]&amp;"|"&amp;Table3[BON code],Table3[2023-24]),2,FALSE)</f>
        <v>0</v>
      </c>
      <c r="R8" s="103">
        <f t="array" ref="R8">VLOOKUP($O8&amp;"|"&amp;'Final Input'!$B$14,CHOOSE({1,2},Table3[Acronym]&amp;"|"&amp;Table3[BON code],Table3[2023-24]),2,FALSE)</f>
        <v>0</v>
      </c>
      <c r="S8" s="103">
        <f t="array" ref="S8">VLOOKUP($O8&amp;"|"&amp;'Final Input'!$B$13,CHOOSE({1,2},Table3[Acronym]&amp;"|"&amp;Table3[BON code],Table3[2024-25]),2,FALSE)</f>
        <v>0</v>
      </c>
      <c r="T8" s="103">
        <f t="array" ref="T8">VLOOKUP($O8&amp;"|"&amp;'Final Input'!$B$14,CHOOSE({1,2},Table3[Acronym]&amp;"|"&amp;Table3[BON code],Table3[2024-25]),2,FALSE)</f>
        <v>0</v>
      </c>
      <c r="U8" s="104">
        <f t="array" ref="U8">VLOOKUP($O8&amp;"|"&amp;'Final Input'!$B$7,CHOOSE({1,2},Table3[Acronym]&amp;"|"&amp;Table3[BON code],Table3[2025-26]),2,FALSE)</f>
        <v>1.3959999999999999</v>
      </c>
      <c r="V8" s="104">
        <f t="array" ref="V8">VLOOKUP($O8&amp;"|"&amp;'Final Input'!$B$7,CHOOSE({1,2},Table3[Acronym]&amp;"|"&amp;Table3[BON code],Table3[2026-27]),2,FALSE)</f>
        <v>1.3560000000000001</v>
      </c>
      <c r="W8" s="104">
        <f t="array" ref="W8">VLOOKUP($O8&amp;"|"&amp;'Final Input'!$B$7,CHOOSE({1,2},Table3[Acronym]&amp;"|"&amp;Table3[BON code],Table3[2027-28]),2,FALSE)</f>
        <v>0</v>
      </c>
      <c r="X8" s="104">
        <f t="array" ref="X8">VLOOKUP($O8&amp;"|"&amp;'Final Input'!$B$7,CHOOSE({1,2},Table3[Acronym]&amp;"|"&amp;Table3[BON code],Table3[2028-29]),2,FALSE)</f>
        <v>0</v>
      </c>
      <c r="Y8" s="104">
        <f t="array" ref="Y8">VLOOKUP($O8&amp;"|"&amp;'Final Input'!$B$7,CHOOSE({1,2},Table3[Acronym]&amp;"|"&amp;Table3[BON code],Table3[2029-30]),2,FALSE)</f>
        <v>0</v>
      </c>
      <c r="Z8" s="51">
        <f t="shared" ref="Z8" si="2">SUM(Q8:Y8)</f>
        <v>2.7519999999999998</v>
      </c>
      <c r="AA8" t="str">
        <f t="shared" ref="AA8" ca="1" si="3">IF(Z8=P8,"reconciled","check")</f>
        <v>reconciled</v>
      </c>
    </row>
    <row r="9" spans="1:32">
      <c r="B9" s="17" t="str">
        <f>Allowance!B18</f>
        <v>HDD</v>
      </c>
      <c r="C9" s="103">
        <f t="array" ref="C9">VLOOKUP($B9&amp;"|"&amp;'Consolidated Input'!$B$13,CHOOSE({1,2},Table1[Acronym]&amp;"|"&amp;Table1[BON code],Table1[2023-24]),2,FALSE)</f>
        <v>0</v>
      </c>
      <c r="D9" s="103">
        <f t="array" ref="D9">VLOOKUP($B9&amp;"|"&amp;'Consolidated Input'!$B$14,CHOOSE({1,2},Table1[Acronym]&amp;"|"&amp;Table1[BON code],Table1[2023-24]),2,FALSE)</f>
        <v>0</v>
      </c>
      <c r="E9" s="103">
        <f t="array" ref="E9">VLOOKUP($B9&amp;"|"&amp;'Consolidated Input'!$B$13,CHOOSE({1,2},Table1[Acronym]&amp;"|"&amp;Table1[BON code],Table1[2024-25]),2,FALSE)</f>
        <v>0</v>
      </c>
      <c r="F9" s="103">
        <f t="array" ref="F9">VLOOKUP($B9&amp;"|"&amp;'Consolidated Input'!$B$14,CHOOSE({1,2},Table1[Acronym]&amp;"|"&amp;Table1[BON code],Table1[2024-25]),2,FALSE)</f>
        <v>0</v>
      </c>
      <c r="G9" s="104">
        <f t="array" ref="G9">VLOOKUP($B9&amp;"|"&amp;'Consolidated Input'!$B$7,CHOOSE({1,2},Table1[Acronym]&amp;"|"&amp;Table1[BON code],Table1[2025-26]),2,FALSE)</f>
        <v>0</v>
      </c>
      <c r="H9" s="104">
        <f t="array" ref="H9">VLOOKUP($B9&amp;"|"&amp;'Consolidated Input'!$B$7,CHOOSE({1,2},Table1[Acronym]&amp;"|"&amp;Table1[BON code],Table1[2026-27]),2,FALSE)</f>
        <v>0</v>
      </c>
      <c r="I9" s="104">
        <f t="array" ref="I9">VLOOKUP($B9&amp;"|"&amp;'Consolidated Input'!$B$7,CHOOSE({1,2},Table1[Acronym]&amp;"|"&amp;Table1[BON code],Table1[2027-28]),2,FALSE)</f>
        <v>0</v>
      </c>
      <c r="J9" s="104">
        <f t="array" ref="J9">VLOOKUP($B9&amp;"|"&amp;'Consolidated Input'!$B$7,CHOOSE({1,2},Table1[Acronym]&amp;"|"&amp;Table1[BON code],Table1[2028-29]),2,FALSE)</f>
        <v>0</v>
      </c>
      <c r="K9" s="104">
        <f t="array" ref="K9">VLOOKUP($B9&amp;"|"&amp;'Consolidated Input'!$B$7,CHOOSE({1,2},Table1[Acronym]&amp;"|"&amp;Table1[BON code],Table1[2029-30]),2,FALSE)</f>
        <v>0</v>
      </c>
      <c r="L9" s="51">
        <f t="shared" ref="L9" si="4">SUM(C9:K9)</f>
        <v>0</v>
      </c>
      <c r="O9" s="17" t="str">
        <f t="shared" ref="O9" si="5">B9</f>
        <v>HDD</v>
      </c>
      <c r="P9" s="51">
        <f ca="1">Allowance!G18</f>
        <v>0</v>
      </c>
      <c r="Q9" s="109">
        <f t="array" ref="Q9">VLOOKUP($O9&amp;"|"&amp;'Final Input'!$B$13,CHOOSE({1,2},Table3[Acronym]&amp;"|"&amp;Table3[BON code],Table3[2023-24]),2,FALSE)</f>
        <v>0</v>
      </c>
      <c r="R9" s="103">
        <f t="array" ref="R9">VLOOKUP($O9&amp;"|"&amp;'Final Input'!$B$14,CHOOSE({1,2},Table3[Acronym]&amp;"|"&amp;Table3[BON code],Table3[2023-24]),2,FALSE)</f>
        <v>0</v>
      </c>
      <c r="S9" s="103">
        <f t="array" ref="S9">VLOOKUP($O9&amp;"|"&amp;'Final Input'!$B$13,CHOOSE({1,2},Table3[Acronym]&amp;"|"&amp;Table3[BON code],Table3[2024-25]),2,FALSE)</f>
        <v>0</v>
      </c>
      <c r="T9" s="103">
        <f t="array" ref="T9">VLOOKUP($O9&amp;"|"&amp;'Final Input'!$B$14,CHOOSE({1,2},Table3[Acronym]&amp;"|"&amp;Table3[BON code],Table3[2024-25]),2,FALSE)</f>
        <v>0</v>
      </c>
      <c r="U9" s="104">
        <f t="array" ref="U9">VLOOKUP($O9&amp;"|"&amp;'Final Input'!$B$7,CHOOSE({1,2},Table3[Acronym]&amp;"|"&amp;Table3[BON code],Table3[2025-26]),2,FALSE)</f>
        <v>0</v>
      </c>
      <c r="V9" s="104">
        <f t="array" ref="V9">VLOOKUP($O9&amp;"|"&amp;'Final Input'!$B$7,CHOOSE({1,2},Table3[Acronym]&amp;"|"&amp;Table3[BON code],Table3[2026-27]),2,FALSE)</f>
        <v>0</v>
      </c>
      <c r="W9" s="104">
        <f t="array" ref="W9">VLOOKUP($O9&amp;"|"&amp;'Final Input'!$B$7,CHOOSE({1,2},Table3[Acronym]&amp;"|"&amp;Table3[BON code],Table3[2027-28]),2,FALSE)</f>
        <v>0</v>
      </c>
      <c r="X9" s="104">
        <f t="array" ref="X9">VLOOKUP($O9&amp;"|"&amp;'Final Input'!$B$7,CHOOSE({1,2},Table3[Acronym]&amp;"|"&amp;Table3[BON code],Table3[2028-29]),2,FALSE)</f>
        <v>0</v>
      </c>
      <c r="Y9" s="104">
        <f t="array" ref="Y9">VLOOKUP($O9&amp;"|"&amp;'Final Input'!$B$7,CHOOSE({1,2},Table3[Acronym]&amp;"|"&amp;Table3[BON code],Table3[2029-30]),2,FALSE)</f>
        <v>0</v>
      </c>
      <c r="Z9" s="51">
        <f t="shared" ref="Z9" si="6">SUM(Q9:Y9)</f>
        <v>0</v>
      </c>
    </row>
    <row r="10" spans="1:32">
      <c r="B10" s="17" t="str">
        <f>Allowance!B19</f>
        <v>NES</v>
      </c>
      <c r="C10" s="103">
        <f t="array" ref="C10">VLOOKUP($B10&amp;"|"&amp;'Consolidated Input'!$B$13,CHOOSE({1,2},Table1[Acronym]&amp;"|"&amp;Table1[BON code],Table1[2023-24]),2,FALSE)</f>
        <v>0.03</v>
      </c>
      <c r="D10" s="103">
        <f t="array" ref="D10">VLOOKUP($B10&amp;"|"&amp;'Consolidated Input'!$B$14,CHOOSE({1,2},Table1[Acronym]&amp;"|"&amp;Table1[BON code],Table1[2023-24]),2,FALSE)</f>
        <v>0</v>
      </c>
      <c r="E10" s="103">
        <f t="array" ref="E10">VLOOKUP($B10&amp;"|"&amp;'Consolidated Input'!$B$13,CHOOSE({1,2},Table1[Acronym]&amp;"|"&amp;Table1[BON code],Table1[2024-25]),2,FALSE)</f>
        <v>0.03</v>
      </c>
      <c r="F10" s="103">
        <f t="array" ref="F10">VLOOKUP($B10&amp;"|"&amp;'Consolidated Input'!$B$14,CHOOSE({1,2},Table1[Acronym]&amp;"|"&amp;Table1[BON code],Table1[2024-25]),2,FALSE)</f>
        <v>0</v>
      </c>
      <c r="G10" s="104">
        <f t="array" ref="G10">VLOOKUP($B10&amp;"|"&amp;'Consolidated Input'!$B$7,CHOOSE({1,2},Table1[Acronym]&amp;"|"&amp;Table1[BON code],Table1[2025-26]),2,FALSE)</f>
        <v>2.6019999999999999</v>
      </c>
      <c r="H10" s="104">
        <f t="array" ref="H10">VLOOKUP($B10&amp;"|"&amp;'Consolidated Input'!$B$7,CHOOSE({1,2},Table1[Acronym]&amp;"|"&amp;Table1[BON code],Table1[2026-27]),2,FALSE)</f>
        <v>2.6019999999999999</v>
      </c>
      <c r="I10" s="104">
        <f t="array" ref="I10">VLOOKUP($B10&amp;"|"&amp;'Consolidated Input'!$B$7,CHOOSE({1,2},Table1[Acronym]&amp;"|"&amp;Table1[BON code],Table1[2027-28]),2,FALSE)</f>
        <v>0</v>
      </c>
      <c r="J10" s="104">
        <f t="array" ref="J10">VLOOKUP($B10&amp;"|"&amp;'Consolidated Input'!$B$7,CHOOSE({1,2},Table1[Acronym]&amp;"|"&amp;Table1[BON code],Table1[2028-29]),2,FALSE)</f>
        <v>0</v>
      </c>
      <c r="K10" s="104">
        <f t="array" ref="K10">VLOOKUP($B10&amp;"|"&amp;'Consolidated Input'!$B$7,CHOOSE({1,2},Table1[Acronym]&amp;"|"&amp;Table1[BON code],Table1[2029-30]),2,FALSE)</f>
        <v>0</v>
      </c>
      <c r="L10" s="51">
        <f t="shared" ref="L10:L18" si="7">SUM(C10:K10)</f>
        <v>5.2639999999999993</v>
      </c>
      <c r="O10" s="17" t="str">
        <f t="shared" ref="O10:O18" si="8">B10</f>
        <v>NES</v>
      </c>
      <c r="P10" s="51">
        <f ca="1">Allowance!G19</f>
        <v>5.2639999999999993</v>
      </c>
      <c r="Q10" s="109">
        <f t="array" ref="Q10">VLOOKUP($O10&amp;"|"&amp;'Final Input'!$B$13,CHOOSE({1,2},Table3[Acronym]&amp;"|"&amp;Table3[BON code],Table3[2023-24]),2,FALSE)</f>
        <v>0.03</v>
      </c>
      <c r="R10" s="103">
        <f t="array" ref="R10">VLOOKUP($O10&amp;"|"&amp;'Final Input'!$B$14,CHOOSE({1,2},Table3[Acronym]&amp;"|"&amp;Table3[BON code],Table3[2023-24]),2,FALSE)</f>
        <v>0</v>
      </c>
      <c r="S10" s="103">
        <f t="array" ref="S10">VLOOKUP($O10&amp;"|"&amp;'Final Input'!$B$13,CHOOSE({1,2},Table3[Acronym]&amp;"|"&amp;Table3[BON code],Table3[2024-25]),2,FALSE)</f>
        <v>0.03</v>
      </c>
      <c r="T10" s="103">
        <f t="array" ref="T10">VLOOKUP($O10&amp;"|"&amp;'Final Input'!$B$14,CHOOSE({1,2},Table3[Acronym]&amp;"|"&amp;Table3[BON code],Table3[2024-25]),2,FALSE)</f>
        <v>0</v>
      </c>
      <c r="U10" s="104">
        <f t="array" ref="U10">VLOOKUP($O10&amp;"|"&amp;'Final Input'!$B$7,CHOOSE({1,2},Table3[Acronym]&amp;"|"&amp;Table3[BON code],Table3[2025-26]),2,FALSE)</f>
        <v>2.6019999999999999</v>
      </c>
      <c r="V10" s="104">
        <f t="array" ref="V10">VLOOKUP($O10&amp;"|"&amp;'Final Input'!$B$7,CHOOSE({1,2},Table3[Acronym]&amp;"|"&amp;Table3[BON code],Table3[2026-27]),2,FALSE)</f>
        <v>2.6019999999999999</v>
      </c>
      <c r="W10" s="104">
        <f t="array" ref="W10">VLOOKUP($O10&amp;"|"&amp;'Final Input'!$B$7,CHOOSE({1,2},Table3[Acronym]&amp;"|"&amp;Table3[BON code],Table3[2027-28]),2,FALSE)</f>
        <v>0</v>
      </c>
      <c r="X10" s="104">
        <f t="array" ref="X10">VLOOKUP($O10&amp;"|"&amp;'Final Input'!$B$7,CHOOSE({1,2},Table3[Acronym]&amp;"|"&amp;Table3[BON code],Table3[2028-29]),2,FALSE)</f>
        <v>0</v>
      </c>
      <c r="Y10" s="104">
        <f t="array" ref="Y10">VLOOKUP($O10&amp;"|"&amp;'Final Input'!$B$7,CHOOSE({1,2},Table3[Acronym]&amp;"|"&amp;Table3[BON code],Table3[2029-30]),2,FALSE)</f>
        <v>0</v>
      </c>
      <c r="Z10" s="51">
        <f t="shared" ref="Z10:Z18" si="9">SUM(Q10:Y10)</f>
        <v>5.2639999999999993</v>
      </c>
      <c r="AA10" t="str">
        <f t="shared" ref="AA10:AA17" ca="1" si="10">IF(Z10=P10,"reconciled","check")</f>
        <v>reconciled</v>
      </c>
    </row>
    <row r="11" spans="1:32">
      <c r="B11" s="17" t="str">
        <f>Allowance!B20</f>
        <v>NWT</v>
      </c>
      <c r="C11" s="103">
        <f t="array" ref="C11">VLOOKUP($B11&amp;"|"&amp;'Consolidated Input'!$B$13,CHOOSE({1,2},Table1[Acronym]&amp;"|"&amp;Table1[BON code],Table1[2023-24]),2,FALSE)</f>
        <v>0.31084484288372688</v>
      </c>
      <c r="D11" s="103">
        <f t="array" ref="D11">VLOOKUP($B11&amp;"|"&amp;'Consolidated Input'!$B$14,CHOOSE({1,2},Table1[Acronym]&amp;"|"&amp;Table1[BON code],Table1[2023-24]),2,FALSE)</f>
        <v>0</v>
      </c>
      <c r="E11" s="103">
        <f t="array" ref="E11">VLOOKUP($B11&amp;"|"&amp;'Consolidated Input'!$B$13,CHOOSE({1,2},Table1[Acronym]&amp;"|"&amp;Table1[BON code],Table1[2024-25]),2,FALSE)</f>
        <v>2.019469543117149</v>
      </c>
      <c r="F11" s="103">
        <f t="array" ref="F11">VLOOKUP($B11&amp;"|"&amp;'Consolidated Input'!$B$14,CHOOSE({1,2},Table1[Acronym]&amp;"|"&amp;Table1[BON code],Table1[2024-25]),2,FALSE)</f>
        <v>0</v>
      </c>
      <c r="G11" s="104">
        <f t="array" ref="G11">VLOOKUP($B11&amp;"|"&amp;'Consolidated Input'!$B$7,CHOOSE({1,2},Table1[Acronym]&amp;"|"&amp;Table1[BON code],Table1[2025-26]),2,FALSE)</f>
        <v>3.24249915219084</v>
      </c>
      <c r="H11" s="104">
        <f t="array" ref="H11">VLOOKUP($B11&amp;"|"&amp;'Consolidated Input'!$B$7,CHOOSE({1,2},Table1[Acronym]&amp;"|"&amp;Table1[BON code],Table1[2026-27]),2,FALSE)</f>
        <v>2.681757880249751</v>
      </c>
      <c r="I11" s="104">
        <f t="array" ref="I11">VLOOKUP($B11&amp;"|"&amp;'Consolidated Input'!$B$7,CHOOSE({1,2},Table1[Acronym]&amp;"|"&amp;Table1[BON code],Table1[2027-28]),2,FALSE)</f>
        <v>3.4002496492784327E-2</v>
      </c>
      <c r="J11" s="104">
        <f t="array" ref="J11">VLOOKUP($B11&amp;"|"&amp;'Consolidated Input'!$B$7,CHOOSE({1,2},Table1[Acronym]&amp;"|"&amp;Table1[BON code],Table1[2028-29]),2,FALSE)</f>
        <v>5.6356616175938533E-2</v>
      </c>
      <c r="K11" s="104">
        <f t="array" ref="K11">VLOOKUP($B11&amp;"|"&amp;'Consolidated Input'!$B$7,CHOOSE({1,2},Table1[Acronym]&amp;"|"&amp;Table1[BON code],Table1[2029-30]),2,FALSE)</f>
        <v>3.4621007874756547E-2</v>
      </c>
      <c r="L11" s="51">
        <f t="shared" si="7"/>
        <v>8.3795515389849449</v>
      </c>
      <c r="O11" s="17" t="str">
        <f t="shared" si="8"/>
        <v>NWT</v>
      </c>
      <c r="P11" s="51">
        <f ca="1">Allowance!G20</f>
        <v>8.3795515389849449</v>
      </c>
      <c r="Q11" s="109">
        <f t="array" ref="Q11">VLOOKUP($O11&amp;"|"&amp;'Final Input'!$B$13,CHOOSE({1,2},Table3[Acronym]&amp;"|"&amp;Table3[BON code],Table3[2023-24]),2,FALSE)</f>
        <v>0.31084484288372688</v>
      </c>
      <c r="R11" s="103">
        <f t="array" ref="R11">VLOOKUP($O11&amp;"|"&amp;'Final Input'!$B$14,CHOOSE({1,2},Table3[Acronym]&amp;"|"&amp;Table3[BON code],Table3[2023-24]),2,FALSE)</f>
        <v>0</v>
      </c>
      <c r="S11" s="103">
        <f t="array" ref="S11">VLOOKUP($O11&amp;"|"&amp;'Final Input'!$B$13,CHOOSE({1,2},Table3[Acronym]&amp;"|"&amp;Table3[BON code],Table3[2024-25]),2,FALSE)</f>
        <v>2.019469543117149</v>
      </c>
      <c r="T11" s="103">
        <f t="array" ref="T11">VLOOKUP($O11&amp;"|"&amp;'Final Input'!$B$14,CHOOSE({1,2},Table3[Acronym]&amp;"|"&amp;Table3[BON code],Table3[2024-25]),2,FALSE)</f>
        <v>0</v>
      </c>
      <c r="U11" s="104">
        <f t="array" ref="U11">VLOOKUP($O11&amp;"|"&amp;'Final Input'!$B$7,CHOOSE({1,2},Table3[Acronym]&amp;"|"&amp;Table3[BON code],Table3[2025-26]),2,FALSE)</f>
        <v>3.24249915219084</v>
      </c>
      <c r="V11" s="104">
        <f t="array" ref="V11">VLOOKUP($O11&amp;"|"&amp;'Final Input'!$B$7,CHOOSE({1,2},Table3[Acronym]&amp;"|"&amp;Table3[BON code],Table3[2026-27]),2,FALSE)</f>
        <v>2.681757880249751</v>
      </c>
      <c r="W11" s="104">
        <f t="array" ref="W11">VLOOKUP($O11&amp;"|"&amp;'Final Input'!$B$7,CHOOSE({1,2},Table3[Acronym]&amp;"|"&amp;Table3[BON code],Table3[2027-28]),2,FALSE)</f>
        <v>3.4002496492784327E-2</v>
      </c>
      <c r="X11" s="104">
        <f t="array" ref="X11">VLOOKUP($O11&amp;"|"&amp;'Final Input'!$B$7,CHOOSE({1,2},Table3[Acronym]&amp;"|"&amp;Table3[BON code],Table3[2028-29]),2,FALSE)</f>
        <v>5.6356616175938533E-2</v>
      </c>
      <c r="Y11" s="104">
        <f t="array" ref="Y11">VLOOKUP($O11&amp;"|"&amp;'Final Input'!$B$7,CHOOSE({1,2},Table3[Acronym]&amp;"|"&amp;Table3[BON code],Table3[2029-30]),2,FALSE)</f>
        <v>3.4621007874756547E-2</v>
      </c>
      <c r="Z11" s="51">
        <f t="shared" si="9"/>
        <v>8.3795515389849449</v>
      </c>
      <c r="AA11" t="str">
        <f t="shared" ca="1" si="10"/>
        <v>reconciled</v>
      </c>
    </row>
    <row r="12" spans="1:32">
      <c r="B12" s="17" t="str">
        <f>Allowance!B21</f>
        <v>SRN</v>
      </c>
      <c r="C12" s="103">
        <f t="array" ref="C12">VLOOKUP($B12&amp;"|"&amp;'Consolidated Input'!$B$13,CHOOSE({1,2},Table1[Acronym]&amp;"|"&amp;Table1[BON code],Table1[2023-24]),2,FALSE)</f>
        <v>0</v>
      </c>
      <c r="D12" s="103">
        <f t="array" ref="D12">VLOOKUP($B12&amp;"|"&amp;'Consolidated Input'!$B$14,CHOOSE({1,2},Table1[Acronym]&amp;"|"&amp;Table1[BON code],Table1[2023-24]),2,FALSE)</f>
        <v>0</v>
      </c>
      <c r="E12" s="103">
        <f t="array" ref="E12">VLOOKUP($B12&amp;"|"&amp;'Consolidated Input'!$B$13,CHOOSE({1,2},Table1[Acronym]&amp;"|"&amp;Table1[BON code],Table1[2024-25]),2,FALSE)</f>
        <v>0</v>
      </c>
      <c r="F12" s="103">
        <f t="array" ref="F12">VLOOKUP($B12&amp;"|"&amp;'Consolidated Input'!$B$14,CHOOSE({1,2},Table1[Acronym]&amp;"|"&amp;Table1[BON code],Table1[2024-25]),2,FALSE)</f>
        <v>0</v>
      </c>
      <c r="G12" s="104">
        <f t="array" ref="G12">VLOOKUP($B12&amp;"|"&amp;'Consolidated Input'!$B$7,CHOOSE({1,2},Table1[Acronym]&amp;"|"&amp;Table1[BON code],Table1[2025-26]),2,FALSE)</f>
        <v>0.70899999999999996</v>
      </c>
      <c r="H12" s="104">
        <f t="array" ref="H12">VLOOKUP($B12&amp;"|"&amp;'Consolidated Input'!$B$7,CHOOSE({1,2},Table1[Acronym]&amp;"|"&amp;Table1[BON code],Table1[2026-27]),2,FALSE)</f>
        <v>1.4750000000000001</v>
      </c>
      <c r="I12" s="104">
        <f t="array" ref="I12">VLOOKUP($B12&amp;"|"&amp;'Consolidated Input'!$B$7,CHOOSE({1,2},Table1[Acronym]&amp;"|"&amp;Table1[BON code],Table1[2027-28]),2,FALSE)</f>
        <v>5.5E-2</v>
      </c>
      <c r="J12" s="104">
        <f t="array" ref="J12">VLOOKUP($B12&amp;"|"&amp;'Consolidated Input'!$B$7,CHOOSE({1,2},Table1[Acronym]&amp;"|"&amp;Table1[BON code],Table1[2028-29]),2,FALSE)</f>
        <v>0</v>
      </c>
      <c r="K12" s="104">
        <f t="array" ref="K12">VLOOKUP($B12&amp;"|"&amp;'Consolidated Input'!$B$7,CHOOSE({1,2},Table1[Acronym]&amp;"|"&amp;Table1[BON code],Table1[2029-30]),2,FALSE)</f>
        <v>0</v>
      </c>
      <c r="L12" s="51">
        <f t="shared" si="7"/>
        <v>2.2390000000000003</v>
      </c>
      <c r="O12" s="17" t="str">
        <f t="shared" si="8"/>
        <v>SRN</v>
      </c>
      <c r="P12" s="51">
        <f ca="1">Allowance!G21</f>
        <v>2.2390000000000003</v>
      </c>
      <c r="Q12" s="109">
        <f t="array" ref="Q12">VLOOKUP($O12&amp;"|"&amp;'Final Input'!$B$13,CHOOSE({1,2},Table3[Acronym]&amp;"|"&amp;Table3[BON code],Table3[2023-24]),2,FALSE)</f>
        <v>0</v>
      </c>
      <c r="R12" s="103">
        <f t="array" ref="R12">VLOOKUP($O12&amp;"|"&amp;'Final Input'!$B$14,CHOOSE({1,2},Table3[Acronym]&amp;"|"&amp;Table3[BON code],Table3[2023-24]),2,FALSE)</f>
        <v>0</v>
      </c>
      <c r="S12" s="103">
        <f t="array" ref="S12">VLOOKUP($O12&amp;"|"&amp;'Final Input'!$B$13,CHOOSE({1,2},Table3[Acronym]&amp;"|"&amp;Table3[BON code],Table3[2024-25]),2,FALSE)</f>
        <v>0</v>
      </c>
      <c r="T12" s="103">
        <f t="array" ref="T12">VLOOKUP($O12&amp;"|"&amp;'Final Input'!$B$14,CHOOSE({1,2},Table3[Acronym]&amp;"|"&amp;Table3[BON code],Table3[2024-25]),2,FALSE)</f>
        <v>0</v>
      </c>
      <c r="U12" s="104">
        <f t="array" ref="U12">VLOOKUP($O12&amp;"|"&amp;'Final Input'!$B$7,CHOOSE({1,2},Table3[Acronym]&amp;"|"&amp;Table3[BON code],Table3[2025-26]),2,FALSE)</f>
        <v>0.70899999999999996</v>
      </c>
      <c r="V12" s="104">
        <f t="array" ref="V12">VLOOKUP($O12&amp;"|"&amp;'Final Input'!$B$7,CHOOSE({1,2},Table3[Acronym]&amp;"|"&amp;Table3[BON code],Table3[2026-27]),2,FALSE)</f>
        <v>1.4750000000000001</v>
      </c>
      <c r="W12" s="104">
        <f t="array" ref="W12">VLOOKUP($O12&amp;"|"&amp;'Final Input'!$B$7,CHOOSE({1,2},Table3[Acronym]&amp;"|"&amp;Table3[BON code],Table3[2027-28]),2,FALSE)</f>
        <v>5.5E-2</v>
      </c>
      <c r="X12" s="104">
        <f t="array" ref="X12">VLOOKUP($O12&amp;"|"&amp;'Final Input'!$B$7,CHOOSE({1,2},Table3[Acronym]&amp;"|"&amp;Table3[BON code],Table3[2028-29]),2,FALSE)</f>
        <v>0</v>
      </c>
      <c r="Y12" s="104">
        <f t="array" ref="Y12">VLOOKUP($O12&amp;"|"&amp;'Final Input'!$B$7,CHOOSE({1,2},Table3[Acronym]&amp;"|"&amp;Table3[BON code],Table3[2029-30]),2,FALSE)</f>
        <v>0</v>
      </c>
      <c r="Z12" s="51">
        <f t="shared" si="9"/>
        <v>2.2390000000000003</v>
      </c>
      <c r="AA12" t="str">
        <f t="shared" ca="1" si="10"/>
        <v>reconciled</v>
      </c>
    </row>
    <row r="13" spans="1:32">
      <c r="B13" s="17" t="str">
        <f>Allowance!B22</f>
        <v>SVE</v>
      </c>
      <c r="C13" s="103">
        <f t="array" ref="C13">VLOOKUP($B13&amp;"|"&amp;'Consolidated Input'!$B$13,CHOOSE({1,2},Table1[Acronym]&amp;"|"&amp;Table1[BON code],Table1[2023-24]),2,FALSE)</f>
        <v>0</v>
      </c>
      <c r="D13" s="103">
        <f t="array" ref="D13">VLOOKUP($B13&amp;"|"&amp;'Consolidated Input'!$B$14,CHOOSE({1,2},Table1[Acronym]&amp;"|"&amp;Table1[BON code],Table1[2023-24]),2,FALSE)</f>
        <v>0</v>
      </c>
      <c r="E13" s="103">
        <f t="array" ref="E13">VLOOKUP($B13&amp;"|"&amp;'Consolidated Input'!$B$13,CHOOSE({1,2},Table1[Acronym]&amp;"|"&amp;Table1[BON code],Table1[2024-25]),2,FALSE)</f>
        <v>1.5077451020150889</v>
      </c>
      <c r="F13" s="103">
        <f t="array" ref="F13">VLOOKUP($B13&amp;"|"&amp;'Consolidated Input'!$B$14,CHOOSE({1,2},Table1[Acronym]&amp;"|"&amp;Table1[BON code],Table1[2024-25]),2,FALSE)</f>
        <v>0</v>
      </c>
      <c r="G13" s="104">
        <f t="array" ref="G13">VLOOKUP($B13&amp;"|"&amp;'Consolidated Input'!$B$7,CHOOSE({1,2},Table1[Acronym]&amp;"|"&amp;Table1[BON code],Table1[2025-26]),2,FALSE)</f>
        <v>1.0951869413392581</v>
      </c>
      <c r="H13" s="104">
        <f t="array" ref="H13">VLOOKUP($B13&amp;"|"&amp;'Consolidated Input'!$B$7,CHOOSE({1,2},Table1[Acronym]&amp;"|"&amp;Table1[BON code],Table1[2026-27]),2,FALSE)</f>
        <v>2.62753219832075</v>
      </c>
      <c r="I13" s="104">
        <f t="array" ref="I13">VLOOKUP($B13&amp;"|"&amp;'Consolidated Input'!$B$7,CHOOSE({1,2},Table1[Acronym]&amp;"|"&amp;Table1[BON code],Table1[2027-28]),2,FALSE)</f>
        <v>0.18554710569434299</v>
      </c>
      <c r="J13" s="104">
        <f t="array" ref="J13">VLOOKUP($B13&amp;"|"&amp;'Consolidated Input'!$B$7,CHOOSE({1,2},Table1[Acronym]&amp;"|"&amp;Table1[BON code],Table1[2028-29]),2,FALSE)</f>
        <v>0.186676871668983</v>
      </c>
      <c r="K13" s="104">
        <f t="array" ref="K13">VLOOKUP($B13&amp;"|"&amp;'Consolidated Input'!$B$7,CHOOSE({1,2},Table1[Acronym]&amp;"|"&amp;Table1[BON code],Table1[2029-30]),2,FALSE)</f>
        <v>0.188</v>
      </c>
      <c r="L13" s="51">
        <f t="shared" si="7"/>
        <v>5.7906882190384223</v>
      </c>
      <c r="O13" s="17" t="str">
        <f t="shared" si="8"/>
        <v>SVE</v>
      </c>
      <c r="P13" s="51">
        <f ca="1">Allowance!G22</f>
        <v>5.7906882190384223</v>
      </c>
      <c r="Q13" s="109">
        <f t="array" ref="Q13">VLOOKUP($O13&amp;"|"&amp;'Final Input'!$B$13,CHOOSE({1,2},Table3[Acronym]&amp;"|"&amp;Table3[BON code],Table3[2023-24]),2,FALSE)</f>
        <v>0</v>
      </c>
      <c r="R13" s="103">
        <f t="array" ref="R13">VLOOKUP($O13&amp;"|"&amp;'Final Input'!$B$14,CHOOSE({1,2},Table3[Acronym]&amp;"|"&amp;Table3[BON code],Table3[2023-24]),2,FALSE)</f>
        <v>0</v>
      </c>
      <c r="S13" s="103">
        <f t="array" ref="S13">VLOOKUP($O13&amp;"|"&amp;'Final Input'!$B$13,CHOOSE({1,2},Table3[Acronym]&amp;"|"&amp;Table3[BON code],Table3[2024-25]),2,FALSE)</f>
        <v>1.5077451020150889</v>
      </c>
      <c r="T13" s="103">
        <f t="array" ref="T13">VLOOKUP($O13&amp;"|"&amp;'Final Input'!$B$14,CHOOSE({1,2},Table3[Acronym]&amp;"|"&amp;Table3[BON code],Table3[2024-25]),2,FALSE)</f>
        <v>0</v>
      </c>
      <c r="U13" s="104">
        <f t="array" ref="U13">VLOOKUP($O13&amp;"|"&amp;'Final Input'!$B$7,CHOOSE({1,2},Table3[Acronym]&amp;"|"&amp;Table3[BON code],Table3[2025-26]),2,FALSE)</f>
        <v>1.0951869413392581</v>
      </c>
      <c r="V13" s="104">
        <f t="array" ref="V13">VLOOKUP($O13&amp;"|"&amp;'Final Input'!$B$7,CHOOSE({1,2},Table3[Acronym]&amp;"|"&amp;Table3[BON code],Table3[2026-27]),2,FALSE)</f>
        <v>2.62753219832075</v>
      </c>
      <c r="W13" s="104">
        <f t="array" ref="W13">VLOOKUP($O13&amp;"|"&amp;'Final Input'!$B$7,CHOOSE({1,2},Table3[Acronym]&amp;"|"&amp;Table3[BON code],Table3[2027-28]),2,FALSE)</f>
        <v>0.18554710569434299</v>
      </c>
      <c r="X13" s="104">
        <f t="array" ref="X13">VLOOKUP($O13&amp;"|"&amp;'Final Input'!$B$7,CHOOSE({1,2},Table3[Acronym]&amp;"|"&amp;Table3[BON code],Table3[2028-29]),2,FALSE)</f>
        <v>0.186676871668983</v>
      </c>
      <c r="Y13" s="104">
        <f t="array" ref="Y13">VLOOKUP($O13&amp;"|"&amp;'Final Input'!$B$7,CHOOSE({1,2},Table3[Acronym]&amp;"|"&amp;Table3[BON code],Table3[2029-30]),2,FALSE)</f>
        <v>0.188</v>
      </c>
      <c r="Z13" s="51">
        <f t="shared" si="9"/>
        <v>5.7906882190384223</v>
      </c>
      <c r="AA13" t="str">
        <f t="shared" ca="1" si="10"/>
        <v>reconciled</v>
      </c>
    </row>
    <row r="14" spans="1:32">
      <c r="B14" s="17" t="str">
        <f>Allowance!B23</f>
        <v>SWB</v>
      </c>
      <c r="C14" s="103">
        <f t="array" ref="C14">VLOOKUP($B14&amp;"|"&amp;'Consolidated Input'!$B$13,CHOOSE({1,2},Table1[Acronym]&amp;"|"&amp;Table1[BON code],Table1[2023-24]),2,FALSE)</f>
        <v>0</v>
      </c>
      <c r="D14" s="103">
        <f t="array" ref="D14">VLOOKUP($B14&amp;"|"&amp;'Consolidated Input'!$B$14,CHOOSE({1,2},Table1[Acronym]&amp;"|"&amp;Table1[BON code],Table1[2023-24]),2,FALSE)</f>
        <v>0</v>
      </c>
      <c r="E14" s="103">
        <f t="array" ref="E14">VLOOKUP($B14&amp;"|"&amp;'Consolidated Input'!$B$13,CHOOSE({1,2},Table1[Acronym]&amp;"|"&amp;Table1[BON code],Table1[2024-25]),2,FALSE)</f>
        <v>0</v>
      </c>
      <c r="F14" s="103">
        <f t="array" ref="F14">VLOOKUP($B14&amp;"|"&amp;'Consolidated Input'!$B$14,CHOOSE({1,2},Table1[Acronym]&amp;"|"&amp;Table1[BON code],Table1[2024-25]),2,FALSE)</f>
        <v>0</v>
      </c>
      <c r="G14" s="104">
        <f t="array" ref="G14">VLOOKUP($B14&amp;"|"&amp;'Consolidated Input'!$B$7,CHOOSE({1,2},Table1[Acronym]&amp;"|"&amp;Table1[BON code],Table1[2025-26]),2,FALSE)</f>
        <v>0.56999999999999995</v>
      </c>
      <c r="H14" s="104">
        <f t="array" ref="H14">VLOOKUP($B14&amp;"|"&amp;'Consolidated Input'!$B$7,CHOOSE({1,2},Table1[Acronym]&amp;"|"&amp;Table1[BON code],Table1[2026-27]),2,FALSE)</f>
        <v>0.67200000000000004</v>
      </c>
      <c r="I14" s="104">
        <f t="array" ref="I14">VLOOKUP($B14&amp;"|"&amp;'Consolidated Input'!$B$7,CHOOSE({1,2},Table1[Acronym]&amp;"|"&amp;Table1[BON code],Table1[2027-28]),2,FALSE)</f>
        <v>0.70599999999999996</v>
      </c>
      <c r="J14" s="104">
        <f t="array" ref="J14">VLOOKUP($B14&amp;"|"&amp;'Consolidated Input'!$B$7,CHOOSE({1,2},Table1[Acronym]&amp;"|"&amp;Table1[BON code],Table1[2028-29]),2,FALSE)</f>
        <v>0.17</v>
      </c>
      <c r="K14" s="104">
        <f t="array" ref="K14">VLOOKUP($B14&amp;"|"&amp;'Consolidated Input'!$B$7,CHOOSE({1,2},Table1[Acronym]&amp;"|"&amp;Table1[BON code],Table1[2029-30]),2,FALSE)</f>
        <v>6.8000000000000005E-2</v>
      </c>
      <c r="L14" s="51">
        <f t="shared" si="7"/>
        <v>2.1859999999999999</v>
      </c>
      <c r="O14" s="17" t="str">
        <f t="shared" si="8"/>
        <v>SWB</v>
      </c>
      <c r="P14" s="51">
        <f ca="1">Allowance!G23</f>
        <v>2.1859999999999999</v>
      </c>
      <c r="Q14" s="109">
        <f t="array" ref="Q14">VLOOKUP($O14&amp;"|"&amp;'Final Input'!$B$13,CHOOSE({1,2},Table3[Acronym]&amp;"|"&amp;Table3[BON code],Table3[2023-24]),2,FALSE)</f>
        <v>0</v>
      </c>
      <c r="R14" s="103">
        <f t="array" ref="R14">VLOOKUP($O14&amp;"|"&amp;'Final Input'!$B$14,CHOOSE({1,2},Table3[Acronym]&amp;"|"&amp;Table3[BON code],Table3[2023-24]),2,FALSE)</f>
        <v>0</v>
      </c>
      <c r="S14" s="103">
        <f t="array" ref="S14">VLOOKUP($O14&amp;"|"&amp;'Final Input'!$B$13,CHOOSE({1,2},Table3[Acronym]&amp;"|"&amp;Table3[BON code],Table3[2024-25]),2,FALSE)</f>
        <v>0</v>
      </c>
      <c r="T14" s="103">
        <f t="array" ref="T14">VLOOKUP($O14&amp;"|"&amp;'Final Input'!$B$14,CHOOSE({1,2},Table3[Acronym]&amp;"|"&amp;Table3[BON code],Table3[2024-25]),2,FALSE)</f>
        <v>0</v>
      </c>
      <c r="U14" s="104">
        <f t="array" ref="U14">VLOOKUP($O14&amp;"|"&amp;'Final Input'!$B$7,CHOOSE({1,2},Table3[Acronym]&amp;"|"&amp;Table3[BON code],Table3[2025-26]),2,FALSE)</f>
        <v>0.56999999999999995</v>
      </c>
      <c r="V14" s="104">
        <f t="array" ref="V14">VLOOKUP($O14&amp;"|"&amp;'Final Input'!$B$7,CHOOSE({1,2},Table3[Acronym]&amp;"|"&amp;Table3[BON code],Table3[2026-27]),2,FALSE)</f>
        <v>0.67200000000000004</v>
      </c>
      <c r="W14" s="104">
        <f t="array" ref="W14">VLOOKUP($O14&amp;"|"&amp;'Final Input'!$B$7,CHOOSE({1,2},Table3[Acronym]&amp;"|"&amp;Table3[BON code],Table3[2027-28]),2,FALSE)</f>
        <v>0.70599999999999996</v>
      </c>
      <c r="X14" s="104">
        <f t="array" ref="X14">VLOOKUP($O14&amp;"|"&amp;'Final Input'!$B$7,CHOOSE({1,2},Table3[Acronym]&amp;"|"&amp;Table3[BON code],Table3[2028-29]),2,FALSE)</f>
        <v>0.17</v>
      </c>
      <c r="Y14" s="104">
        <f t="array" ref="Y14">VLOOKUP($O14&amp;"|"&amp;'Final Input'!$B$7,CHOOSE({1,2},Table3[Acronym]&amp;"|"&amp;Table3[BON code],Table3[2029-30]),2,FALSE)</f>
        <v>6.8000000000000005E-2</v>
      </c>
      <c r="Z14" s="51">
        <f t="shared" si="9"/>
        <v>2.1859999999999999</v>
      </c>
      <c r="AA14" t="str">
        <f t="shared" ca="1" si="10"/>
        <v>reconciled</v>
      </c>
    </row>
    <row r="15" spans="1:32">
      <c r="B15" s="17" t="str">
        <f>Allowance!B24</f>
        <v>TMS</v>
      </c>
      <c r="C15" s="103">
        <f t="array" ref="C15">VLOOKUP($B15&amp;"|"&amp;'Consolidated Input'!$B$13,CHOOSE({1,2},Table1[Acronym]&amp;"|"&amp;Table1[BON code],Table1[2023-24]),2,FALSE)</f>
        <v>0</v>
      </c>
      <c r="D15" s="103">
        <f t="array" ref="D15">VLOOKUP($B15&amp;"|"&amp;'Consolidated Input'!$B$14,CHOOSE({1,2},Table1[Acronym]&amp;"|"&amp;Table1[BON code],Table1[2023-24]),2,FALSE)</f>
        <v>0</v>
      </c>
      <c r="E15" s="103">
        <f t="array" ref="E15">VLOOKUP($B15&amp;"|"&amp;'Consolidated Input'!$B$13,CHOOSE({1,2},Table1[Acronym]&amp;"|"&amp;Table1[BON code],Table1[2024-25]),2,FALSE)</f>
        <v>0</v>
      </c>
      <c r="F15" s="103">
        <f t="array" ref="F15">VLOOKUP($B15&amp;"|"&amp;'Consolidated Input'!$B$14,CHOOSE({1,2},Table1[Acronym]&amp;"|"&amp;Table1[BON code],Table1[2024-25]),2,FALSE)</f>
        <v>0</v>
      </c>
      <c r="G15" s="104">
        <f t="array" ref="G15">VLOOKUP($B15&amp;"|"&amp;'Consolidated Input'!$B$7,CHOOSE({1,2},Table1[Acronym]&amp;"|"&amp;Table1[BON code],Table1[2025-26]),2,FALSE)</f>
        <v>1.752</v>
      </c>
      <c r="H15" s="104">
        <f t="array" ref="H15">VLOOKUP($B15&amp;"|"&amp;'Consolidated Input'!$B$7,CHOOSE({1,2},Table1[Acronym]&amp;"|"&amp;Table1[BON code],Table1[2026-27]),2,FALSE)</f>
        <v>2.6120000000000001</v>
      </c>
      <c r="I15" s="104">
        <f t="array" ref="I15">VLOOKUP($B15&amp;"|"&amp;'Consolidated Input'!$B$7,CHOOSE({1,2},Table1[Acronym]&amp;"|"&amp;Table1[BON code],Table1[2027-28]),2,FALSE)</f>
        <v>2.7869999999999999</v>
      </c>
      <c r="J15" s="104">
        <f t="array" ref="J15">VLOOKUP($B15&amp;"|"&amp;'Consolidated Input'!$B$7,CHOOSE({1,2},Table1[Acronym]&amp;"|"&amp;Table1[BON code],Table1[2028-29]),2,FALSE)</f>
        <v>8.5000000000000006E-2</v>
      </c>
      <c r="K15" s="104">
        <f t="array" ref="K15">VLOOKUP($B15&amp;"|"&amp;'Consolidated Input'!$B$7,CHOOSE({1,2},Table1[Acronym]&amp;"|"&amp;Table1[BON code],Table1[2029-30]),2,FALSE)</f>
        <v>8.5999999999999993E-2</v>
      </c>
      <c r="L15" s="51">
        <f t="shared" si="7"/>
        <v>7.3220000000000001</v>
      </c>
      <c r="O15" s="17" t="str">
        <f t="shared" si="8"/>
        <v>TMS</v>
      </c>
      <c r="P15" s="51">
        <f ca="1">Allowance!G24</f>
        <v>7.3220000000000001</v>
      </c>
      <c r="Q15" s="109">
        <f t="array" ref="Q15">VLOOKUP($O15&amp;"|"&amp;'Final Input'!$B$13,CHOOSE({1,2},Table3[Acronym]&amp;"|"&amp;Table3[BON code],Table3[2023-24]),2,FALSE)</f>
        <v>0</v>
      </c>
      <c r="R15" s="103">
        <f t="array" ref="R15">VLOOKUP($O15&amp;"|"&amp;'Final Input'!$B$14,CHOOSE({1,2},Table3[Acronym]&amp;"|"&amp;Table3[BON code],Table3[2023-24]),2,FALSE)</f>
        <v>0</v>
      </c>
      <c r="S15" s="103">
        <f t="array" ref="S15">VLOOKUP($O15&amp;"|"&amp;'Final Input'!$B$13,CHOOSE({1,2},Table3[Acronym]&amp;"|"&amp;Table3[BON code],Table3[2024-25]),2,FALSE)</f>
        <v>0</v>
      </c>
      <c r="T15" s="103">
        <f t="array" ref="T15">VLOOKUP($O15&amp;"|"&amp;'Final Input'!$B$14,CHOOSE({1,2},Table3[Acronym]&amp;"|"&amp;Table3[BON code],Table3[2024-25]),2,FALSE)</f>
        <v>0</v>
      </c>
      <c r="U15" s="104">
        <f t="array" ref="U15">VLOOKUP($O15&amp;"|"&amp;'Final Input'!$B$7,CHOOSE({1,2},Table3[Acronym]&amp;"|"&amp;Table3[BON code],Table3[2025-26]),2,FALSE)</f>
        <v>1.752</v>
      </c>
      <c r="V15" s="104">
        <f t="array" ref="V15">VLOOKUP($O15&amp;"|"&amp;'Final Input'!$B$7,CHOOSE({1,2},Table3[Acronym]&amp;"|"&amp;Table3[BON code],Table3[2026-27]),2,FALSE)</f>
        <v>2.6120000000000001</v>
      </c>
      <c r="W15" s="104">
        <f t="array" ref="W15">VLOOKUP($O15&amp;"|"&amp;'Final Input'!$B$7,CHOOSE({1,2},Table3[Acronym]&amp;"|"&amp;Table3[BON code],Table3[2027-28]),2,FALSE)</f>
        <v>2.7869999999999999</v>
      </c>
      <c r="X15" s="104">
        <f t="array" ref="X15">VLOOKUP($O15&amp;"|"&amp;'Final Input'!$B$7,CHOOSE({1,2},Table3[Acronym]&amp;"|"&amp;Table3[BON code],Table3[2028-29]),2,FALSE)</f>
        <v>8.5000000000000006E-2</v>
      </c>
      <c r="Y15" s="104">
        <f t="array" ref="Y15">VLOOKUP($O15&amp;"|"&amp;'Final Input'!$B$7,CHOOSE({1,2},Table3[Acronym]&amp;"|"&amp;Table3[BON code],Table3[2029-30]),2,FALSE)</f>
        <v>8.5999999999999993E-2</v>
      </c>
      <c r="Z15" s="51">
        <f t="shared" si="9"/>
        <v>7.3220000000000001</v>
      </c>
      <c r="AA15" t="str">
        <f t="shared" ca="1" si="10"/>
        <v>reconciled</v>
      </c>
    </row>
    <row r="16" spans="1:32">
      <c r="B16" s="17" t="str">
        <f>Allowance!B25</f>
        <v>WSX</v>
      </c>
      <c r="C16" s="103">
        <f t="array" ref="C16">VLOOKUP($B16&amp;"|"&amp;'Consolidated Input'!$B$13,CHOOSE({1,2},Table1[Acronym]&amp;"|"&amp;Table1[BON code],Table1[2023-24]),2,FALSE)</f>
        <v>0.187781</v>
      </c>
      <c r="D16" s="103">
        <f t="array" ref="D16">VLOOKUP($B16&amp;"|"&amp;'Consolidated Input'!$B$14,CHOOSE({1,2},Table1[Acronym]&amp;"|"&amp;Table1[BON code],Table1[2023-24]),2,FALSE)</f>
        <v>0</v>
      </c>
      <c r="E16" s="103">
        <f t="array" ref="E16">VLOOKUP($B16&amp;"|"&amp;'Consolidated Input'!$B$13,CHOOSE({1,2},Table1[Acronym]&amp;"|"&amp;Table1[BON code],Table1[2024-25]),2,FALSE)</f>
        <v>0.73588399999999998</v>
      </c>
      <c r="F16" s="103">
        <f t="array" ref="F16">VLOOKUP($B16&amp;"|"&amp;'Consolidated Input'!$B$14,CHOOSE({1,2},Table1[Acronym]&amp;"|"&amp;Table1[BON code],Table1[2024-25]),2,FALSE)</f>
        <v>0</v>
      </c>
      <c r="G16" s="104">
        <f t="array" ref="G16">VLOOKUP($B16&amp;"|"&amp;'Consolidated Input'!$B$7,CHOOSE({1,2},Table1[Acronym]&amp;"|"&amp;Table1[BON code],Table1[2025-26]),2,FALSE)</f>
        <v>3.602735</v>
      </c>
      <c r="H16" s="104">
        <f t="array" ref="H16">VLOOKUP($B16&amp;"|"&amp;'Consolidated Input'!$B$7,CHOOSE({1,2},Table1[Acronym]&amp;"|"&amp;Table1[BON code],Table1[2026-27]),2,FALSE)</f>
        <v>3.3669609999999999</v>
      </c>
      <c r="I16" s="104">
        <f t="array" ref="I16">VLOOKUP($B16&amp;"|"&amp;'Consolidated Input'!$B$7,CHOOSE({1,2},Table1[Acronym]&amp;"|"&amp;Table1[BON code],Table1[2027-28]),2,FALSE)</f>
        <v>1.3767480000000001</v>
      </c>
      <c r="J16" s="104">
        <f t="array" ref="J16">VLOOKUP($B16&amp;"|"&amp;'Consolidated Input'!$B$7,CHOOSE({1,2},Table1[Acronym]&amp;"|"&amp;Table1[BON code],Table1[2028-29]),2,FALSE)</f>
        <v>0.60099900000000006</v>
      </c>
      <c r="K16" s="104">
        <f t="array" ref="K16">VLOOKUP($B16&amp;"|"&amp;'Consolidated Input'!$B$7,CHOOSE({1,2},Table1[Acronym]&amp;"|"&amp;Table1[BON code],Table1[2029-30]),2,FALSE)</f>
        <v>0.110046</v>
      </c>
      <c r="L16" s="105">
        <f t="shared" si="7"/>
        <v>9.9811540000000001</v>
      </c>
      <c r="O16" s="17" t="str">
        <f t="shared" si="8"/>
        <v>WSX</v>
      </c>
      <c r="P16" s="51">
        <f ca="1">Allowance!G25</f>
        <v>9.9811540000000001</v>
      </c>
      <c r="Q16" s="109">
        <f t="array" ref="Q16">VLOOKUP($O16&amp;"|"&amp;'Final Input'!$B$13,CHOOSE({1,2},Table3[Acronym]&amp;"|"&amp;Table3[BON code],Table3[2023-24]),2,FALSE)</f>
        <v>0.187781</v>
      </c>
      <c r="R16" s="103">
        <f t="array" ref="R16">VLOOKUP($O16&amp;"|"&amp;'Final Input'!$B$14,CHOOSE({1,2},Table3[Acronym]&amp;"|"&amp;Table3[BON code],Table3[2023-24]),2,FALSE)</f>
        <v>0</v>
      </c>
      <c r="S16" s="103">
        <f t="array" ref="S16">VLOOKUP($O16&amp;"|"&amp;'Final Input'!$B$13,CHOOSE({1,2},Table3[Acronym]&amp;"|"&amp;Table3[BON code],Table3[2024-25]),2,FALSE)</f>
        <v>0.73588399999999998</v>
      </c>
      <c r="T16" s="103">
        <f t="array" ref="T16">VLOOKUP($O16&amp;"|"&amp;'Final Input'!$B$14,CHOOSE({1,2},Table3[Acronym]&amp;"|"&amp;Table3[BON code],Table3[2024-25]),2,FALSE)</f>
        <v>0</v>
      </c>
      <c r="U16" s="104">
        <f t="array" ref="U16">VLOOKUP($O16&amp;"|"&amp;'Final Input'!$B$7,CHOOSE({1,2},Table3[Acronym]&amp;"|"&amp;Table3[BON code],Table3[2025-26]),2,FALSE)</f>
        <v>3.602735</v>
      </c>
      <c r="V16" s="104">
        <f t="array" ref="V16">VLOOKUP($O16&amp;"|"&amp;'Final Input'!$B$7,CHOOSE({1,2},Table3[Acronym]&amp;"|"&amp;Table3[BON code],Table3[2026-27]),2,FALSE)</f>
        <v>3.3669609999999999</v>
      </c>
      <c r="W16" s="104">
        <f t="array" ref="W16">VLOOKUP($O16&amp;"|"&amp;'Final Input'!$B$7,CHOOSE({1,2},Table3[Acronym]&amp;"|"&amp;Table3[BON code],Table3[2027-28]),2,FALSE)</f>
        <v>1.3767480000000001</v>
      </c>
      <c r="X16" s="104">
        <f t="array" ref="X16">VLOOKUP($O16&amp;"|"&amp;'Final Input'!$B$7,CHOOSE({1,2},Table3[Acronym]&amp;"|"&amp;Table3[BON code],Table3[2028-29]),2,FALSE)</f>
        <v>0.60099900000000006</v>
      </c>
      <c r="Y16" s="104">
        <f t="array" ref="Y16">VLOOKUP($O16&amp;"|"&amp;'Final Input'!$B$7,CHOOSE({1,2},Table3[Acronym]&amp;"|"&amp;Table3[BON code],Table3[2029-30]),2,FALSE)</f>
        <v>0.110046</v>
      </c>
      <c r="Z16" s="51">
        <f t="shared" si="9"/>
        <v>9.9811540000000001</v>
      </c>
      <c r="AA16" t="str">
        <f t="shared" ca="1" si="10"/>
        <v>reconciled</v>
      </c>
    </row>
    <row r="17" spans="1:32">
      <c r="B17" s="17" t="str">
        <f>Allowance!B26</f>
        <v>YKY</v>
      </c>
      <c r="C17" s="103">
        <f t="array" ref="C17">VLOOKUP($B17&amp;"|"&amp;'Consolidated Input'!$B$13,CHOOSE({1,2},Table1[Acronym]&amp;"|"&amp;Table1[BON code],Table1[2023-24]),2,FALSE)</f>
        <v>0</v>
      </c>
      <c r="D17" s="103">
        <f t="array" ref="D17">VLOOKUP($B17&amp;"|"&amp;'Consolidated Input'!$B$14,CHOOSE({1,2},Table1[Acronym]&amp;"|"&amp;Table1[BON code],Table1[2023-24]),2,FALSE)</f>
        <v>0</v>
      </c>
      <c r="E17" s="103">
        <f t="array" ref="E17">VLOOKUP($B17&amp;"|"&amp;'Consolidated Input'!$B$13,CHOOSE({1,2},Table1[Acronym]&amp;"|"&amp;Table1[BON code],Table1[2024-25]),2,FALSE)</f>
        <v>0.41199999999999998</v>
      </c>
      <c r="F17" s="103">
        <f t="array" ref="F17">VLOOKUP($B17&amp;"|"&amp;'Consolidated Input'!$B$14,CHOOSE({1,2},Table1[Acronym]&amp;"|"&amp;Table1[BON code],Table1[2024-25]),2,FALSE)</f>
        <v>0</v>
      </c>
      <c r="G17" s="104">
        <f t="array" ref="G17">VLOOKUP($B17&amp;"|"&amp;'Consolidated Input'!$B$7,CHOOSE({1,2},Table1[Acronym]&amp;"|"&amp;Table1[BON code],Table1[2025-26]),2,FALSE)</f>
        <v>2.1737215999999999</v>
      </c>
      <c r="H17" s="104">
        <f t="array" ref="H17">VLOOKUP($B17&amp;"|"&amp;'Consolidated Input'!$B$7,CHOOSE({1,2},Table1[Acronym]&amp;"|"&amp;Table1[BON code],Table1[2026-27]),2,FALSE)</f>
        <v>1.9448639999999999</v>
      </c>
      <c r="I17" s="104">
        <f t="array" ref="I17">VLOOKUP($B17&amp;"|"&amp;'Consolidated Input'!$B$7,CHOOSE({1,2},Table1[Acronym]&amp;"|"&amp;Table1[BON code],Table1[2027-28]),2,FALSE)</f>
        <v>0.85227520000000001</v>
      </c>
      <c r="J17" s="104">
        <f t="array" ref="J17">VLOOKUP($B17&amp;"|"&amp;'Consolidated Input'!$B$7,CHOOSE({1,2},Table1[Acronym]&amp;"|"&amp;Table1[BON code],Table1[2028-29]),2,FALSE)</f>
        <v>9.4E-2</v>
      </c>
      <c r="K17" s="104">
        <f t="array" ref="K17">VLOOKUP($B17&amp;"|"&amp;'Consolidated Input'!$B$7,CHOOSE({1,2},Table1[Acronym]&amp;"|"&amp;Table1[BON code],Table1[2029-30]),2,FALSE)</f>
        <v>9.4E-2</v>
      </c>
      <c r="L17" s="51">
        <f t="shared" si="7"/>
        <v>5.5708608000000011</v>
      </c>
      <c r="O17" s="17" t="str">
        <f t="shared" si="8"/>
        <v>YKY</v>
      </c>
      <c r="P17" s="51">
        <f ca="1">Allowance!G26</f>
        <v>5.5708608000000011</v>
      </c>
      <c r="Q17" s="109">
        <f t="array" ref="Q17">VLOOKUP($O17&amp;"|"&amp;'Final Input'!$B$13,CHOOSE({1,2},Table3[Acronym]&amp;"|"&amp;Table3[BON code],Table3[2023-24]),2,FALSE)</f>
        <v>0</v>
      </c>
      <c r="R17" s="103">
        <f t="array" ref="R17">VLOOKUP($O17&amp;"|"&amp;'Final Input'!$B$14,CHOOSE({1,2},Table3[Acronym]&amp;"|"&amp;Table3[BON code],Table3[2023-24]),2,FALSE)</f>
        <v>0</v>
      </c>
      <c r="S17" s="103">
        <f t="array" ref="S17">VLOOKUP($O17&amp;"|"&amp;'Final Input'!$B$13,CHOOSE({1,2},Table3[Acronym]&amp;"|"&amp;Table3[BON code],Table3[2024-25]),2,FALSE)</f>
        <v>0.41199999999999998</v>
      </c>
      <c r="T17" s="103">
        <f t="array" ref="T17">VLOOKUP($O17&amp;"|"&amp;'Final Input'!$B$14,CHOOSE({1,2},Table3[Acronym]&amp;"|"&amp;Table3[BON code],Table3[2024-25]),2,FALSE)</f>
        <v>0</v>
      </c>
      <c r="U17" s="104">
        <f t="array" ref="U17">VLOOKUP($O17&amp;"|"&amp;'Final Input'!$B$7,CHOOSE({1,2},Table3[Acronym]&amp;"|"&amp;Table3[BON code],Table3[2025-26]),2,FALSE)</f>
        <v>2.1737215999999999</v>
      </c>
      <c r="V17" s="104">
        <f t="array" ref="V17">VLOOKUP($O17&amp;"|"&amp;'Final Input'!$B$7,CHOOSE({1,2},Table3[Acronym]&amp;"|"&amp;Table3[BON code],Table3[2026-27]),2,FALSE)</f>
        <v>1.9448639999999999</v>
      </c>
      <c r="W17" s="104">
        <f t="array" ref="W17">VLOOKUP($O17&amp;"|"&amp;'Final Input'!$B$7,CHOOSE({1,2},Table3[Acronym]&amp;"|"&amp;Table3[BON code],Table3[2027-28]),2,FALSE)</f>
        <v>0.85227520000000001</v>
      </c>
      <c r="X17" s="104">
        <f t="array" ref="X17">VLOOKUP($O17&amp;"|"&amp;'Final Input'!$B$7,CHOOSE({1,2},Table3[Acronym]&amp;"|"&amp;Table3[BON code],Table3[2028-29]),2,FALSE)</f>
        <v>9.4E-2</v>
      </c>
      <c r="Y17" s="104">
        <f t="array" ref="Y17">VLOOKUP($O17&amp;"|"&amp;'Final Input'!$B$7,CHOOSE({1,2},Table3[Acronym]&amp;"|"&amp;Table3[BON code],Table3[2029-30]),2,FALSE)</f>
        <v>9.4E-2</v>
      </c>
      <c r="Z17" s="51">
        <f t="shared" si="9"/>
        <v>5.5708608000000011</v>
      </c>
      <c r="AA17" t="str">
        <f t="shared" ca="1" si="10"/>
        <v>reconciled</v>
      </c>
    </row>
    <row r="18" spans="1:32">
      <c r="B18" s="17" t="str">
        <f>Allowance!B27</f>
        <v>Total</v>
      </c>
      <c r="C18" s="106">
        <f t="shared" ref="C18:K18" si="11">SUM(C7:C17)</f>
        <v>0.54762584288372684</v>
      </c>
      <c r="D18" s="106">
        <f t="shared" si="11"/>
        <v>0</v>
      </c>
      <c r="E18" s="106">
        <f t="shared" si="11"/>
        <v>4.7230986451322385</v>
      </c>
      <c r="F18" s="106">
        <f t="shared" si="11"/>
        <v>0</v>
      </c>
      <c r="G18" s="107">
        <f t="shared" si="11"/>
        <v>21.938142693530096</v>
      </c>
      <c r="H18" s="107">
        <f t="shared" si="11"/>
        <v>26.044115078570499</v>
      </c>
      <c r="I18" s="107">
        <f t="shared" si="11"/>
        <v>10.664572802187125</v>
      </c>
      <c r="J18" s="107">
        <f t="shared" si="11"/>
        <v>5.870032487844921</v>
      </c>
      <c r="K18" s="107">
        <f t="shared" si="11"/>
        <v>5.6116670078747557</v>
      </c>
      <c r="L18" s="108">
        <f t="shared" si="7"/>
        <v>75.399254558023358</v>
      </c>
      <c r="O18" s="17" t="str">
        <f t="shared" si="8"/>
        <v>Total</v>
      </c>
      <c r="P18" s="51">
        <f ca="1">Allowance!G27</f>
        <v>75.102254558023361</v>
      </c>
      <c r="Q18" s="109">
        <f t="shared" ref="Q18:Y18" si="12">SUM(Q7:Q17)</f>
        <v>0.54762584288372684</v>
      </c>
      <c r="R18" s="109">
        <f t="shared" si="12"/>
        <v>0</v>
      </c>
      <c r="S18" s="109">
        <f t="shared" si="12"/>
        <v>4.7230986451322385</v>
      </c>
      <c r="T18" s="109">
        <f t="shared" si="12"/>
        <v>0</v>
      </c>
      <c r="U18" s="104">
        <f t="shared" si="12"/>
        <v>21.790142693530097</v>
      </c>
      <c r="V18" s="104">
        <f t="shared" si="12"/>
        <v>25.895115078570498</v>
      </c>
      <c r="W18" s="104">
        <f t="shared" si="12"/>
        <v>10.664572802187125</v>
      </c>
      <c r="X18" s="104">
        <f t="shared" si="12"/>
        <v>5.870032487844921</v>
      </c>
      <c r="Y18" s="104">
        <f t="shared" si="12"/>
        <v>5.6116670078747557</v>
      </c>
      <c r="Z18" s="51">
        <f t="shared" si="9"/>
        <v>75.102254558023361</v>
      </c>
    </row>
    <row r="20" spans="1:32" ht="18.75">
      <c r="A20" s="56" t="s">
        <v>318</v>
      </c>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row>
    <row r="22" spans="1:32">
      <c r="B22" s="38" t="s">
        <v>319</v>
      </c>
      <c r="O22" s="38" t="s">
        <v>320</v>
      </c>
    </row>
    <row r="23" spans="1:32" ht="51">
      <c r="B23" s="20" t="s">
        <v>52</v>
      </c>
      <c r="C23" s="20" t="s">
        <v>308</v>
      </c>
      <c r="D23" s="20" t="s">
        <v>309</v>
      </c>
      <c r="E23" s="20" t="s">
        <v>310</v>
      </c>
      <c r="F23" s="20" t="s">
        <v>311</v>
      </c>
      <c r="G23" s="20" t="s">
        <v>312</v>
      </c>
      <c r="H23" s="20" t="s">
        <v>313</v>
      </c>
      <c r="I23" s="20" t="s">
        <v>314</v>
      </c>
      <c r="J23" s="20" t="s">
        <v>315</v>
      </c>
      <c r="K23" s="26" t="s">
        <v>316</v>
      </c>
      <c r="L23" s="20" t="s">
        <v>321</v>
      </c>
      <c r="O23" s="13"/>
      <c r="P23" s="13" t="s">
        <v>322</v>
      </c>
      <c r="Q23" s="13" t="s">
        <v>308</v>
      </c>
      <c r="R23" s="13" t="s">
        <v>309</v>
      </c>
      <c r="S23" s="13" t="s">
        <v>310</v>
      </c>
      <c r="T23" s="13" t="s">
        <v>311</v>
      </c>
      <c r="U23" s="13" t="s">
        <v>312</v>
      </c>
      <c r="V23" s="13" t="s">
        <v>313</v>
      </c>
      <c r="W23" s="13" t="s">
        <v>314</v>
      </c>
      <c r="X23" s="13" t="s">
        <v>315</v>
      </c>
      <c r="Y23" s="13" t="s">
        <v>316</v>
      </c>
    </row>
    <row r="24" spans="1:32">
      <c r="B24" s="17" t="str">
        <f>B7</f>
        <v>ANH</v>
      </c>
      <c r="C24" s="110">
        <f t="shared" ref="C24:K24" si="13">C7/SUM($C7:$K7)</f>
        <v>7.4169496818518956E-4</v>
      </c>
      <c r="D24" s="110">
        <f t="shared" si="13"/>
        <v>0</v>
      </c>
      <c r="E24" s="110">
        <f t="shared" si="13"/>
        <v>7.0265839091228485E-4</v>
      </c>
      <c r="F24" s="110">
        <f t="shared" si="13"/>
        <v>0</v>
      </c>
      <c r="G24" s="111">
        <f t="shared" si="13"/>
        <v>0.18140297458718824</v>
      </c>
      <c r="H24" s="111">
        <f t="shared" si="13"/>
        <v>0.25596283717843621</v>
      </c>
      <c r="I24" s="111">
        <f t="shared" si="13"/>
        <v>0.18222274270991923</v>
      </c>
      <c r="J24" s="111">
        <f t="shared" si="13"/>
        <v>0.18257407190537533</v>
      </c>
      <c r="K24" s="111">
        <f t="shared" si="13"/>
        <v>0.19639302025998362</v>
      </c>
      <c r="L24" s="112" t="str">
        <f t="shared" ref="L24:L35" si="14">IF(SUM(C24:K24)=1, "reconciled","check")</f>
        <v>reconciled</v>
      </c>
      <c r="O24" s="17" t="str">
        <f t="shared" ref="O24:O35" si="15">B7</f>
        <v>ANH</v>
      </c>
      <c r="P24" s="51">
        <f ca="1">Allowance!K16</f>
        <v>23.055299999999995</v>
      </c>
      <c r="Q24" s="211">
        <f t="shared" ref="Q24:Q35" ca="1" si="16">C24*$P24</f>
        <v>1.7099999999999997E-2</v>
      </c>
      <c r="R24" s="103">
        <f t="shared" ref="R24:R35" ca="1" si="17">D24*$P24</f>
        <v>0</v>
      </c>
      <c r="S24" s="211">
        <f t="shared" ref="S24:S35" ca="1" si="18">E24*$P24</f>
        <v>1.6199999999999999E-2</v>
      </c>
      <c r="T24" s="103">
        <f t="shared" ref="T24:T35" ca="1" si="19">F24*$P24</f>
        <v>0</v>
      </c>
      <c r="U24" s="104">
        <f t="shared" ref="U24:U35" ca="1" si="20">G24*$P24</f>
        <v>4.1823000000000006</v>
      </c>
      <c r="V24" s="104">
        <f t="shared" ref="V24:V35" ca="1" si="21">H24*$P24</f>
        <v>5.9012999999999991</v>
      </c>
      <c r="W24" s="104">
        <f t="shared" ref="W24:W35" ca="1" si="22">I24*$P24</f>
        <v>4.2012</v>
      </c>
      <c r="X24" s="104">
        <f t="shared" ref="X24:X35" ca="1" si="23">J24*$P24</f>
        <v>4.2092999999999989</v>
      </c>
      <c r="Y24" s="104">
        <f t="shared" ref="Y24:Y35" ca="1" si="24">K24*$P24</f>
        <v>4.5278999999999998</v>
      </c>
    </row>
    <row r="25" spans="1:32">
      <c r="B25" s="17" t="str">
        <f>B8</f>
        <v>WSH</v>
      </c>
      <c r="C25" s="110">
        <f t="shared" ref="C25:K25" si="25">C8/SUM($C8:$K8)</f>
        <v>0</v>
      </c>
      <c r="D25" s="110">
        <f t="shared" si="25"/>
        <v>0</v>
      </c>
      <c r="E25" s="110">
        <f t="shared" si="25"/>
        <v>0</v>
      </c>
      <c r="F25" s="110">
        <f t="shared" si="25"/>
        <v>0</v>
      </c>
      <c r="G25" s="111">
        <f t="shared" si="25"/>
        <v>0.50639553952115446</v>
      </c>
      <c r="H25" s="111">
        <f t="shared" si="25"/>
        <v>0.49360446047884549</v>
      </c>
      <c r="I25" s="111">
        <f t="shared" si="25"/>
        <v>0</v>
      </c>
      <c r="J25" s="111">
        <f t="shared" si="25"/>
        <v>0</v>
      </c>
      <c r="K25" s="111">
        <f t="shared" si="25"/>
        <v>0</v>
      </c>
      <c r="L25" s="112" t="str">
        <f t="shared" si="14"/>
        <v>reconciled</v>
      </c>
      <c r="O25" s="17" t="str">
        <f t="shared" si="15"/>
        <v>WSH</v>
      </c>
      <c r="P25" s="51">
        <f ca="1">Allowance!K17</f>
        <v>2.7519999999999998</v>
      </c>
      <c r="Q25" s="103">
        <f t="shared" ca="1" si="16"/>
        <v>0</v>
      </c>
      <c r="R25" s="103">
        <f t="shared" ca="1" si="17"/>
        <v>0</v>
      </c>
      <c r="S25" s="103">
        <f t="shared" ca="1" si="18"/>
        <v>0</v>
      </c>
      <c r="T25" s="103">
        <f t="shared" ca="1" si="19"/>
        <v>0</v>
      </c>
      <c r="U25" s="104">
        <f t="shared" ca="1" si="20"/>
        <v>1.393600524762217</v>
      </c>
      <c r="V25" s="104">
        <f t="shared" ca="1" si="21"/>
        <v>1.3583994752377826</v>
      </c>
      <c r="W25" s="104">
        <f t="shared" ca="1" si="22"/>
        <v>0</v>
      </c>
      <c r="X25" s="104">
        <f t="shared" ca="1" si="23"/>
        <v>0</v>
      </c>
      <c r="Y25" s="104">
        <f t="shared" ca="1" si="24"/>
        <v>0</v>
      </c>
    </row>
    <row r="26" spans="1:32">
      <c r="B26" s="17" t="s">
        <v>96</v>
      </c>
      <c r="C26" s="110">
        <f>IFERROR(C9/SUM($C9:$K9), 0)</f>
        <v>0</v>
      </c>
      <c r="D26" s="110">
        <f t="shared" ref="D26:K26" si="26">IFERROR(D9/SUM($C9:$K9), 0)</f>
        <v>0</v>
      </c>
      <c r="E26" s="110">
        <f t="shared" si="26"/>
        <v>0</v>
      </c>
      <c r="F26" s="110">
        <f t="shared" si="26"/>
        <v>0</v>
      </c>
      <c r="G26" s="110">
        <f t="shared" si="26"/>
        <v>0</v>
      </c>
      <c r="H26" s="110">
        <f t="shared" si="26"/>
        <v>0</v>
      </c>
      <c r="I26" s="110">
        <f t="shared" si="26"/>
        <v>0</v>
      </c>
      <c r="J26" s="110">
        <f t="shared" si="26"/>
        <v>0</v>
      </c>
      <c r="K26" s="110">
        <f t="shared" si="26"/>
        <v>0</v>
      </c>
      <c r="L26" s="112" t="str">
        <f t="shared" si="14"/>
        <v>check</v>
      </c>
      <c r="O26" s="17" t="str">
        <f t="shared" si="15"/>
        <v>HDD</v>
      </c>
      <c r="P26" s="51">
        <f ca="1">Allowance!K18</f>
        <v>0</v>
      </c>
      <c r="Q26" s="103">
        <f t="shared" ca="1" si="16"/>
        <v>0</v>
      </c>
      <c r="R26" s="103">
        <f t="shared" ca="1" si="17"/>
        <v>0</v>
      </c>
      <c r="S26" s="103">
        <f t="shared" ca="1" si="18"/>
        <v>0</v>
      </c>
      <c r="T26" s="103">
        <f t="shared" ca="1" si="19"/>
        <v>0</v>
      </c>
      <c r="U26" s="104">
        <f t="shared" ca="1" si="20"/>
        <v>0</v>
      </c>
      <c r="V26" s="104">
        <f t="shared" ca="1" si="21"/>
        <v>0</v>
      </c>
      <c r="W26" s="104">
        <f t="shared" ca="1" si="22"/>
        <v>0</v>
      </c>
      <c r="X26" s="104">
        <f t="shared" ca="1" si="23"/>
        <v>0</v>
      </c>
      <c r="Y26" s="104">
        <f t="shared" ca="1" si="24"/>
        <v>0</v>
      </c>
    </row>
    <row r="27" spans="1:32">
      <c r="B27" s="17" t="str">
        <f t="shared" ref="B27:B35" si="27">B10</f>
        <v>NES</v>
      </c>
      <c r="C27" s="110">
        <f t="shared" ref="C27:C35" si="28">C10/SUM($C10:$K10)</f>
        <v>5.6990881458966573E-3</v>
      </c>
      <c r="D27" s="110">
        <f t="shared" ref="D27:K35" si="29">D10/SUM($C10:$K10)</f>
        <v>0</v>
      </c>
      <c r="E27" s="110">
        <f t="shared" si="29"/>
        <v>5.6990881458966573E-3</v>
      </c>
      <c r="F27" s="110">
        <f t="shared" si="29"/>
        <v>0</v>
      </c>
      <c r="G27" s="111">
        <f t="shared" si="29"/>
        <v>0.49430091185410335</v>
      </c>
      <c r="H27" s="111">
        <f t="shared" si="29"/>
        <v>0.49430091185410335</v>
      </c>
      <c r="I27" s="111">
        <f t="shared" si="29"/>
        <v>0</v>
      </c>
      <c r="J27" s="111">
        <f t="shared" si="29"/>
        <v>0</v>
      </c>
      <c r="K27" s="111">
        <f t="shared" si="29"/>
        <v>0</v>
      </c>
      <c r="L27" s="112" t="str">
        <f t="shared" si="14"/>
        <v>reconciled</v>
      </c>
      <c r="O27" s="17" t="str">
        <f>B10</f>
        <v>NES</v>
      </c>
      <c r="P27" s="51">
        <f ca="1">Allowance!K19</f>
        <v>5.2639999999999993</v>
      </c>
      <c r="Q27" s="103">
        <f t="shared" ca="1" si="16"/>
        <v>0.03</v>
      </c>
      <c r="R27" s="103">
        <f t="shared" ca="1" si="17"/>
        <v>0</v>
      </c>
      <c r="S27" s="103">
        <f t="shared" ca="1" si="18"/>
        <v>0.03</v>
      </c>
      <c r="T27" s="103">
        <f t="shared" ca="1" si="19"/>
        <v>0</v>
      </c>
      <c r="U27" s="104">
        <f t="shared" ca="1" si="20"/>
        <v>2.6019999999999999</v>
      </c>
      <c r="V27" s="104">
        <f t="shared" ca="1" si="21"/>
        <v>2.6019999999999999</v>
      </c>
      <c r="W27" s="104">
        <f t="shared" ca="1" si="22"/>
        <v>0</v>
      </c>
      <c r="X27" s="104">
        <f t="shared" ca="1" si="23"/>
        <v>0</v>
      </c>
      <c r="Y27" s="104">
        <f t="shared" ca="1" si="24"/>
        <v>0</v>
      </c>
    </row>
    <row r="28" spans="1:32">
      <c r="B28" s="17" t="str">
        <f t="shared" si="27"/>
        <v>NWT</v>
      </c>
      <c r="C28" s="110">
        <f t="shared" si="28"/>
        <v>3.7095641865505014E-2</v>
      </c>
      <c r="D28" s="110">
        <f t="shared" si="29"/>
        <v>0</v>
      </c>
      <c r="E28" s="110">
        <f t="shared" si="29"/>
        <v>0.24099971624039643</v>
      </c>
      <c r="F28" s="110">
        <f t="shared" si="29"/>
        <v>0</v>
      </c>
      <c r="G28" s="111">
        <f t="shared" si="29"/>
        <v>0.38695378113082401</v>
      </c>
      <c r="H28" s="111">
        <f t="shared" si="29"/>
        <v>0.32003596705302984</v>
      </c>
      <c r="I28" s="111">
        <f t="shared" si="29"/>
        <v>4.0577943025460776E-3</v>
      </c>
      <c r="J28" s="111">
        <f t="shared" si="29"/>
        <v>6.7254931142490806E-3</v>
      </c>
      <c r="K28" s="111">
        <f t="shared" si="29"/>
        <v>4.1316062934497275E-3</v>
      </c>
      <c r="L28" s="112" t="str">
        <f t="shared" si="14"/>
        <v>reconciled</v>
      </c>
      <c r="O28" s="17" t="str">
        <f t="shared" si="15"/>
        <v>NWT</v>
      </c>
      <c r="P28" s="51">
        <f ca="1">Allowance!K20</f>
        <v>8.3795515389849449</v>
      </c>
      <c r="Q28" s="103">
        <f t="shared" ca="1" si="16"/>
        <v>0.31084484288372688</v>
      </c>
      <c r="R28" s="103">
        <f t="shared" ca="1" si="17"/>
        <v>0</v>
      </c>
      <c r="S28" s="103">
        <f t="shared" ca="1" si="18"/>
        <v>2.019469543117149</v>
      </c>
      <c r="T28" s="103">
        <f t="shared" ca="1" si="19"/>
        <v>0</v>
      </c>
      <c r="U28" s="104">
        <f t="shared" ca="1" si="20"/>
        <v>3.24249915219084</v>
      </c>
      <c r="V28" s="104">
        <f t="shared" ca="1" si="21"/>
        <v>2.6817578802497515</v>
      </c>
      <c r="W28" s="104">
        <f t="shared" ca="1" si="22"/>
        <v>3.4002496492784327E-2</v>
      </c>
      <c r="X28" s="104">
        <f t="shared" ca="1" si="23"/>
        <v>5.6356616175938533E-2</v>
      </c>
      <c r="Y28" s="104">
        <f t="shared" ca="1" si="24"/>
        <v>3.4621007874756547E-2</v>
      </c>
    </row>
    <row r="29" spans="1:32">
      <c r="B29" s="17" t="str">
        <f t="shared" si="27"/>
        <v>SRN</v>
      </c>
      <c r="C29" s="110">
        <f t="shared" si="28"/>
        <v>0</v>
      </c>
      <c r="D29" s="110">
        <f t="shared" si="29"/>
        <v>0</v>
      </c>
      <c r="E29" s="110">
        <f t="shared" si="29"/>
        <v>0</v>
      </c>
      <c r="F29" s="110">
        <f t="shared" si="29"/>
        <v>0</v>
      </c>
      <c r="G29" s="111">
        <f t="shared" si="29"/>
        <v>0.31665922286735143</v>
      </c>
      <c r="H29" s="111">
        <f t="shared" si="29"/>
        <v>0.65877623939258589</v>
      </c>
      <c r="I29" s="111">
        <f t="shared" si="29"/>
        <v>2.4564537740062526E-2</v>
      </c>
      <c r="J29" s="111">
        <f t="shared" si="29"/>
        <v>0</v>
      </c>
      <c r="K29" s="111">
        <f t="shared" si="29"/>
        <v>0</v>
      </c>
      <c r="L29" s="112" t="str">
        <f t="shared" si="14"/>
        <v>reconciled</v>
      </c>
      <c r="O29" s="17" t="str">
        <f t="shared" si="15"/>
        <v>SRN</v>
      </c>
      <c r="P29" s="51">
        <f ca="1">Allowance!K21</f>
        <v>2.2390000000000003</v>
      </c>
      <c r="Q29" s="103">
        <f t="shared" ca="1" si="16"/>
        <v>0</v>
      </c>
      <c r="R29" s="103">
        <f t="shared" ca="1" si="17"/>
        <v>0</v>
      </c>
      <c r="S29" s="103">
        <f t="shared" ca="1" si="18"/>
        <v>0</v>
      </c>
      <c r="T29" s="103">
        <f t="shared" ca="1" si="19"/>
        <v>0</v>
      </c>
      <c r="U29" s="104">
        <f t="shared" ca="1" si="20"/>
        <v>0.70899999999999996</v>
      </c>
      <c r="V29" s="104">
        <f t="shared" ca="1" si="21"/>
        <v>1.4750000000000001</v>
      </c>
      <c r="W29" s="104">
        <f t="shared" ca="1" si="22"/>
        <v>5.5E-2</v>
      </c>
      <c r="X29" s="104">
        <f t="shared" ca="1" si="23"/>
        <v>0</v>
      </c>
      <c r="Y29" s="104">
        <f t="shared" ca="1" si="24"/>
        <v>0</v>
      </c>
    </row>
    <row r="30" spans="1:32">
      <c r="B30" s="17" t="str">
        <f t="shared" si="27"/>
        <v>SVE</v>
      </c>
      <c r="C30" s="110">
        <f t="shared" si="28"/>
        <v>0</v>
      </c>
      <c r="D30" s="110">
        <f t="shared" si="29"/>
        <v>0</v>
      </c>
      <c r="E30" s="110">
        <f t="shared" si="29"/>
        <v>0.26037407730880369</v>
      </c>
      <c r="F30" s="110">
        <f t="shared" si="29"/>
        <v>0</v>
      </c>
      <c r="G30" s="111">
        <f t="shared" si="29"/>
        <v>0.18912897740523152</v>
      </c>
      <c r="H30" s="111">
        <f t="shared" si="29"/>
        <v>0.45375128118313146</v>
      </c>
      <c r="I30" s="111">
        <f t="shared" si="29"/>
        <v>3.2042323585011481E-2</v>
      </c>
      <c r="J30" s="111">
        <f t="shared" si="29"/>
        <v>3.2237424051813617E-2</v>
      </c>
      <c r="K30" s="111">
        <f t="shared" si="29"/>
        <v>3.2465916466008334E-2</v>
      </c>
      <c r="L30" s="112" t="str">
        <f t="shared" si="14"/>
        <v>reconciled</v>
      </c>
      <c r="O30" s="17" t="str">
        <f t="shared" si="15"/>
        <v>SVE</v>
      </c>
      <c r="P30" s="51">
        <f ca="1">Allowance!K22</f>
        <v>5.7906882190384223</v>
      </c>
      <c r="Q30" s="103">
        <f t="shared" ca="1" si="16"/>
        <v>0</v>
      </c>
      <c r="R30" s="103">
        <f t="shared" ca="1" si="17"/>
        <v>0</v>
      </c>
      <c r="S30" s="103">
        <f t="shared" ca="1" si="18"/>
        <v>1.5077451020150889</v>
      </c>
      <c r="T30" s="103">
        <f t="shared" ca="1" si="19"/>
        <v>0</v>
      </c>
      <c r="U30" s="104">
        <f t="shared" ca="1" si="20"/>
        <v>1.0951869413392581</v>
      </c>
      <c r="V30" s="104">
        <f t="shared" ca="1" si="21"/>
        <v>2.62753219832075</v>
      </c>
      <c r="W30" s="104">
        <f t="shared" ca="1" si="22"/>
        <v>0.18554710569434296</v>
      </c>
      <c r="X30" s="104">
        <f t="shared" ca="1" si="23"/>
        <v>0.186676871668983</v>
      </c>
      <c r="Y30" s="104">
        <f t="shared" ca="1" si="24"/>
        <v>0.188</v>
      </c>
    </row>
    <row r="31" spans="1:32">
      <c r="B31" s="17" t="str">
        <f t="shared" si="27"/>
        <v>SWB</v>
      </c>
      <c r="C31" s="110">
        <f t="shared" si="28"/>
        <v>0</v>
      </c>
      <c r="D31" s="110">
        <f t="shared" si="29"/>
        <v>0</v>
      </c>
      <c r="E31" s="110">
        <f t="shared" si="29"/>
        <v>0</v>
      </c>
      <c r="F31" s="110">
        <f t="shared" si="29"/>
        <v>0</v>
      </c>
      <c r="G31" s="111">
        <f t="shared" si="29"/>
        <v>0.26075022872827081</v>
      </c>
      <c r="H31" s="111">
        <f t="shared" si="29"/>
        <v>0.30741079597438248</v>
      </c>
      <c r="I31" s="111">
        <f t="shared" si="29"/>
        <v>0.32296431838975298</v>
      </c>
      <c r="J31" s="111">
        <f t="shared" si="29"/>
        <v>7.7767612076852705E-2</v>
      </c>
      <c r="K31" s="111">
        <f t="shared" si="29"/>
        <v>3.1107044830741084E-2</v>
      </c>
      <c r="L31" s="112" t="str">
        <f t="shared" si="14"/>
        <v>reconciled</v>
      </c>
      <c r="O31" s="17" t="str">
        <f t="shared" si="15"/>
        <v>SWB</v>
      </c>
      <c r="P31" s="51">
        <f ca="1">Allowance!K23</f>
        <v>2.1859999999999999</v>
      </c>
      <c r="Q31" s="103">
        <f t="shared" ca="1" si="16"/>
        <v>0</v>
      </c>
      <c r="R31" s="103">
        <f t="shared" ca="1" si="17"/>
        <v>0</v>
      </c>
      <c r="S31" s="103">
        <f t="shared" ca="1" si="18"/>
        <v>0</v>
      </c>
      <c r="T31" s="103">
        <f t="shared" ca="1" si="19"/>
        <v>0</v>
      </c>
      <c r="U31" s="104">
        <f t="shared" ca="1" si="20"/>
        <v>0.56999999999999995</v>
      </c>
      <c r="V31" s="104">
        <f t="shared" ca="1" si="21"/>
        <v>0.67200000000000004</v>
      </c>
      <c r="W31" s="104">
        <f t="shared" ca="1" si="22"/>
        <v>0.70599999999999996</v>
      </c>
      <c r="X31" s="104">
        <f t="shared" ca="1" si="23"/>
        <v>0.17</v>
      </c>
      <c r="Y31" s="104">
        <f t="shared" ca="1" si="24"/>
        <v>6.8000000000000005E-2</v>
      </c>
    </row>
    <row r="32" spans="1:32">
      <c r="B32" s="17" t="str">
        <f t="shared" si="27"/>
        <v>TMS</v>
      </c>
      <c r="C32" s="110">
        <f t="shared" si="28"/>
        <v>0</v>
      </c>
      <c r="D32" s="110">
        <f t="shared" si="29"/>
        <v>0</v>
      </c>
      <c r="E32" s="110">
        <f t="shared" si="29"/>
        <v>0</v>
      </c>
      <c r="F32" s="110">
        <f t="shared" si="29"/>
        <v>0</v>
      </c>
      <c r="G32" s="111">
        <f t="shared" si="29"/>
        <v>0.23927888555039606</v>
      </c>
      <c r="H32" s="111">
        <f t="shared" si="29"/>
        <v>0.35673313302376403</v>
      </c>
      <c r="I32" s="111">
        <f t="shared" si="29"/>
        <v>0.38063370663753071</v>
      </c>
      <c r="J32" s="111">
        <f t="shared" si="29"/>
        <v>1.1608850040972413E-2</v>
      </c>
      <c r="K32" s="111">
        <f t="shared" si="29"/>
        <v>1.1745424747336792E-2</v>
      </c>
      <c r="L32" s="112" t="str">
        <f t="shared" si="14"/>
        <v>reconciled</v>
      </c>
      <c r="O32" s="17" t="str">
        <f t="shared" si="15"/>
        <v>TMS</v>
      </c>
      <c r="P32" s="51">
        <f ca="1">Allowance!K24</f>
        <v>7.3220000000000001</v>
      </c>
      <c r="Q32" s="103">
        <f t="shared" ca="1" si="16"/>
        <v>0</v>
      </c>
      <c r="R32" s="103">
        <f t="shared" ca="1" si="17"/>
        <v>0</v>
      </c>
      <c r="S32" s="103">
        <f t="shared" ca="1" si="18"/>
        <v>0</v>
      </c>
      <c r="T32" s="103">
        <f t="shared" ca="1" si="19"/>
        <v>0</v>
      </c>
      <c r="U32" s="104">
        <f t="shared" ca="1" si="20"/>
        <v>1.752</v>
      </c>
      <c r="V32" s="104">
        <f t="shared" ca="1" si="21"/>
        <v>2.6120000000000001</v>
      </c>
      <c r="W32" s="104">
        <f t="shared" ca="1" si="22"/>
        <v>2.7869999999999999</v>
      </c>
      <c r="X32" s="104">
        <f t="shared" ca="1" si="23"/>
        <v>8.5000000000000006E-2</v>
      </c>
      <c r="Y32" s="104">
        <f t="shared" ca="1" si="24"/>
        <v>8.5999999999999993E-2</v>
      </c>
    </row>
    <row r="33" spans="1:32">
      <c r="B33" s="17" t="str">
        <f t="shared" si="27"/>
        <v>WSX</v>
      </c>
      <c r="C33" s="110">
        <f t="shared" si="28"/>
        <v>1.8813556027689783E-2</v>
      </c>
      <c r="D33" s="110">
        <f t="shared" si="29"/>
        <v>0</v>
      </c>
      <c r="E33" s="110">
        <f t="shared" si="29"/>
        <v>7.3727346557321924E-2</v>
      </c>
      <c r="F33" s="110">
        <f t="shared" si="29"/>
        <v>0</v>
      </c>
      <c r="G33" s="111">
        <f t="shared" si="29"/>
        <v>0.36095375344374009</v>
      </c>
      <c r="H33" s="111">
        <f t="shared" si="29"/>
        <v>0.33733183557732904</v>
      </c>
      <c r="I33" s="111">
        <f t="shared" si="29"/>
        <v>0.13793475183330506</v>
      </c>
      <c r="J33" s="111">
        <f t="shared" si="29"/>
        <v>6.0213378132428379E-2</v>
      </c>
      <c r="K33" s="111">
        <f t="shared" si="29"/>
        <v>1.102537842818576E-2</v>
      </c>
      <c r="L33" s="112" t="str">
        <f t="shared" si="14"/>
        <v>reconciled</v>
      </c>
      <c r="O33" s="17" t="str">
        <f t="shared" si="15"/>
        <v>WSX</v>
      </c>
      <c r="P33" s="51">
        <f ca="1">Allowance!K25</f>
        <v>9.9811540000000001</v>
      </c>
      <c r="Q33" s="103">
        <f t="shared" ca="1" si="16"/>
        <v>0.187781</v>
      </c>
      <c r="R33" s="103">
        <f t="shared" ca="1" si="17"/>
        <v>0</v>
      </c>
      <c r="S33" s="103">
        <f t="shared" ca="1" si="18"/>
        <v>0.73588399999999998</v>
      </c>
      <c r="T33" s="103">
        <f t="shared" ca="1" si="19"/>
        <v>0</v>
      </c>
      <c r="U33" s="104">
        <f t="shared" ca="1" si="20"/>
        <v>3.602735</v>
      </c>
      <c r="V33" s="104">
        <f t="shared" ca="1" si="21"/>
        <v>3.3669610000000003</v>
      </c>
      <c r="W33" s="104">
        <f t="shared" ca="1" si="22"/>
        <v>1.3767480000000001</v>
      </c>
      <c r="X33" s="104">
        <f t="shared" ca="1" si="23"/>
        <v>0.60099900000000006</v>
      </c>
      <c r="Y33" s="104">
        <f t="shared" ca="1" si="24"/>
        <v>0.11004600000000002</v>
      </c>
    </row>
    <row r="34" spans="1:32">
      <c r="B34" s="17" t="str">
        <f t="shared" si="27"/>
        <v>YKY</v>
      </c>
      <c r="C34" s="110">
        <f t="shared" si="28"/>
        <v>0</v>
      </c>
      <c r="D34" s="110">
        <f t="shared" si="29"/>
        <v>0</v>
      </c>
      <c r="E34" s="110">
        <f t="shared" si="29"/>
        <v>7.3956254659962042E-2</v>
      </c>
      <c r="F34" s="110">
        <f t="shared" si="29"/>
        <v>0</v>
      </c>
      <c r="G34" s="111">
        <f t="shared" si="29"/>
        <v>0.39019492283849555</v>
      </c>
      <c r="H34" s="111">
        <f t="shared" si="29"/>
        <v>0.34911373122085543</v>
      </c>
      <c r="I34" s="111">
        <f t="shared" si="29"/>
        <v>0.15298806245526722</v>
      </c>
      <c r="J34" s="111">
        <f t="shared" si="29"/>
        <v>1.6873514412709789E-2</v>
      </c>
      <c r="K34" s="111">
        <f t="shared" si="29"/>
        <v>1.6873514412709789E-2</v>
      </c>
      <c r="L34" s="112" t="str">
        <f t="shared" si="14"/>
        <v>reconciled</v>
      </c>
      <c r="O34" s="17" t="str">
        <f t="shared" si="15"/>
        <v>YKY</v>
      </c>
      <c r="P34" s="51">
        <f ca="1">Allowance!K26</f>
        <v>5.5708608000000011</v>
      </c>
      <c r="Q34" s="103">
        <f t="shared" ca="1" si="16"/>
        <v>0</v>
      </c>
      <c r="R34" s="103">
        <f t="shared" ca="1" si="17"/>
        <v>0</v>
      </c>
      <c r="S34" s="103">
        <f t="shared" ca="1" si="18"/>
        <v>0.41199999999999992</v>
      </c>
      <c r="T34" s="103">
        <f t="shared" ca="1" si="19"/>
        <v>0</v>
      </c>
      <c r="U34" s="104">
        <f t="shared" ca="1" si="20"/>
        <v>2.1737215999999999</v>
      </c>
      <c r="V34" s="104">
        <f t="shared" ca="1" si="21"/>
        <v>1.9448639999999999</v>
      </c>
      <c r="W34" s="104">
        <f t="shared" ca="1" si="22"/>
        <v>0.85227520000000012</v>
      </c>
      <c r="X34" s="104">
        <f t="shared" ca="1" si="23"/>
        <v>9.4E-2</v>
      </c>
      <c r="Y34" s="104">
        <f t="shared" ca="1" si="24"/>
        <v>9.4E-2</v>
      </c>
    </row>
    <row r="35" spans="1:32">
      <c r="B35" s="17" t="str">
        <f t="shared" si="27"/>
        <v>Total</v>
      </c>
      <c r="C35" s="110">
        <f t="shared" si="28"/>
        <v>7.2630140190882439E-3</v>
      </c>
      <c r="D35" s="110">
        <f t="shared" si="29"/>
        <v>0</v>
      </c>
      <c r="E35" s="110">
        <f t="shared" si="29"/>
        <v>6.2641184887280113E-2</v>
      </c>
      <c r="F35" s="110">
        <f t="shared" si="29"/>
        <v>0</v>
      </c>
      <c r="G35" s="111">
        <f t="shared" si="29"/>
        <v>0.2909596762213032</v>
      </c>
      <c r="H35" s="111">
        <f t="shared" si="29"/>
        <v>0.34541608178006983</v>
      </c>
      <c r="I35" s="111">
        <f t="shared" si="29"/>
        <v>0.14144135594842283</v>
      </c>
      <c r="J35" s="111">
        <f t="shared" si="29"/>
        <v>7.7852659449406739E-2</v>
      </c>
      <c r="K35" s="111">
        <f t="shared" si="29"/>
        <v>7.4426027694429089E-2</v>
      </c>
      <c r="L35" s="112" t="str">
        <f t="shared" si="14"/>
        <v>reconciled</v>
      </c>
      <c r="O35" s="17" t="str">
        <f t="shared" si="15"/>
        <v>Total</v>
      </c>
      <c r="P35" s="51">
        <f ca="1">Allowance!K27</f>
        <v>72.540554558023359</v>
      </c>
      <c r="Q35" s="103">
        <f t="shared" ca="1" si="16"/>
        <v>0.52686306470735922</v>
      </c>
      <c r="R35" s="103">
        <f t="shared" ca="1" si="17"/>
        <v>0</v>
      </c>
      <c r="S35" s="103">
        <f t="shared" ca="1" si="18"/>
        <v>4.5440262898949717</v>
      </c>
      <c r="T35" s="103">
        <f t="shared" ca="1" si="19"/>
        <v>0</v>
      </c>
      <c r="U35" s="104">
        <f t="shared" ca="1" si="20"/>
        <v>21.106376267116257</v>
      </c>
      <c r="V35" s="104">
        <f t="shared" ca="1" si="21"/>
        <v>25.056674125585815</v>
      </c>
      <c r="W35" s="104">
        <f t="shared" ca="1" si="22"/>
        <v>10.260234397937369</v>
      </c>
      <c r="X35" s="104">
        <f t="shared" ca="1" si="23"/>
        <v>5.6474750902769024</v>
      </c>
      <c r="Y35" s="104">
        <f t="shared" ca="1" si="24"/>
        <v>5.3989053225046906</v>
      </c>
    </row>
    <row r="36" spans="1:32" ht="18.75">
      <c r="A36" s="56" t="s">
        <v>323</v>
      </c>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row>
    <row r="38" spans="1:32">
      <c r="B38" s="42" t="s">
        <v>324</v>
      </c>
      <c r="O38" s="38" t="s">
        <v>325</v>
      </c>
    </row>
    <row r="39" spans="1:32" ht="51">
      <c r="B39" s="13">
        <f>Allowance!B14</f>
        <v>0</v>
      </c>
      <c r="C39" s="13" t="s">
        <v>308</v>
      </c>
      <c r="D39" s="13" t="s">
        <v>309</v>
      </c>
      <c r="E39" s="13" t="s">
        <v>310</v>
      </c>
      <c r="F39" s="13" t="s">
        <v>311</v>
      </c>
      <c r="G39" s="13" t="s">
        <v>312</v>
      </c>
      <c r="H39" s="13" t="s">
        <v>313</v>
      </c>
      <c r="I39" s="13" t="s">
        <v>314</v>
      </c>
      <c r="J39" s="13" t="s">
        <v>315</v>
      </c>
      <c r="K39" s="13" t="s">
        <v>316</v>
      </c>
      <c r="L39" s="13" t="s">
        <v>105</v>
      </c>
      <c r="M39" s="13" t="s">
        <v>326</v>
      </c>
      <c r="O39" s="13">
        <f>Allowance!B14</f>
        <v>0</v>
      </c>
      <c r="P39" s="13" t="s">
        <v>322</v>
      </c>
      <c r="Q39" s="13" t="s">
        <v>308</v>
      </c>
      <c r="R39" s="13" t="s">
        <v>309</v>
      </c>
      <c r="S39" s="13" t="s">
        <v>310</v>
      </c>
      <c r="T39" s="13" t="s">
        <v>311</v>
      </c>
      <c r="U39" s="13" t="s">
        <v>312</v>
      </c>
      <c r="V39" s="13" t="s">
        <v>313</v>
      </c>
      <c r="W39" s="13" t="s">
        <v>314</v>
      </c>
      <c r="X39" s="13" t="s">
        <v>315</v>
      </c>
      <c r="Y39" s="13" t="s">
        <v>316</v>
      </c>
      <c r="Z39" s="20" t="s">
        <v>327</v>
      </c>
    </row>
    <row r="40" spans="1:32">
      <c r="B40" s="40" t="str">
        <f>B7</f>
        <v>ANH</v>
      </c>
      <c r="C40" s="43"/>
      <c r="D40" s="36"/>
      <c r="E40" s="36"/>
      <c r="F40" s="36"/>
      <c r="G40" s="36"/>
      <c r="H40" s="36"/>
      <c r="I40" s="36"/>
      <c r="J40" s="36"/>
      <c r="K40" s="44"/>
      <c r="L40" s="40">
        <f t="shared" ref="L40:L50" si="30">SUM(C40:K40)</f>
        <v>0</v>
      </c>
      <c r="M40" s="45"/>
      <c r="O40" s="13" t="str">
        <f>B7</f>
        <v>ANH</v>
      </c>
      <c r="P40" s="39">
        <f ca="1">P24</f>
        <v>23.055299999999995</v>
      </c>
      <c r="Q40" s="46">
        <f t="shared" ref="Q40:Y41" ca="1" si="31">(Q7-C40)/(SUM($Q7:$Y7)-SUM($C40:$K40))*$P40</f>
        <v>1.7099999999999997E-2</v>
      </c>
      <c r="R40" s="35">
        <f t="shared" ca="1" si="31"/>
        <v>0</v>
      </c>
      <c r="S40" s="35">
        <f t="shared" ca="1" si="31"/>
        <v>1.6199999999999999E-2</v>
      </c>
      <c r="T40" s="35">
        <f t="shared" ca="1" si="31"/>
        <v>0</v>
      </c>
      <c r="U40" s="47">
        <f t="shared" ca="1" si="31"/>
        <v>4.1823000000000006</v>
      </c>
      <c r="V40" s="47">
        <f t="shared" ca="1" si="31"/>
        <v>5.9012999999999991</v>
      </c>
      <c r="W40" s="47">
        <f t="shared" ca="1" si="31"/>
        <v>4.2012</v>
      </c>
      <c r="X40" s="47">
        <f t="shared" ca="1" si="31"/>
        <v>4.2092999999999989</v>
      </c>
      <c r="Y40" s="47">
        <f t="shared" ca="1" si="31"/>
        <v>4.5278999999999998</v>
      </c>
      <c r="Z40" s="41" t="str">
        <f t="shared" ref="Z40:Z43" ca="1" si="32">IF(SUM(Q40:Y40)=P40, "reconciled","check")</f>
        <v>reconciled</v>
      </c>
    </row>
    <row r="41" spans="1:32">
      <c r="B41" s="40" t="str">
        <f>B8</f>
        <v>WSH</v>
      </c>
      <c r="C41" s="43"/>
      <c r="D41" s="36"/>
      <c r="E41" s="36"/>
      <c r="F41" s="36"/>
      <c r="G41" s="36"/>
      <c r="H41" s="36"/>
      <c r="I41" s="36"/>
      <c r="J41" s="36"/>
      <c r="K41" s="44"/>
      <c r="L41" s="40">
        <f t="shared" si="30"/>
        <v>0</v>
      </c>
      <c r="M41" s="45"/>
      <c r="O41" s="13" t="str">
        <f>B8</f>
        <v>WSH</v>
      </c>
      <c r="P41" s="39">
        <f ca="1">P25</f>
        <v>2.7519999999999998</v>
      </c>
      <c r="Q41" s="46">
        <f t="shared" ca="1" si="31"/>
        <v>0</v>
      </c>
      <c r="R41" s="35">
        <f t="shared" ca="1" si="31"/>
        <v>0</v>
      </c>
      <c r="S41" s="35">
        <f t="shared" ca="1" si="31"/>
        <v>0</v>
      </c>
      <c r="T41" s="35">
        <f t="shared" ca="1" si="31"/>
        <v>0</v>
      </c>
      <c r="U41" s="47">
        <f t="shared" ca="1" si="31"/>
        <v>1.3959999999999999</v>
      </c>
      <c r="V41" s="47">
        <f t="shared" ca="1" si="31"/>
        <v>1.3560000000000001</v>
      </c>
      <c r="W41" s="47">
        <f t="shared" ca="1" si="31"/>
        <v>0</v>
      </c>
      <c r="X41" s="47">
        <f t="shared" ca="1" si="31"/>
        <v>0</v>
      </c>
      <c r="Y41" s="47">
        <f t="shared" ca="1" si="31"/>
        <v>0</v>
      </c>
      <c r="Z41" s="41" t="str">
        <f t="shared" ca="1" si="32"/>
        <v>reconciled</v>
      </c>
    </row>
    <row r="42" spans="1:32">
      <c r="B42" s="40" t="str">
        <f t="shared" ref="B42:B50" si="33">B10</f>
        <v>NES</v>
      </c>
      <c r="C42" s="43"/>
      <c r="D42" s="36"/>
      <c r="E42" s="36"/>
      <c r="F42" s="36"/>
      <c r="G42" s="36"/>
      <c r="H42" s="36"/>
      <c r="I42" s="36"/>
      <c r="J42" s="36"/>
      <c r="K42" s="44"/>
      <c r="L42" s="40">
        <f t="shared" si="30"/>
        <v>0</v>
      </c>
      <c r="M42" s="45"/>
      <c r="O42" s="13" t="str">
        <f t="shared" ref="O42:O50" si="34">B10</f>
        <v>NES</v>
      </c>
      <c r="P42" s="39">
        <f t="shared" ref="P42:P50" ca="1" si="35">P27</f>
        <v>5.2639999999999993</v>
      </c>
      <c r="Q42" s="46">
        <f t="shared" ref="Q42:Q50" ca="1" si="36">(Q10-C42)/(SUM($Q10:$Y10)-SUM($C42:$K42))*$P42</f>
        <v>0.03</v>
      </c>
      <c r="R42" s="35">
        <f t="shared" ref="R42:R50" ca="1" si="37">(R10-D42)/(SUM($Q10:$Y10)-SUM($C42:$K42))*$P42</f>
        <v>0</v>
      </c>
      <c r="S42" s="35">
        <f t="shared" ref="S42:S50" ca="1" si="38">(S10-E42)/(SUM($Q10:$Y10)-SUM($C42:$K42))*$P42</f>
        <v>0.03</v>
      </c>
      <c r="T42" s="35">
        <f t="shared" ref="T42:T50" ca="1" si="39">(T10-F42)/(SUM($Q10:$Y10)-SUM($C42:$K42))*$P42</f>
        <v>0</v>
      </c>
      <c r="U42" s="47">
        <f t="shared" ref="U42:U50" ca="1" si="40">(U10-G42)/(SUM($Q10:$Y10)-SUM($C42:$K42))*$P42</f>
        <v>2.6019999999999999</v>
      </c>
      <c r="V42" s="47">
        <f t="shared" ref="V42:V50" ca="1" si="41">(V10-H42)/(SUM($Q10:$Y10)-SUM($C42:$K42))*$P42</f>
        <v>2.6019999999999999</v>
      </c>
      <c r="W42" s="47">
        <f t="shared" ref="W42:W50" ca="1" si="42">(W10-I42)/(SUM($Q10:$Y10)-SUM($C42:$K42))*$P42</f>
        <v>0</v>
      </c>
      <c r="X42" s="47">
        <f t="shared" ref="X42:X50" ca="1" si="43">(X10-J42)/(SUM($Q10:$Y10)-SUM($C42:$K42))*$P42</f>
        <v>0</v>
      </c>
      <c r="Y42" s="47">
        <f t="shared" ref="Y42:Y50" ca="1" si="44">(Y10-K42)/(SUM($Q10:$Y10)-SUM($C42:$K42))*$P42</f>
        <v>0</v>
      </c>
      <c r="Z42" s="41" t="str">
        <f t="shared" ca="1" si="32"/>
        <v>reconciled</v>
      </c>
    </row>
    <row r="43" spans="1:32">
      <c r="B43" s="40" t="str">
        <f t="shared" si="33"/>
        <v>NWT</v>
      </c>
      <c r="C43" s="43"/>
      <c r="D43" s="36"/>
      <c r="E43" s="36"/>
      <c r="F43" s="36"/>
      <c r="G43" s="36"/>
      <c r="H43" s="36"/>
      <c r="I43" s="36"/>
      <c r="J43" s="36"/>
      <c r="K43" s="44"/>
      <c r="L43" s="40">
        <f t="shared" si="30"/>
        <v>0</v>
      </c>
      <c r="M43" s="45"/>
      <c r="O43" s="13" t="str">
        <f t="shared" si="34"/>
        <v>NWT</v>
      </c>
      <c r="P43" s="39">
        <f t="shared" ca="1" si="35"/>
        <v>8.3795515389849449</v>
      </c>
      <c r="Q43" s="46">
        <f t="shared" ca="1" si="36"/>
        <v>0.31084484288372688</v>
      </c>
      <c r="R43" s="35">
        <f t="shared" ca="1" si="37"/>
        <v>0</v>
      </c>
      <c r="S43" s="35">
        <f t="shared" ca="1" si="38"/>
        <v>2.019469543117149</v>
      </c>
      <c r="T43" s="35">
        <f t="shared" ca="1" si="39"/>
        <v>0</v>
      </c>
      <c r="U43" s="47">
        <f t="shared" ca="1" si="40"/>
        <v>3.24249915219084</v>
      </c>
      <c r="V43" s="47">
        <f t="shared" ca="1" si="41"/>
        <v>2.6817578802497515</v>
      </c>
      <c r="W43" s="47">
        <f t="shared" ca="1" si="42"/>
        <v>3.4002496492784327E-2</v>
      </c>
      <c r="X43" s="47">
        <f t="shared" ca="1" si="43"/>
        <v>5.6356616175938533E-2</v>
      </c>
      <c r="Y43" s="47">
        <f t="shared" ca="1" si="44"/>
        <v>3.4621007874756547E-2</v>
      </c>
      <c r="Z43" s="41" t="str">
        <f t="shared" ca="1" si="32"/>
        <v>reconciled</v>
      </c>
    </row>
    <row r="44" spans="1:32">
      <c r="B44" s="40" t="str">
        <f t="shared" si="33"/>
        <v>SRN</v>
      </c>
      <c r="C44" s="43"/>
      <c r="D44" s="36"/>
      <c r="E44" s="36"/>
      <c r="F44" s="36"/>
      <c r="G44" s="36"/>
      <c r="H44" s="36"/>
      <c r="I44" s="36"/>
      <c r="J44" s="36"/>
      <c r="K44" s="44"/>
      <c r="L44" s="40">
        <f t="shared" si="30"/>
        <v>0</v>
      </c>
      <c r="M44" s="45"/>
      <c r="O44" s="13" t="str">
        <f t="shared" si="34"/>
        <v>SRN</v>
      </c>
      <c r="P44" s="39">
        <f t="shared" ca="1" si="35"/>
        <v>2.2390000000000003</v>
      </c>
      <c r="Q44" s="46">
        <f t="shared" ca="1" si="36"/>
        <v>0</v>
      </c>
      <c r="R44" s="35">
        <f t="shared" ca="1" si="37"/>
        <v>0</v>
      </c>
      <c r="S44" s="35">
        <f t="shared" ca="1" si="38"/>
        <v>0</v>
      </c>
      <c r="T44" s="35">
        <f t="shared" ca="1" si="39"/>
        <v>0</v>
      </c>
      <c r="U44" s="47">
        <f t="shared" ca="1" si="40"/>
        <v>0.70899999999999996</v>
      </c>
      <c r="V44" s="47">
        <f t="shared" ca="1" si="41"/>
        <v>1.4750000000000001</v>
      </c>
      <c r="W44" s="47">
        <f t="shared" ca="1" si="42"/>
        <v>5.5E-2</v>
      </c>
      <c r="X44" s="47">
        <f t="shared" ca="1" si="43"/>
        <v>0</v>
      </c>
      <c r="Y44" s="47">
        <f t="shared" ca="1" si="44"/>
        <v>0</v>
      </c>
      <c r="Z44" s="41" t="str">
        <f t="shared" ref="Z44:Z50" ca="1" si="45">IF(SUM(Q44:Y44)=P44, "reconciled","check")</f>
        <v>reconciled</v>
      </c>
    </row>
    <row r="45" spans="1:32">
      <c r="B45" s="40" t="str">
        <f t="shared" si="33"/>
        <v>SVE</v>
      </c>
      <c r="C45" s="43"/>
      <c r="D45" s="36"/>
      <c r="E45" s="36"/>
      <c r="F45" s="36"/>
      <c r="G45" s="36"/>
      <c r="H45" s="36"/>
      <c r="I45" s="36"/>
      <c r="J45" s="36"/>
      <c r="K45" s="44"/>
      <c r="L45" s="40">
        <f t="shared" si="30"/>
        <v>0</v>
      </c>
      <c r="M45" s="45"/>
      <c r="O45" s="13" t="str">
        <f t="shared" si="34"/>
        <v>SVE</v>
      </c>
      <c r="P45" s="39">
        <f t="shared" ca="1" si="35"/>
        <v>5.7906882190384223</v>
      </c>
      <c r="Q45" s="46">
        <f t="shared" ca="1" si="36"/>
        <v>0</v>
      </c>
      <c r="R45" s="35">
        <f t="shared" ca="1" si="37"/>
        <v>0</v>
      </c>
      <c r="S45" s="35">
        <f t="shared" ca="1" si="38"/>
        <v>1.5077451020150889</v>
      </c>
      <c r="T45" s="35">
        <f t="shared" ca="1" si="39"/>
        <v>0</v>
      </c>
      <c r="U45" s="47">
        <f t="shared" ca="1" si="40"/>
        <v>1.0951869413392581</v>
      </c>
      <c r="V45" s="47">
        <f t="shared" ca="1" si="41"/>
        <v>2.62753219832075</v>
      </c>
      <c r="W45" s="47">
        <f t="shared" ca="1" si="42"/>
        <v>0.18554710569434296</v>
      </c>
      <c r="X45" s="47">
        <f t="shared" ca="1" si="43"/>
        <v>0.186676871668983</v>
      </c>
      <c r="Y45" s="47">
        <f t="shared" ca="1" si="44"/>
        <v>0.188</v>
      </c>
      <c r="Z45" s="41" t="str">
        <f t="shared" ca="1" si="45"/>
        <v>reconciled</v>
      </c>
    </row>
    <row r="46" spans="1:32">
      <c r="B46" s="40" t="str">
        <f t="shared" si="33"/>
        <v>SWB</v>
      </c>
      <c r="C46" s="43"/>
      <c r="D46" s="36"/>
      <c r="E46" s="36"/>
      <c r="F46" s="36"/>
      <c r="G46" s="36"/>
      <c r="H46" s="36"/>
      <c r="I46" s="36"/>
      <c r="J46" s="36"/>
      <c r="K46" s="44"/>
      <c r="L46" s="40">
        <f t="shared" si="30"/>
        <v>0</v>
      </c>
      <c r="M46" s="45"/>
      <c r="O46" s="13" t="str">
        <f t="shared" si="34"/>
        <v>SWB</v>
      </c>
      <c r="P46" s="39">
        <f t="shared" ca="1" si="35"/>
        <v>2.1859999999999999</v>
      </c>
      <c r="Q46" s="46">
        <f t="shared" ca="1" si="36"/>
        <v>0</v>
      </c>
      <c r="R46" s="35">
        <f t="shared" ca="1" si="37"/>
        <v>0</v>
      </c>
      <c r="S46" s="35">
        <f t="shared" ca="1" si="38"/>
        <v>0</v>
      </c>
      <c r="T46" s="35">
        <f t="shared" ca="1" si="39"/>
        <v>0</v>
      </c>
      <c r="U46" s="47">
        <f t="shared" ca="1" si="40"/>
        <v>0.56999999999999995</v>
      </c>
      <c r="V46" s="47">
        <f t="shared" ca="1" si="41"/>
        <v>0.67200000000000004</v>
      </c>
      <c r="W46" s="47">
        <f t="shared" ca="1" si="42"/>
        <v>0.70599999999999996</v>
      </c>
      <c r="X46" s="47">
        <f t="shared" ca="1" si="43"/>
        <v>0.17</v>
      </c>
      <c r="Y46" s="47">
        <f t="shared" ca="1" si="44"/>
        <v>6.8000000000000005E-2</v>
      </c>
      <c r="Z46" s="41" t="str">
        <f t="shared" ca="1" si="45"/>
        <v>reconciled</v>
      </c>
    </row>
    <row r="47" spans="1:32">
      <c r="B47" s="40" t="str">
        <f t="shared" si="33"/>
        <v>TMS</v>
      </c>
      <c r="C47" s="43"/>
      <c r="D47" s="36"/>
      <c r="E47" s="36"/>
      <c r="F47" s="36"/>
      <c r="G47" s="36"/>
      <c r="H47" s="36"/>
      <c r="I47" s="36"/>
      <c r="J47" s="36"/>
      <c r="K47" s="44"/>
      <c r="L47" s="40">
        <f t="shared" si="30"/>
        <v>0</v>
      </c>
      <c r="M47" s="45"/>
      <c r="O47" s="13" t="str">
        <f t="shared" si="34"/>
        <v>TMS</v>
      </c>
      <c r="P47" s="39">
        <f t="shared" ca="1" si="35"/>
        <v>7.3220000000000001</v>
      </c>
      <c r="Q47" s="46">
        <f t="shared" ca="1" si="36"/>
        <v>0</v>
      </c>
      <c r="R47" s="35">
        <f t="shared" ca="1" si="37"/>
        <v>0</v>
      </c>
      <c r="S47" s="35">
        <f t="shared" ca="1" si="38"/>
        <v>0</v>
      </c>
      <c r="T47" s="35">
        <f t="shared" ca="1" si="39"/>
        <v>0</v>
      </c>
      <c r="U47" s="47">
        <f t="shared" ca="1" si="40"/>
        <v>1.752</v>
      </c>
      <c r="V47" s="47">
        <f t="shared" ca="1" si="41"/>
        <v>2.6120000000000001</v>
      </c>
      <c r="W47" s="47">
        <f t="shared" ca="1" si="42"/>
        <v>2.7869999999999999</v>
      </c>
      <c r="X47" s="47">
        <f t="shared" ca="1" si="43"/>
        <v>8.5000000000000006E-2</v>
      </c>
      <c r="Y47" s="47">
        <f t="shared" ca="1" si="44"/>
        <v>8.5999999999999993E-2</v>
      </c>
      <c r="Z47" s="41" t="str">
        <f t="shared" ca="1" si="45"/>
        <v>reconciled</v>
      </c>
    </row>
    <row r="48" spans="1:32">
      <c r="B48" s="40" t="str">
        <f t="shared" si="33"/>
        <v>WSX</v>
      </c>
      <c r="C48" s="43"/>
      <c r="D48" s="36"/>
      <c r="E48" s="36"/>
      <c r="F48" s="36"/>
      <c r="G48" s="36"/>
      <c r="H48" s="36"/>
      <c r="I48" s="36"/>
      <c r="J48" s="36"/>
      <c r="K48" s="44"/>
      <c r="L48" s="40">
        <f t="shared" si="30"/>
        <v>0</v>
      </c>
      <c r="M48" s="45"/>
      <c r="O48" s="13" t="str">
        <f t="shared" si="34"/>
        <v>WSX</v>
      </c>
      <c r="P48" s="39">
        <f t="shared" ca="1" si="35"/>
        <v>9.9811540000000001</v>
      </c>
      <c r="Q48" s="46">
        <f t="shared" ca="1" si="36"/>
        <v>0.187781</v>
      </c>
      <c r="R48" s="35">
        <f t="shared" ca="1" si="37"/>
        <v>0</v>
      </c>
      <c r="S48" s="35">
        <f t="shared" ca="1" si="38"/>
        <v>0.73588399999999998</v>
      </c>
      <c r="T48" s="35">
        <f t="shared" ca="1" si="39"/>
        <v>0</v>
      </c>
      <c r="U48" s="47">
        <f t="shared" ca="1" si="40"/>
        <v>3.602735</v>
      </c>
      <c r="V48" s="47">
        <f t="shared" ca="1" si="41"/>
        <v>3.3669610000000003</v>
      </c>
      <c r="W48" s="47">
        <f t="shared" ca="1" si="42"/>
        <v>1.3767480000000001</v>
      </c>
      <c r="X48" s="47">
        <f t="shared" ca="1" si="43"/>
        <v>0.60099900000000006</v>
      </c>
      <c r="Y48" s="47">
        <f t="shared" ca="1" si="44"/>
        <v>0.11004600000000002</v>
      </c>
      <c r="Z48" s="41" t="str">
        <f t="shared" ca="1" si="45"/>
        <v>reconciled</v>
      </c>
    </row>
    <row r="49" spans="2:26">
      <c r="B49" s="40" t="str">
        <f t="shared" si="33"/>
        <v>YKY</v>
      </c>
      <c r="C49" s="43"/>
      <c r="D49" s="36"/>
      <c r="E49" s="36"/>
      <c r="F49" s="36"/>
      <c r="G49" s="36"/>
      <c r="H49" s="36"/>
      <c r="I49" s="36"/>
      <c r="J49" s="36"/>
      <c r="K49" s="44"/>
      <c r="L49" s="40">
        <f t="shared" si="30"/>
        <v>0</v>
      </c>
      <c r="M49" s="45"/>
      <c r="O49" s="13" t="str">
        <f t="shared" si="34"/>
        <v>YKY</v>
      </c>
      <c r="P49" s="39">
        <f t="shared" ca="1" si="35"/>
        <v>5.5708608000000011</v>
      </c>
      <c r="Q49" s="46">
        <f t="shared" ca="1" si="36"/>
        <v>0</v>
      </c>
      <c r="R49" s="35">
        <f t="shared" ca="1" si="37"/>
        <v>0</v>
      </c>
      <c r="S49" s="35">
        <f t="shared" ca="1" si="38"/>
        <v>0.41199999999999992</v>
      </c>
      <c r="T49" s="35">
        <f t="shared" ca="1" si="39"/>
        <v>0</v>
      </c>
      <c r="U49" s="47">
        <f t="shared" ca="1" si="40"/>
        <v>2.1737215999999999</v>
      </c>
      <c r="V49" s="47">
        <f t="shared" ca="1" si="41"/>
        <v>1.9448639999999999</v>
      </c>
      <c r="W49" s="47">
        <f t="shared" ca="1" si="42"/>
        <v>0.85227520000000012</v>
      </c>
      <c r="X49" s="47">
        <f t="shared" ca="1" si="43"/>
        <v>9.4E-2</v>
      </c>
      <c r="Y49" s="47">
        <f t="shared" ca="1" si="44"/>
        <v>9.4E-2</v>
      </c>
      <c r="Z49" s="41" t="str">
        <f t="shared" ca="1" si="45"/>
        <v>reconciled</v>
      </c>
    </row>
    <row r="50" spans="2:26">
      <c r="B50" s="40" t="str">
        <f t="shared" si="33"/>
        <v>Total</v>
      </c>
      <c r="C50" s="43"/>
      <c r="D50" s="36"/>
      <c r="E50" s="36"/>
      <c r="F50" s="36"/>
      <c r="G50" s="36"/>
      <c r="H50" s="36"/>
      <c r="I50" s="36"/>
      <c r="J50" s="36"/>
      <c r="K50" s="44"/>
      <c r="L50" s="40">
        <f t="shared" si="30"/>
        <v>0</v>
      </c>
      <c r="M50" s="45"/>
      <c r="O50" s="13" t="str">
        <f t="shared" si="34"/>
        <v>Total</v>
      </c>
      <c r="P50" s="39">
        <f t="shared" ca="1" si="35"/>
        <v>72.540554558023359</v>
      </c>
      <c r="Q50" s="46">
        <f t="shared" ca="1" si="36"/>
        <v>0.52894660176145913</v>
      </c>
      <c r="R50" s="35">
        <f t="shared" ca="1" si="37"/>
        <v>0</v>
      </c>
      <c r="S50" s="35">
        <f t="shared" ca="1" si="38"/>
        <v>4.5619961340233672</v>
      </c>
      <c r="T50" s="35">
        <f t="shared" ca="1" si="39"/>
        <v>0</v>
      </c>
      <c r="U50" s="47">
        <f t="shared" ca="1" si="40"/>
        <v>21.04689192340987</v>
      </c>
      <c r="V50" s="47">
        <f t="shared" ca="1" si="41"/>
        <v>25.011845772114139</v>
      </c>
      <c r="W50" s="47">
        <f t="shared" ca="1" si="42"/>
        <v>10.300809606153429</v>
      </c>
      <c r="X50" s="47">
        <f t="shared" ca="1" si="43"/>
        <v>5.6698086422013168</v>
      </c>
      <c r="Y50" s="47">
        <f t="shared" ca="1" si="44"/>
        <v>5.4202558783597761</v>
      </c>
      <c r="Z50" s="41" t="str">
        <f t="shared" ca="1" si="45"/>
        <v>reconciled</v>
      </c>
    </row>
  </sheetData>
  <mergeCells count="2">
    <mergeCell ref="A1:AF1"/>
    <mergeCell ref="A3:AF3"/>
  </mergeCells>
  <conditionalFormatting sqref="L24:L35 Z40:Z50">
    <cfRule type="containsText" dxfId="1" priority="3" operator="containsText" text="check">
      <formula>NOT(ISERROR(SEARCH("check",L24)))</formula>
    </cfRule>
    <cfRule type="containsText" dxfId="0" priority="4" operator="containsText" text="reconciled">
      <formula>NOT(ISERROR(SEARCH("reconciled",L24)))</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174D-5020-45A5-9BDD-E8B2248CC933}">
  <sheetPr>
    <tabColor rgb="FF98C561"/>
  </sheetPr>
  <dimension ref="A1:M91"/>
  <sheetViews>
    <sheetView zoomScale="80" zoomScaleNormal="80" workbookViewId="0"/>
  </sheetViews>
  <sheetFormatPr defaultColWidth="9.140625" defaultRowHeight="12.75"/>
  <cols>
    <col min="1" max="1" width="10.28515625" style="2" customWidth="1"/>
    <col min="2" max="2" width="26.28515625" style="2" bestFit="1" customWidth="1"/>
    <col min="3" max="3" width="73.42578125" style="2" bestFit="1" customWidth="1"/>
    <col min="4" max="4" width="9" style="2" bestFit="1" customWidth="1"/>
    <col min="5" max="5" width="15.85546875" style="2" bestFit="1" customWidth="1"/>
    <col min="6" max="6" width="10.140625" style="2" customWidth="1"/>
    <col min="7" max="16384" width="9.140625" style="2"/>
  </cols>
  <sheetData>
    <row r="1" spans="1:13">
      <c r="C1" s="2" t="s">
        <v>2</v>
      </c>
    </row>
    <row r="2" spans="1:13">
      <c r="A2" s="2" t="s">
        <v>59</v>
      </c>
      <c r="B2" s="2" t="s">
        <v>60</v>
      </c>
      <c r="C2" s="2" t="s">
        <v>61</v>
      </c>
      <c r="D2" s="2" t="s">
        <v>62</v>
      </c>
      <c r="E2" s="2" t="s">
        <v>63</v>
      </c>
      <c r="F2" s="2" t="s">
        <v>71</v>
      </c>
      <c r="G2" s="2" t="s">
        <v>64</v>
      </c>
      <c r="H2" s="2" t="s">
        <v>65</v>
      </c>
      <c r="I2" s="2" t="s">
        <v>66</v>
      </c>
      <c r="J2" s="2" t="s">
        <v>67</v>
      </c>
      <c r="K2" s="2" t="s">
        <v>68</v>
      </c>
      <c r="L2" s="2" t="s">
        <v>69</v>
      </c>
      <c r="M2" s="2" t="s">
        <v>70</v>
      </c>
    </row>
    <row r="4" spans="1:13">
      <c r="A4" s="2" t="s">
        <v>75</v>
      </c>
      <c r="B4" s="2" t="str">
        <f>CONCATENATE("C_", $C$1, "_ENH_WW_TOT")</f>
        <v>C_PR24CA57_ENH_WW_TOT</v>
      </c>
      <c r="C4" s="2" t="s">
        <v>328</v>
      </c>
      <c r="D4" s="2" t="s">
        <v>78</v>
      </c>
      <c r="E4" s="2" t="s">
        <v>72</v>
      </c>
      <c r="I4" s="2">
        <f ca="1" xml:space="preserve"> SUMIFS('Outputs to aggregator'!U$24:U$35, 'Outputs to aggregator'!$O$24:$O$35, $A4)</f>
        <v>4.1823000000000006</v>
      </c>
      <c r="J4" s="2">
        <f ca="1" xml:space="preserve"> SUMIFS('Outputs to aggregator'!V$24:V$35, 'Outputs to aggregator'!$O$24:$O$35, $A4)</f>
        <v>5.9012999999999991</v>
      </c>
      <c r="K4" s="2">
        <f ca="1" xml:space="preserve"> SUMIFS('Outputs to aggregator'!W$24:W$35, 'Outputs to aggregator'!$O$24:$O$35, $A4)</f>
        <v>4.2012</v>
      </c>
      <c r="L4" s="2">
        <f ca="1" xml:space="preserve"> SUMIFS('Outputs to aggregator'!X$24:X$35, 'Outputs to aggregator'!$O$24:$O$35, $A4)</f>
        <v>4.2092999999999989</v>
      </c>
      <c r="M4" s="2">
        <f ca="1" xml:space="preserve"> SUMIFS('Outputs to aggregator'!Y$24:Y$35, 'Outputs to aggregator'!$O$24:$O$35, $A4)</f>
        <v>4.5278999999999998</v>
      </c>
    </row>
    <row r="5" spans="1:13">
      <c r="A5" s="2" t="s">
        <v>75</v>
      </c>
      <c r="B5" s="2" t="str">
        <f>CONCATENATE("C_", $C$1, "_ENH_WW_AP")</f>
        <v>C_PR24CA57_ENH_WW_AP</v>
      </c>
      <c r="C5" s="2" t="s">
        <v>329</v>
      </c>
      <c r="D5" s="2" t="s">
        <v>78</v>
      </c>
      <c r="E5" s="2" t="s">
        <v>72</v>
      </c>
      <c r="G5" s="2">
        <f ca="1" xml:space="preserve"> SUMIFS('Outputs to aggregator'!$R$24:$R$35, 'Outputs to aggregator'!$O$24:$O$35, $A5)</f>
        <v>0</v>
      </c>
      <c r="H5" s="2">
        <f ca="1" xml:space="preserve"> SUMIFS('Outputs to aggregator'!$T$24:$T$35, 'Outputs to aggregator'!$O$24:$O$35, $A5)</f>
        <v>0</v>
      </c>
    </row>
    <row r="6" spans="1:13">
      <c r="A6" s="2" t="s">
        <v>75</v>
      </c>
      <c r="B6" s="2" t="str">
        <f>CONCATENATE("C_", $C$1, "_ENH_WW_TE")</f>
        <v>C_PR24CA57_ENH_WW_TE</v>
      </c>
      <c r="C6" s="2" t="s">
        <v>330</v>
      </c>
      <c r="D6" s="2" t="s">
        <v>78</v>
      </c>
      <c r="E6" s="2" t="s">
        <v>72</v>
      </c>
      <c r="G6" s="2">
        <f ca="1" xml:space="preserve"> SUMIFS('Outputs to aggregator'!$Q$24:$Q$35, 'Outputs to aggregator'!$O$24:$O$35, $A6)</f>
        <v>1.7099999999999997E-2</v>
      </c>
      <c r="H6" s="2">
        <f ca="1" xml:space="preserve"> SUMIFS('Outputs to aggregator'!$S$24:$S$35, 'Outputs to aggregator'!$O$24:$O$35, $A6)</f>
        <v>1.6199999999999999E-2</v>
      </c>
    </row>
    <row r="7" spans="1:13">
      <c r="A7" s="2" t="s">
        <v>75</v>
      </c>
      <c r="B7" s="2" t="str">
        <f xml:space="preserve"> CONCATENATE("PR24QA_",  $C$1, "_OUT1")</f>
        <v>PR24QA_PR24CA57_OUT1</v>
      </c>
      <c r="C7" s="2" t="str">
        <f xml:space="preserve"> CONCATENATE("Date &amp; Time for Model - ", $C$1)</f>
        <v>Date &amp; Time for Model - PR24CA57</v>
      </c>
      <c r="D7" s="2" t="s">
        <v>331</v>
      </c>
      <c r="E7" s="2" t="s">
        <v>72</v>
      </c>
      <c r="F7" s="2" t="str">
        <f t="shared" ref="F7:M7" ca="1" si="0">CONCATENATE("[…]", TEXT(NOW(),"dd/mm/yyy hh:mm:ss"))</f>
        <v>[…]13/12/2024 12:59:39</v>
      </c>
      <c r="G7" s="2" t="str">
        <f t="shared" ca="1" si="0"/>
        <v>[…]13/12/2024 12:59:39</v>
      </c>
      <c r="H7" s="2" t="str">
        <f t="shared" ca="1" si="0"/>
        <v>[…]13/12/2024 12:59:39</v>
      </c>
      <c r="I7" s="2" t="str">
        <f t="shared" ca="1" si="0"/>
        <v>[…]13/12/2024 12:59:39</v>
      </c>
      <c r="J7" s="2" t="str">
        <f t="shared" ca="1" si="0"/>
        <v>[…]13/12/2024 12:59:39</v>
      </c>
      <c r="K7" s="2" t="str">
        <f t="shared" ca="1" si="0"/>
        <v>[…]13/12/2024 12:59:39</v>
      </c>
      <c r="L7" s="2" t="str">
        <f t="shared" ca="1" si="0"/>
        <v>[…]13/12/2024 12:59:39</v>
      </c>
      <c r="M7" s="2" t="str">
        <f t="shared" ca="1" si="0"/>
        <v>[…]13/12/2024 12:59:39</v>
      </c>
    </row>
    <row r="8" spans="1:13">
      <c r="A8" s="2" t="s">
        <v>75</v>
      </c>
      <c r="B8" s="2" t="str">
        <f xml:space="preserve"> CONCATENATE("PR24QA_",  $C$1, "_OUT2")</f>
        <v>PR24QA_PR24CA57_OUT2</v>
      </c>
      <c r="C8" s="2" t="str">
        <f xml:space="preserve"> CONCATENATE("Name of Model - ", $C$1)</f>
        <v>Name of Model - PR24CA57</v>
      </c>
      <c r="D8" s="2" t="s">
        <v>331</v>
      </c>
      <c r="E8" s="2" t="s">
        <v>72</v>
      </c>
      <c r="F8" s="2" t="str">
        <f t="shared" ref="F8:M8" ca="1" si="1">MID(CELL("filename"),SEARCH("[",CELL("filename"))+1,SEARCH("]",CELL("filename"))-SEARCH("[",CELL("filename"))-1)</f>
        <v>City briefing FD cost allowance graphics.xlsx</v>
      </c>
      <c r="G8" s="2" t="str">
        <f t="shared" ca="1" si="1"/>
        <v>City briefing FD cost allowance graphics.xlsx</v>
      </c>
      <c r="H8" s="2" t="str">
        <f t="shared" ca="1" si="1"/>
        <v>City briefing FD cost allowance graphics.xlsx</v>
      </c>
      <c r="I8" s="2" t="str">
        <f t="shared" ca="1" si="1"/>
        <v>City briefing FD cost allowance graphics.xlsx</v>
      </c>
      <c r="J8" s="2" t="str">
        <f t="shared" ca="1" si="1"/>
        <v>City briefing FD cost allowance graphics.xlsx</v>
      </c>
      <c r="K8" s="2" t="str">
        <f t="shared" ca="1" si="1"/>
        <v>City briefing FD cost allowance graphics.xlsx</v>
      </c>
      <c r="L8" s="2" t="str">
        <f t="shared" ca="1" si="1"/>
        <v>City briefing FD cost allowance graphics.xlsx</v>
      </c>
      <c r="M8" s="2" t="str">
        <f t="shared" ca="1" si="1"/>
        <v>City briefing FD cost allowance graphics.xlsx</v>
      </c>
    </row>
    <row r="9" spans="1:13">
      <c r="A9" s="2" t="s">
        <v>75</v>
      </c>
      <c r="B9" s="2" t="str">
        <f xml:space="preserve"> CONCATENATE("PR24QA_",  $C$1, "_OUT3")</f>
        <v>PR24QA_PR24CA57_OUT3</v>
      </c>
      <c r="C9" s="2" t="str">
        <f xml:space="preserve"> CONCATENATE("F_Inputs time stamp - ", $C$1)</f>
        <v>F_Inputs time stamp - PR24CA57</v>
      </c>
      <c r="D9" s="2" t="s">
        <v>331</v>
      </c>
      <c r="E9" s="2" t="s">
        <v>72</v>
      </c>
      <c r="F9" s="2" t="str">
        <f>F_Inputs!$E$1</f>
        <v>Run on 05 Sep 2024 9:38</v>
      </c>
      <c r="G9" s="2" t="str">
        <f>F_Inputs!$E$1</f>
        <v>Run on 05 Sep 2024 9:38</v>
      </c>
      <c r="H9" s="2" t="str">
        <f>F_Inputs!$E$1</f>
        <v>Run on 05 Sep 2024 9:38</v>
      </c>
      <c r="I9" s="2" t="str">
        <f>F_Inputs!$E$1</f>
        <v>Run on 05 Sep 2024 9:38</v>
      </c>
      <c r="J9" s="2" t="str">
        <f>F_Inputs!$E$1</f>
        <v>Run on 05 Sep 2024 9:38</v>
      </c>
      <c r="K9" s="2" t="str">
        <f>F_Inputs!$E$1</f>
        <v>Run on 05 Sep 2024 9:38</v>
      </c>
      <c r="L9" s="2" t="str">
        <f>F_Inputs!$E$1</f>
        <v>Run on 05 Sep 2024 9:38</v>
      </c>
      <c r="M9" s="2" t="str">
        <f>F_Inputs!$E$1</f>
        <v>Run on 05 Sep 2024 9:38</v>
      </c>
    </row>
    <row r="10" spans="1:13">
      <c r="A10" s="2" t="s">
        <v>75</v>
      </c>
      <c r="B10" s="2" t="str">
        <f xml:space="preserve"> CONCATENATE("PR24QA_",  $C$1, "_OUT4")</f>
        <v>PR24QA_PR24CA57_OUT4</v>
      </c>
      <c r="C10" s="2" t="str">
        <f xml:space="preserve"> CONCATENATE("Model override switch for - ", $C$1)</f>
        <v>Model override switch for - PR24CA57</v>
      </c>
      <c r="D10" s="2" t="s">
        <v>332</v>
      </c>
      <c r="E10" s="2" t="s">
        <v>72</v>
      </c>
      <c r="F10" s="2">
        <f>IF(SUM('F_Input Override'!$F$5:$L$125)&gt;0,1,0)</f>
        <v>1</v>
      </c>
      <c r="G10" s="2">
        <f>IF(SUM('F_Input Override'!$F$5:$L$125)&gt;0,1,0)</f>
        <v>1</v>
      </c>
      <c r="H10" s="2">
        <f>IF(SUM('F_Input Override'!$F$5:$L$125)&gt;0,1,0)</f>
        <v>1</v>
      </c>
      <c r="I10" s="2">
        <f>IF(SUM('F_Input Override'!$F$5:$L$125)&gt;0,1,0)</f>
        <v>1</v>
      </c>
      <c r="J10" s="2">
        <f>IF(SUM('F_Input Override'!$F$5:$L$125)&gt;0,1,0)</f>
        <v>1</v>
      </c>
      <c r="K10" s="2">
        <f>IF(SUM('F_Input Override'!$F$5:$L$125)&gt;0,1,0)</f>
        <v>1</v>
      </c>
      <c r="L10" s="2">
        <f>IF(SUM('F_Input Override'!$F$5:$L$125)&gt;0,1,0)</f>
        <v>1</v>
      </c>
      <c r="M10" s="2">
        <f>IF(SUM('F_Input Override'!$F$5:$L$125)&gt;0,1,0)</f>
        <v>1</v>
      </c>
    </row>
    <row r="11" spans="1:13">
      <c r="A11" s="2" t="s">
        <v>75</v>
      </c>
      <c r="B11" s="2" t="str">
        <f>CONCATENATE("C_", $C$1, "_ENH_WW_ASSESSED")</f>
        <v>C_PR24CA57_ENH_WW_ASSESSED</v>
      </c>
      <c r="C11" s="2" t="str">
        <f>CONCATENATE("Total amount assessed - ", MID($C$4,31,200))</f>
        <v>Total amount assessed - Wastewater - Chemical investigations - Totex</v>
      </c>
      <c r="D11" s="3" t="s">
        <v>78</v>
      </c>
      <c r="E11" s="2" t="s">
        <v>72</v>
      </c>
      <c r="F11" s="2">
        <f ca="1" xml:space="preserve"> SUMIFS(Allowance!$G$16:$G$26, Allowance!$B$16:$B$26, A11)</f>
        <v>25.616999999999997</v>
      </c>
    </row>
    <row r="12" spans="1:13">
      <c r="A12" s="2" t="s">
        <v>96</v>
      </c>
      <c r="B12" s="2" t="str">
        <f>CONCATENATE("C_", $C$1, "_ENH_WW_TOT")</f>
        <v>C_PR24CA57_ENH_WW_TOT</v>
      </c>
      <c r="C12" s="2" t="str">
        <f xml:space="preserve"> $C$4</f>
        <v>Total enhancement allowance - Wastewater - Chemical investigations - Totex</v>
      </c>
      <c r="D12" s="2" t="s">
        <v>78</v>
      </c>
      <c r="E12" s="2" t="s">
        <v>72</v>
      </c>
      <c r="I12" s="2">
        <f ca="1" xml:space="preserve"> SUMIFS('Outputs to aggregator'!U$24:U$35, 'Outputs to aggregator'!$O$24:$O$35, $A12)</f>
        <v>0</v>
      </c>
      <c r="J12" s="2">
        <f ca="1" xml:space="preserve"> SUMIFS('Outputs to aggregator'!V$24:V$35, 'Outputs to aggregator'!$O$24:$O$35, $A12)</f>
        <v>0</v>
      </c>
      <c r="K12" s="2">
        <f ca="1" xml:space="preserve"> SUMIFS('Outputs to aggregator'!W$24:W$35, 'Outputs to aggregator'!$O$24:$O$35, $A12)</f>
        <v>0</v>
      </c>
      <c r="L12" s="2">
        <f ca="1" xml:space="preserve"> SUMIFS('Outputs to aggregator'!X$24:X$35, 'Outputs to aggregator'!$O$24:$O$35, $A12)</f>
        <v>0</v>
      </c>
      <c r="M12" s="2">
        <f ca="1" xml:space="preserve"> SUMIFS('Outputs to aggregator'!Y$24:Y$35, 'Outputs to aggregator'!$O$24:$O$35, $A12)</f>
        <v>0</v>
      </c>
    </row>
    <row r="13" spans="1:13">
      <c r="A13" s="2" t="s">
        <v>96</v>
      </c>
      <c r="B13" s="2" t="str">
        <f>CONCATENATE("C_", $C$1, "_ENH_WW_AP")</f>
        <v>C_PR24CA57_ENH_WW_AP</v>
      </c>
      <c r="C13" s="2" t="str">
        <f xml:space="preserve"> $C$5</f>
        <v>Total enhancement allowance - Wastewater - Chemical investigations - Accelerated programme</v>
      </c>
      <c r="D13" s="2" t="s">
        <v>78</v>
      </c>
      <c r="E13" s="2" t="s">
        <v>72</v>
      </c>
      <c r="G13" s="2">
        <f ca="1" xml:space="preserve"> SUMIFS('Outputs to aggregator'!$R$24:$R$35, 'Outputs to aggregator'!$O$24:$O$35, $A13)</f>
        <v>0</v>
      </c>
      <c r="H13" s="2">
        <f ca="1" xml:space="preserve"> SUMIFS('Outputs to aggregator'!$T$24:$T$35, 'Outputs to aggregator'!$O$24:$O$35, $A13)</f>
        <v>0</v>
      </c>
    </row>
    <row r="14" spans="1:13">
      <c r="A14" s="2" t="s">
        <v>96</v>
      </c>
      <c r="B14" s="2" t="str">
        <f>CONCATENATE("C_", $C$1, "_ENH_WW_TE")</f>
        <v>C_PR24CA57_ENH_WW_TE</v>
      </c>
      <c r="C14" s="2" t="str">
        <f xml:space="preserve"> $C$6</f>
        <v>Total enhancement allowance - Wastewater - Chemical investigations - Transition allowance</v>
      </c>
      <c r="D14" s="2" t="s">
        <v>78</v>
      </c>
      <c r="E14" s="2" t="s">
        <v>72</v>
      </c>
      <c r="G14" s="2">
        <f ca="1" xml:space="preserve"> SUMIFS('Outputs to aggregator'!$Q$24:$Q$35, 'Outputs to aggregator'!$O$24:$O$35, $A14)</f>
        <v>0</v>
      </c>
      <c r="H14" s="2">
        <f ca="1" xml:space="preserve"> SUMIFS('Outputs to aggregator'!$S$24:$S$35, 'Outputs to aggregator'!$O$24:$O$35, $A14)</f>
        <v>0</v>
      </c>
    </row>
    <row r="15" spans="1:13">
      <c r="A15" s="2" t="s">
        <v>96</v>
      </c>
      <c r="B15" s="2" t="str">
        <f xml:space="preserve"> CONCATENATE("PR24QA_",  $C$1, "_OUT1")</f>
        <v>PR24QA_PR24CA57_OUT1</v>
      </c>
      <c r="C15" s="2" t="str">
        <f xml:space="preserve"> CONCATENATE("Date &amp; Time for Model - ", $C$1)</f>
        <v>Date &amp; Time for Model - PR24CA57</v>
      </c>
      <c r="D15" s="2" t="s">
        <v>331</v>
      </c>
      <c r="E15" s="2" t="s">
        <v>72</v>
      </c>
      <c r="F15" s="2" t="str">
        <f t="shared" ref="F15:M15" ca="1" si="2">CONCATENATE("[…]", TEXT(NOW(),"dd/mm/yyy hh:mm:ss"))</f>
        <v>[…]13/12/2024 12:59:39</v>
      </c>
      <c r="G15" s="2" t="str">
        <f t="shared" ca="1" si="2"/>
        <v>[…]13/12/2024 12:59:39</v>
      </c>
      <c r="H15" s="2" t="str">
        <f t="shared" ca="1" si="2"/>
        <v>[…]13/12/2024 12:59:39</v>
      </c>
      <c r="I15" s="2" t="str">
        <f t="shared" ca="1" si="2"/>
        <v>[…]13/12/2024 12:59:39</v>
      </c>
      <c r="J15" s="2" t="str">
        <f t="shared" ca="1" si="2"/>
        <v>[…]13/12/2024 12:59:39</v>
      </c>
      <c r="K15" s="2" t="str">
        <f t="shared" ca="1" si="2"/>
        <v>[…]13/12/2024 12:59:39</v>
      </c>
      <c r="L15" s="2" t="str">
        <f t="shared" ca="1" si="2"/>
        <v>[…]13/12/2024 12:59:39</v>
      </c>
      <c r="M15" s="2" t="str">
        <f t="shared" ca="1" si="2"/>
        <v>[…]13/12/2024 12:59:39</v>
      </c>
    </row>
    <row r="16" spans="1:13">
      <c r="A16" s="2" t="s">
        <v>96</v>
      </c>
      <c r="B16" s="2" t="str">
        <f xml:space="preserve"> CONCATENATE("PR24QA_",  $C$1, "_OUT2")</f>
        <v>PR24QA_PR24CA57_OUT2</v>
      </c>
      <c r="C16" s="2" t="str">
        <f xml:space="preserve"> CONCATENATE("Name of Model - ", $C$1)</f>
        <v>Name of Model - PR24CA57</v>
      </c>
      <c r="D16" s="2" t="s">
        <v>331</v>
      </c>
      <c r="E16" s="2" t="s">
        <v>72</v>
      </c>
      <c r="F16" s="2" t="str">
        <f t="shared" ref="F16:M16" ca="1" si="3">MID(CELL("filename"),SEARCH("[",CELL("filename"))+1,SEARCH("]",CELL("filename"))-SEARCH("[",CELL("filename"))-1)</f>
        <v>City briefing FD cost allowance graphics.xlsx</v>
      </c>
      <c r="G16" s="2" t="str">
        <f t="shared" ca="1" si="3"/>
        <v>City briefing FD cost allowance graphics.xlsx</v>
      </c>
      <c r="H16" s="2" t="str">
        <f t="shared" ca="1" si="3"/>
        <v>City briefing FD cost allowance graphics.xlsx</v>
      </c>
      <c r="I16" s="2" t="str">
        <f t="shared" ca="1" si="3"/>
        <v>City briefing FD cost allowance graphics.xlsx</v>
      </c>
      <c r="J16" s="2" t="str">
        <f t="shared" ca="1" si="3"/>
        <v>City briefing FD cost allowance graphics.xlsx</v>
      </c>
      <c r="K16" s="2" t="str">
        <f t="shared" ca="1" si="3"/>
        <v>City briefing FD cost allowance graphics.xlsx</v>
      </c>
      <c r="L16" s="2" t="str">
        <f t="shared" ca="1" si="3"/>
        <v>City briefing FD cost allowance graphics.xlsx</v>
      </c>
      <c r="M16" s="2" t="str">
        <f t="shared" ca="1" si="3"/>
        <v>City briefing FD cost allowance graphics.xlsx</v>
      </c>
    </row>
    <row r="17" spans="1:13">
      <c r="A17" s="2" t="s">
        <v>96</v>
      </c>
      <c r="B17" s="2" t="str">
        <f xml:space="preserve"> CONCATENATE("PR24QA_",  $C$1, "_OUT3")</f>
        <v>PR24QA_PR24CA57_OUT3</v>
      </c>
      <c r="C17" s="2" t="str">
        <f xml:space="preserve"> CONCATENATE("F_Inputs time stamp - ", $C$1)</f>
        <v>F_Inputs time stamp - PR24CA57</v>
      </c>
      <c r="D17" s="2" t="s">
        <v>331</v>
      </c>
      <c r="E17" s="2" t="s">
        <v>72</v>
      </c>
      <c r="F17" s="2" t="str">
        <f>F_Inputs!$E$1</f>
        <v>Run on 05 Sep 2024 9:38</v>
      </c>
      <c r="G17" s="2" t="str">
        <f>F_Inputs!$E$1</f>
        <v>Run on 05 Sep 2024 9:38</v>
      </c>
      <c r="H17" s="2" t="str">
        <f>F_Inputs!$E$1</f>
        <v>Run on 05 Sep 2024 9:38</v>
      </c>
      <c r="I17" s="2" t="str">
        <f>F_Inputs!$E$1</f>
        <v>Run on 05 Sep 2024 9:38</v>
      </c>
      <c r="J17" s="2" t="str">
        <f>F_Inputs!$E$1</f>
        <v>Run on 05 Sep 2024 9:38</v>
      </c>
      <c r="K17" s="2" t="str">
        <f>F_Inputs!$E$1</f>
        <v>Run on 05 Sep 2024 9:38</v>
      </c>
      <c r="L17" s="2" t="str">
        <f>F_Inputs!$E$1</f>
        <v>Run on 05 Sep 2024 9:38</v>
      </c>
      <c r="M17" s="2" t="str">
        <f>F_Inputs!$E$1</f>
        <v>Run on 05 Sep 2024 9:38</v>
      </c>
    </row>
    <row r="18" spans="1:13">
      <c r="A18" s="2" t="s">
        <v>96</v>
      </c>
      <c r="B18" s="2" t="str">
        <f xml:space="preserve"> CONCATENATE("PR24QA_",  $C$1, "_OUT4")</f>
        <v>PR24QA_PR24CA57_OUT4</v>
      </c>
      <c r="C18" s="2" t="str">
        <f xml:space="preserve"> CONCATENATE("Model override switch for - ", $C$1)</f>
        <v>Model override switch for - PR24CA57</v>
      </c>
      <c r="D18" s="2" t="s">
        <v>332</v>
      </c>
      <c r="E18" s="2" t="s">
        <v>72</v>
      </c>
      <c r="F18" s="2">
        <f>IF(SUM('F_Input Override'!$F$5:$L$125)&gt;0,1,0)</f>
        <v>1</v>
      </c>
      <c r="G18" s="2">
        <f>IF(SUM('F_Input Override'!$F$5:$L$125)&gt;0,1,0)</f>
        <v>1</v>
      </c>
      <c r="H18" s="2">
        <f>IF(SUM('F_Input Override'!$F$5:$L$125)&gt;0,1,0)</f>
        <v>1</v>
      </c>
      <c r="I18" s="2">
        <f>IF(SUM('F_Input Override'!$F$5:$L$125)&gt;0,1,0)</f>
        <v>1</v>
      </c>
      <c r="J18" s="2">
        <f>IF(SUM('F_Input Override'!$F$5:$L$125)&gt;0,1,0)</f>
        <v>1</v>
      </c>
      <c r="K18" s="2">
        <f>IF(SUM('F_Input Override'!$F$5:$L$125)&gt;0,1,0)</f>
        <v>1</v>
      </c>
      <c r="L18" s="2">
        <f>IF(SUM('F_Input Override'!$F$5:$L$125)&gt;0,1,0)</f>
        <v>1</v>
      </c>
      <c r="M18" s="2">
        <f>IF(SUM('F_Input Override'!$F$5:$L$125)&gt;0,1,0)</f>
        <v>1</v>
      </c>
    </row>
    <row r="19" spans="1:13">
      <c r="A19" s="2" t="s">
        <v>96</v>
      </c>
      <c r="B19" s="2" t="str">
        <f>CONCATENATE("C_", $C$1, "_ENH_WW_ASSESSED")</f>
        <v>C_PR24CA57_ENH_WW_ASSESSED</v>
      </c>
      <c r="C19" s="2" t="str">
        <f>CONCATENATE("Total amount assessed - ", MID($C$4,31,200))</f>
        <v>Total amount assessed - Wastewater - Chemical investigations - Totex</v>
      </c>
      <c r="D19" s="3" t="s">
        <v>78</v>
      </c>
      <c r="E19" s="2" t="s">
        <v>72</v>
      </c>
      <c r="F19" s="2">
        <f ca="1" xml:space="preserve"> SUMIFS(Allowance!$G$16:$G$26, Allowance!$B$16:$B$26, A19)</f>
        <v>0</v>
      </c>
    </row>
    <row r="20" spans="1:13">
      <c r="A20" s="2" t="s">
        <v>97</v>
      </c>
      <c r="B20" s="2" t="str">
        <f>CONCATENATE("C_", $C$1, "_ENH_WW_TOT")</f>
        <v>C_PR24CA57_ENH_WW_TOT</v>
      </c>
      <c r="C20" s="2" t="str">
        <f xml:space="preserve"> $C$4</f>
        <v>Total enhancement allowance - Wastewater - Chemical investigations - Totex</v>
      </c>
      <c r="D20" s="2" t="s">
        <v>78</v>
      </c>
      <c r="E20" s="2" t="s">
        <v>72</v>
      </c>
      <c r="I20" s="2">
        <f ca="1" xml:space="preserve"> SUMIFS('Outputs to aggregator'!U$24:U$35, 'Outputs to aggregator'!$O$24:$O$35, $A20)</f>
        <v>2.6019999999999999</v>
      </c>
      <c r="J20" s="2">
        <f ca="1" xml:space="preserve"> SUMIFS('Outputs to aggregator'!V$24:V$35, 'Outputs to aggregator'!$O$24:$O$35, $A20)</f>
        <v>2.6019999999999999</v>
      </c>
      <c r="K20" s="2">
        <f ca="1" xml:space="preserve"> SUMIFS('Outputs to aggregator'!W$24:W$35, 'Outputs to aggregator'!$O$24:$O$35, $A20)</f>
        <v>0</v>
      </c>
      <c r="L20" s="2">
        <f ca="1" xml:space="preserve"> SUMIFS('Outputs to aggregator'!X$24:X$35, 'Outputs to aggregator'!$O$24:$O$35, $A20)</f>
        <v>0</v>
      </c>
      <c r="M20" s="2">
        <f ca="1" xml:space="preserve"> SUMIFS('Outputs to aggregator'!Y$24:Y$35, 'Outputs to aggregator'!$O$24:$O$35, $A20)</f>
        <v>0</v>
      </c>
    </row>
    <row r="21" spans="1:13">
      <c r="A21" s="2" t="s">
        <v>97</v>
      </c>
      <c r="B21" s="2" t="str">
        <f>CONCATENATE("C_", $C$1, "_ENH_WW_AP")</f>
        <v>C_PR24CA57_ENH_WW_AP</v>
      </c>
      <c r="C21" s="2" t="str">
        <f xml:space="preserve"> $C$5</f>
        <v>Total enhancement allowance - Wastewater - Chemical investigations - Accelerated programme</v>
      </c>
      <c r="D21" s="2" t="s">
        <v>78</v>
      </c>
      <c r="E21" s="2" t="s">
        <v>72</v>
      </c>
      <c r="G21" s="2">
        <f ca="1" xml:space="preserve"> SUMIFS('Outputs to aggregator'!$R$24:$R$35, 'Outputs to aggregator'!$O$24:$O$35, $A21)</f>
        <v>0</v>
      </c>
      <c r="H21" s="2">
        <f ca="1" xml:space="preserve"> SUMIFS('Outputs to aggregator'!$T$24:$T$35, 'Outputs to aggregator'!$O$24:$O$35, $A21)</f>
        <v>0</v>
      </c>
    </row>
    <row r="22" spans="1:13">
      <c r="A22" s="2" t="s">
        <v>97</v>
      </c>
      <c r="B22" s="2" t="str">
        <f>CONCATENATE("C_", $C$1, "_ENH_WW_TE")</f>
        <v>C_PR24CA57_ENH_WW_TE</v>
      </c>
      <c r="C22" s="2" t="str">
        <f xml:space="preserve"> $C$6</f>
        <v>Total enhancement allowance - Wastewater - Chemical investigations - Transition allowance</v>
      </c>
      <c r="D22" s="2" t="s">
        <v>78</v>
      </c>
      <c r="E22" s="2" t="s">
        <v>72</v>
      </c>
      <c r="G22" s="2">
        <f ca="1" xml:space="preserve"> SUMIFS('Outputs to aggregator'!$Q$24:$Q$35, 'Outputs to aggregator'!$O$24:$O$35, $A22)</f>
        <v>0.03</v>
      </c>
      <c r="H22" s="2">
        <f ca="1" xml:space="preserve"> SUMIFS('Outputs to aggregator'!$S$24:$S$35, 'Outputs to aggregator'!$O$24:$O$35, $A22)</f>
        <v>0.03</v>
      </c>
    </row>
    <row r="23" spans="1:13">
      <c r="A23" s="2" t="s">
        <v>97</v>
      </c>
      <c r="B23" s="2" t="str">
        <f xml:space="preserve"> CONCATENATE("PR24QA_",  $C$1, "_OUT1")</f>
        <v>PR24QA_PR24CA57_OUT1</v>
      </c>
      <c r="C23" s="2" t="str">
        <f xml:space="preserve"> CONCATENATE("Date &amp; Time for Model - ", $C$1)</f>
        <v>Date &amp; Time for Model - PR24CA57</v>
      </c>
      <c r="D23" s="2" t="s">
        <v>331</v>
      </c>
      <c r="E23" s="2" t="s">
        <v>72</v>
      </c>
      <c r="F23" s="2" t="str">
        <f t="shared" ref="F23:M23" ca="1" si="4">CONCATENATE("[…]", TEXT(NOW(),"dd/mm/yyy hh:mm:ss"))</f>
        <v>[…]13/12/2024 12:59:39</v>
      </c>
      <c r="G23" s="2" t="str">
        <f t="shared" ca="1" si="4"/>
        <v>[…]13/12/2024 12:59:39</v>
      </c>
      <c r="H23" s="2" t="str">
        <f t="shared" ca="1" si="4"/>
        <v>[…]13/12/2024 12:59:39</v>
      </c>
      <c r="I23" s="2" t="str">
        <f t="shared" ca="1" si="4"/>
        <v>[…]13/12/2024 12:59:39</v>
      </c>
      <c r="J23" s="2" t="str">
        <f t="shared" ca="1" si="4"/>
        <v>[…]13/12/2024 12:59:39</v>
      </c>
      <c r="K23" s="2" t="str">
        <f t="shared" ca="1" si="4"/>
        <v>[…]13/12/2024 12:59:39</v>
      </c>
      <c r="L23" s="2" t="str">
        <f t="shared" ca="1" si="4"/>
        <v>[…]13/12/2024 12:59:39</v>
      </c>
      <c r="M23" s="2" t="str">
        <f t="shared" ca="1" si="4"/>
        <v>[…]13/12/2024 12:59:39</v>
      </c>
    </row>
    <row r="24" spans="1:13">
      <c r="A24" s="2" t="s">
        <v>97</v>
      </c>
      <c r="B24" s="2" t="str">
        <f xml:space="preserve"> CONCATENATE("PR24QA_",  $C$1, "_OUT2")</f>
        <v>PR24QA_PR24CA57_OUT2</v>
      </c>
      <c r="C24" s="2" t="str">
        <f xml:space="preserve"> CONCATENATE("Name of Model - ", $C$1)</f>
        <v>Name of Model - PR24CA57</v>
      </c>
      <c r="D24" s="2" t="s">
        <v>331</v>
      </c>
      <c r="E24" s="2" t="s">
        <v>72</v>
      </c>
      <c r="F24" s="2" t="str">
        <f t="shared" ref="F24:M24" ca="1" si="5">MID(CELL("filename"),SEARCH("[",CELL("filename"))+1,SEARCH("]",CELL("filename"))-SEARCH("[",CELL("filename"))-1)</f>
        <v>City briefing FD cost allowance graphics.xlsx</v>
      </c>
      <c r="G24" s="2" t="str">
        <f t="shared" ca="1" si="5"/>
        <v>City briefing FD cost allowance graphics.xlsx</v>
      </c>
      <c r="H24" s="2" t="str">
        <f t="shared" ca="1" si="5"/>
        <v>City briefing FD cost allowance graphics.xlsx</v>
      </c>
      <c r="I24" s="2" t="str">
        <f t="shared" ca="1" si="5"/>
        <v>City briefing FD cost allowance graphics.xlsx</v>
      </c>
      <c r="J24" s="2" t="str">
        <f t="shared" ca="1" si="5"/>
        <v>City briefing FD cost allowance graphics.xlsx</v>
      </c>
      <c r="K24" s="2" t="str">
        <f t="shared" ca="1" si="5"/>
        <v>City briefing FD cost allowance graphics.xlsx</v>
      </c>
      <c r="L24" s="2" t="str">
        <f t="shared" ca="1" si="5"/>
        <v>City briefing FD cost allowance graphics.xlsx</v>
      </c>
      <c r="M24" s="2" t="str">
        <f t="shared" ca="1" si="5"/>
        <v>City briefing FD cost allowance graphics.xlsx</v>
      </c>
    </row>
    <row r="25" spans="1:13">
      <c r="A25" s="2" t="s">
        <v>97</v>
      </c>
      <c r="B25" s="2" t="str">
        <f xml:space="preserve"> CONCATENATE("PR24QA_",  $C$1, "_OUT3")</f>
        <v>PR24QA_PR24CA57_OUT3</v>
      </c>
      <c r="C25" s="2" t="str">
        <f xml:space="preserve"> CONCATENATE("F_Inputs time stamp - ", $C$1)</f>
        <v>F_Inputs time stamp - PR24CA57</v>
      </c>
      <c r="D25" s="2" t="s">
        <v>331</v>
      </c>
      <c r="E25" s="2" t="s">
        <v>72</v>
      </c>
      <c r="F25" s="2" t="str">
        <f>F_Inputs!$E$1</f>
        <v>Run on 05 Sep 2024 9:38</v>
      </c>
      <c r="G25" s="2" t="str">
        <f>F_Inputs!$E$1</f>
        <v>Run on 05 Sep 2024 9:38</v>
      </c>
      <c r="H25" s="2" t="str">
        <f>F_Inputs!$E$1</f>
        <v>Run on 05 Sep 2024 9:38</v>
      </c>
      <c r="I25" s="2" t="str">
        <f>F_Inputs!$E$1</f>
        <v>Run on 05 Sep 2024 9:38</v>
      </c>
      <c r="J25" s="2" t="str">
        <f>F_Inputs!$E$1</f>
        <v>Run on 05 Sep 2024 9:38</v>
      </c>
      <c r="K25" s="2" t="str">
        <f>F_Inputs!$E$1</f>
        <v>Run on 05 Sep 2024 9:38</v>
      </c>
      <c r="L25" s="2" t="str">
        <f>F_Inputs!$E$1</f>
        <v>Run on 05 Sep 2024 9:38</v>
      </c>
      <c r="M25" s="2" t="str">
        <f>F_Inputs!$E$1</f>
        <v>Run on 05 Sep 2024 9:38</v>
      </c>
    </row>
    <row r="26" spans="1:13">
      <c r="A26" s="2" t="s">
        <v>97</v>
      </c>
      <c r="B26" s="2" t="str">
        <f xml:space="preserve"> CONCATENATE("PR24QA_",  $C$1, "_OUT4")</f>
        <v>PR24QA_PR24CA57_OUT4</v>
      </c>
      <c r="C26" s="2" t="str">
        <f xml:space="preserve"> CONCATENATE("Model override switch for - ", $C$1)</f>
        <v>Model override switch for - PR24CA57</v>
      </c>
      <c r="D26" s="2" t="s">
        <v>332</v>
      </c>
      <c r="E26" s="2" t="s">
        <v>72</v>
      </c>
      <c r="F26" s="2">
        <f>IF(SUM('F_Input Override'!$F$5:$L$125)&gt;0,1,0)</f>
        <v>1</v>
      </c>
      <c r="G26" s="2">
        <f>IF(SUM('F_Input Override'!$F$5:$L$125)&gt;0,1,0)</f>
        <v>1</v>
      </c>
      <c r="H26" s="2">
        <f>IF(SUM('F_Input Override'!$F$5:$L$125)&gt;0,1,0)</f>
        <v>1</v>
      </c>
      <c r="I26" s="2">
        <f>IF(SUM('F_Input Override'!$F$5:$L$125)&gt;0,1,0)</f>
        <v>1</v>
      </c>
      <c r="J26" s="2">
        <f>IF(SUM('F_Input Override'!$F$5:$L$125)&gt;0,1,0)</f>
        <v>1</v>
      </c>
      <c r="K26" s="2">
        <f>IF(SUM('F_Input Override'!$F$5:$L$125)&gt;0,1,0)</f>
        <v>1</v>
      </c>
      <c r="L26" s="2">
        <f>IF(SUM('F_Input Override'!$F$5:$L$125)&gt;0,1,0)</f>
        <v>1</v>
      </c>
      <c r="M26" s="2">
        <f>IF(SUM('F_Input Override'!$F$5:$L$125)&gt;0,1,0)</f>
        <v>1</v>
      </c>
    </row>
    <row r="27" spans="1:13">
      <c r="A27" s="2" t="s">
        <v>97</v>
      </c>
      <c r="B27" s="2" t="str">
        <f>CONCATENATE("C_", $C$1, "_ENH_WW_ASSESSED")</f>
        <v>C_PR24CA57_ENH_WW_ASSESSED</v>
      </c>
      <c r="C27" s="2" t="str">
        <f>CONCATENATE("Total amount assessed - ", MID($C$4,31,200))</f>
        <v>Total amount assessed - Wastewater - Chemical investigations - Totex</v>
      </c>
      <c r="D27" s="3" t="s">
        <v>78</v>
      </c>
      <c r="E27" s="2" t="s">
        <v>72</v>
      </c>
      <c r="F27" s="2">
        <f ca="1" xml:space="preserve"> SUMIFS(Allowance!$G$16:$G$26, Allowance!$B$16:$B$26, A27)</f>
        <v>5.2639999999999993</v>
      </c>
    </row>
    <row r="28" spans="1:13">
      <c r="A28" s="2" t="s">
        <v>102</v>
      </c>
      <c r="B28" s="2" t="str">
        <f>CONCATENATE("C_", $C$1, "_ENH_WW_TOT")</f>
        <v>C_PR24CA57_ENH_WW_TOT</v>
      </c>
      <c r="C28" s="2" t="str">
        <f xml:space="preserve"> $C$4</f>
        <v>Total enhancement allowance - Wastewater - Chemical investigations - Totex</v>
      </c>
      <c r="D28" s="2" t="s">
        <v>78</v>
      </c>
      <c r="E28" s="2" t="s">
        <v>72</v>
      </c>
      <c r="I28" s="2">
        <f ca="1" xml:space="preserve"> SUMIFS('Outputs to aggregator'!U$24:U$35, 'Outputs to aggregator'!$O$24:$O$35, $A28)</f>
        <v>3.24249915219084</v>
      </c>
      <c r="J28" s="2">
        <f ca="1" xml:space="preserve"> SUMIFS('Outputs to aggregator'!V$24:V$35, 'Outputs to aggregator'!$O$24:$O$35, $A28)</f>
        <v>2.6817578802497515</v>
      </c>
      <c r="K28" s="2">
        <f ca="1" xml:space="preserve"> SUMIFS('Outputs to aggregator'!W$24:W$35, 'Outputs to aggregator'!$O$24:$O$35, $A28)</f>
        <v>3.4002496492784327E-2</v>
      </c>
      <c r="L28" s="2">
        <f ca="1" xml:space="preserve"> SUMIFS('Outputs to aggregator'!X$24:X$35, 'Outputs to aggregator'!$O$24:$O$35, $A28)</f>
        <v>5.6356616175938533E-2</v>
      </c>
      <c r="M28" s="2">
        <f ca="1" xml:space="preserve"> SUMIFS('Outputs to aggregator'!Y$24:Y$35, 'Outputs to aggregator'!$O$24:$O$35, $A28)</f>
        <v>3.4621007874756547E-2</v>
      </c>
    </row>
    <row r="29" spans="1:13">
      <c r="A29" s="2" t="s">
        <v>102</v>
      </c>
      <c r="B29" s="2" t="str">
        <f>CONCATENATE("C_", $C$1, "_ENH_WW_AP")</f>
        <v>C_PR24CA57_ENH_WW_AP</v>
      </c>
      <c r="C29" s="2" t="str">
        <f xml:space="preserve"> $C$5</f>
        <v>Total enhancement allowance - Wastewater - Chemical investigations - Accelerated programme</v>
      </c>
      <c r="D29" s="2" t="s">
        <v>78</v>
      </c>
      <c r="E29" s="2" t="s">
        <v>72</v>
      </c>
      <c r="G29" s="2">
        <f ca="1" xml:space="preserve"> SUMIFS('Outputs to aggregator'!$R$24:$R$35, 'Outputs to aggregator'!$O$24:$O$35, $A29)</f>
        <v>0</v>
      </c>
      <c r="H29" s="2">
        <f ca="1" xml:space="preserve"> SUMIFS('Outputs to aggregator'!$T$24:$T$35, 'Outputs to aggregator'!$O$24:$O$35, $A29)</f>
        <v>0</v>
      </c>
    </row>
    <row r="30" spans="1:13">
      <c r="A30" s="2" t="s">
        <v>102</v>
      </c>
      <c r="B30" s="2" t="str">
        <f>CONCATENATE("C_", $C$1, "_ENH_WW_TE")</f>
        <v>C_PR24CA57_ENH_WW_TE</v>
      </c>
      <c r="C30" s="2" t="str">
        <f xml:space="preserve"> $C$6</f>
        <v>Total enhancement allowance - Wastewater - Chemical investigations - Transition allowance</v>
      </c>
      <c r="D30" s="2" t="s">
        <v>78</v>
      </c>
      <c r="E30" s="2" t="s">
        <v>72</v>
      </c>
      <c r="G30" s="2">
        <f ca="1" xml:space="preserve"> SUMIFS('Outputs to aggregator'!$Q$24:$Q$35, 'Outputs to aggregator'!$O$24:$O$35, $A30)</f>
        <v>0.31084484288372688</v>
      </c>
      <c r="H30" s="2">
        <f ca="1" xml:space="preserve"> SUMIFS('Outputs to aggregator'!$S$24:$S$35, 'Outputs to aggregator'!$O$24:$O$35, $A30)</f>
        <v>2.019469543117149</v>
      </c>
    </row>
    <row r="31" spans="1:13">
      <c r="A31" s="2" t="s">
        <v>102</v>
      </c>
      <c r="B31" s="2" t="str">
        <f xml:space="preserve"> CONCATENATE("PR24QA_",  $C$1, "_OUT1")</f>
        <v>PR24QA_PR24CA57_OUT1</v>
      </c>
      <c r="C31" s="2" t="str">
        <f xml:space="preserve"> CONCATENATE("Date &amp; Time for Model - ", $C$1)</f>
        <v>Date &amp; Time for Model - PR24CA57</v>
      </c>
      <c r="D31" s="2" t="s">
        <v>331</v>
      </c>
      <c r="E31" s="2" t="s">
        <v>72</v>
      </c>
      <c r="F31" s="2" t="str">
        <f t="shared" ref="F31:M31" ca="1" si="6">CONCATENATE("[…]", TEXT(NOW(),"dd/mm/yyy hh:mm:ss"))</f>
        <v>[…]13/12/2024 12:59:39</v>
      </c>
      <c r="G31" s="2" t="str">
        <f t="shared" ca="1" si="6"/>
        <v>[…]13/12/2024 12:59:39</v>
      </c>
      <c r="H31" s="2" t="str">
        <f t="shared" ca="1" si="6"/>
        <v>[…]13/12/2024 12:59:39</v>
      </c>
      <c r="I31" s="2" t="str">
        <f t="shared" ca="1" si="6"/>
        <v>[…]13/12/2024 12:59:39</v>
      </c>
      <c r="J31" s="2" t="str">
        <f t="shared" ca="1" si="6"/>
        <v>[…]13/12/2024 12:59:39</v>
      </c>
      <c r="K31" s="2" t="str">
        <f t="shared" ca="1" si="6"/>
        <v>[…]13/12/2024 12:59:39</v>
      </c>
      <c r="L31" s="2" t="str">
        <f t="shared" ca="1" si="6"/>
        <v>[…]13/12/2024 12:59:39</v>
      </c>
      <c r="M31" s="2" t="str">
        <f t="shared" ca="1" si="6"/>
        <v>[…]13/12/2024 12:59:39</v>
      </c>
    </row>
    <row r="32" spans="1:13">
      <c r="A32" s="2" t="s">
        <v>102</v>
      </c>
      <c r="B32" s="2" t="str">
        <f xml:space="preserve"> CONCATENATE("PR24QA_",  $C$1, "_OUT2")</f>
        <v>PR24QA_PR24CA57_OUT2</v>
      </c>
      <c r="C32" s="2" t="str">
        <f xml:space="preserve"> CONCATENATE("Name of Model - ", $C$1)</f>
        <v>Name of Model - PR24CA57</v>
      </c>
      <c r="D32" s="2" t="s">
        <v>331</v>
      </c>
      <c r="E32" s="2" t="s">
        <v>72</v>
      </c>
      <c r="F32" s="2" t="str">
        <f t="shared" ref="F32:M32" ca="1" si="7">MID(CELL("filename"),SEARCH("[",CELL("filename"))+1,SEARCH("]",CELL("filename"))-SEARCH("[",CELL("filename"))-1)</f>
        <v>City briefing FD cost allowance graphics.xlsx</v>
      </c>
      <c r="G32" s="2" t="str">
        <f t="shared" ca="1" si="7"/>
        <v>City briefing FD cost allowance graphics.xlsx</v>
      </c>
      <c r="H32" s="2" t="str">
        <f t="shared" ca="1" si="7"/>
        <v>City briefing FD cost allowance graphics.xlsx</v>
      </c>
      <c r="I32" s="2" t="str">
        <f t="shared" ca="1" si="7"/>
        <v>City briefing FD cost allowance graphics.xlsx</v>
      </c>
      <c r="J32" s="2" t="str">
        <f t="shared" ca="1" si="7"/>
        <v>City briefing FD cost allowance graphics.xlsx</v>
      </c>
      <c r="K32" s="2" t="str">
        <f t="shared" ca="1" si="7"/>
        <v>City briefing FD cost allowance graphics.xlsx</v>
      </c>
      <c r="L32" s="2" t="str">
        <f t="shared" ca="1" si="7"/>
        <v>City briefing FD cost allowance graphics.xlsx</v>
      </c>
      <c r="M32" s="2" t="str">
        <f t="shared" ca="1" si="7"/>
        <v>City briefing FD cost allowance graphics.xlsx</v>
      </c>
    </row>
    <row r="33" spans="1:13">
      <c r="A33" s="2" t="s">
        <v>102</v>
      </c>
      <c r="B33" s="2" t="str">
        <f xml:space="preserve"> CONCATENATE("PR24QA_",  $C$1, "_OUT3")</f>
        <v>PR24QA_PR24CA57_OUT3</v>
      </c>
      <c r="C33" s="2" t="str">
        <f xml:space="preserve"> CONCATENATE("F_Inputs time stamp - ", $C$1)</f>
        <v>F_Inputs time stamp - PR24CA57</v>
      </c>
      <c r="D33" s="2" t="s">
        <v>331</v>
      </c>
      <c r="E33" s="2" t="s">
        <v>72</v>
      </c>
      <c r="F33" s="2" t="str">
        <f>F_Inputs!$E$1</f>
        <v>Run on 05 Sep 2024 9:38</v>
      </c>
      <c r="G33" s="2" t="str">
        <f>F_Inputs!$E$1</f>
        <v>Run on 05 Sep 2024 9:38</v>
      </c>
      <c r="H33" s="2" t="str">
        <f>F_Inputs!$E$1</f>
        <v>Run on 05 Sep 2024 9:38</v>
      </c>
      <c r="I33" s="2" t="str">
        <f>F_Inputs!$E$1</f>
        <v>Run on 05 Sep 2024 9:38</v>
      </c>
      <c r="J33" s="2" t="str">
        <f>F_Inputs!$E$1</f>
        <v>Run on 05 Sep 2024 9:38</v>
      </c>
      <c r="K33" s="2" t="str">
        <f>F_Inputs!$E$1</f>
        <v>Run on 05 Sep 2024 9:38</v>
      </c>
      <c r="L33" s="2" t="str">
        <f>F_Inputs!$E$1</f>
        <v>Run on 05 Sep 2024 9:38</v>
      </c>
      <c r="M33" s="2" t="str">
        <f>F_Inputs!$E$1</f>
        <v>Run on 05 Sep 2024 9:38</v>
      </c>
    </row>
    <row r="34" spans="1:13">
      <c r="A34" s="2" t="s">
        <v>102</v>
      </c>
      <c r="B34" s="2" t="str">
        <f xml:space="preserve"> CONCATENATE("PR24QA_",  $C$1, "_OUT4")</f>
        <v>PR24QA_PR24CA57_OUT4</v>
      </c>
      <c r="C34" s="2" t="str">
        <f xml:space="preserve"> CONCATENATE("Model override switch for - ", $C$1)</f>
        <v>Model override switch for - PR24CA57</v>
      </c>
      <c r="D34" s="2" t="s">
        <v>332</v>
      </c>
      <c r="E34" s="2" t="s">
        <v>72</v>
      </c>
      <c r="F34" s="2">
        <f>IF(SUM('F_Input Override'!$F$5:$L$125)&gt;0,1,0)</f>
        <v>1</v>
      </c>
      <c r="G34" s="2">
        <f>IF(SUM('F_Input Override'!$F$5:$L$125)&gt;0,1,0)</f>
        <v>1</v>
      </c>
      <c r="H34" s="2">
        <f>IF(SUM('F_Input Override'!$F$5:$L$125)&gt;0,1,0)</f>
        <v>1</v>
      </c>
      <c r="I34" s="2">
        <f>IF(SUM('F_Input Override'!$F$5:$L$125)&gt;0,1,0)</f>
        <v>1</v>
      </c>
      <c r="J34" s="2">
        <f>IF(SUM('F_Input Override'!$F$5:$L$125)&gt;0,1,0)</f>
        <v>1</v>
      </c>
      <c r="K34" s="2">
        <f>IF(SUM('F_Input Override'!$F$5:$L$125)&gt;0,1,0)</f>
        <v>1</v>
      </c>
      <c r="L34" s="2">
        <f>IF(SUM('F_Input Override'!$F$5:$L$125)&gt;0,1,0)</f>
        <v>1</v>
      </c>
      <c r="M34" s="2">
        <f>IF(SUM('F_Input Override'!$F$5:$L$125)&gt;0,1,0)</f>
        <v>1</v>
      </c>
    </row>
    <row r="35" spans="1:13">
      <c r="A35" s="2" t="s">
        <v>102</v>
      </c>
      <c r="B35" s="2" t="str">
        <f>CONCATENATE("C_", $C$1, "_ENH_WW_ASSESSED")</f>
        <v>C_PR24CA57_ENH_WW_ASSESSED</v>
      </c>
      <c r="C35" s="2" t="str">
        <f>CONCATENATE("Total amount assessed - ", MID($C$4,31,200))</f>
        <v>Total amount assessed - Wastewater - Chemical investigations - Totex</v>
      </c>
      <c r="D35" s="3" t="s">
        <v>78</v>
      </c>
      <c r="E35" s="2" t="s">
        <v>72</v>
      </c>
      <c r="F35" s="2">
        <f ca="1" xml:space="preserve"> SUMIFS(Allowance!$G$16:$G$26, Allowance!$B$16:$B$26, A35)</f>
        <v>8.3795515389849449</v>
      </c>
    </row>
    <row r="36" spans="1:13">
      <c r="A36" s="2" t="s">
        <v>100</v>
      </c>
      <c r="B36" s="2" t="str">
        <f>CONCATENATE("C_", $C$1, "_ENH_WW_TOT")</f>
        <v>C_PR24CA57_ENH_WW_TOT</v>
      </c>
      <c r="C36" s="2" t="str">
        <f xml:space="preserve"> $C$4</f>
        <v>Total enhancement allowance - Wastewater - Chemical investigations - Totex</v>
      </c>
      <c r="D36" s="2" t="s">
        <v>78</v>
      </c>
      <c r="E36" s="2" t="s">
        <v>72</v>
      </c>
      <c r="I36" s="2">
        <f ca="1" xml:space="preserve"> SUMIFS('Outputs to aggregator'!U$24:U$35, 'Outputs to aggregator'!$O$24:$O$35, $A36)</f>
        <v>0.70899999999999996</v>
      </c>
      <c r="J36" s="2">
        <f ca="1" xml:space="preserve"> SUMIFS('Outputs to aggregator'!V$24:V$35, 'Outputs to aggregator'!$O$24:$O$35, $A36)</f>
        <v>1.4750000000000001</v>
      </c>
      <c r="K36" s="2">
        <f ca="1" xml:space="preserve"> SUMIFS('Outputs to aggregator'!W$24:W$35, 'Outputs to aggregator'!$O$24:$O$35, $A36)</f>
        <v>5.5E-2</v>
      </c>
      <c r="L36" s="2">
        <f ca="1" xml:space="preserve"> SUMIFS('Outputs to aggregator'!X$24:X$35, 'Outputs to aggregator'!$O$24:$O$35, $A36)</f>
        <v>0</v>
      </c>
      <c r="M36" s="2">
        <f ca="1" xml:space="preserve"> SUMIFS('Outputs to aggregator'!Y$24:Y$35, 'Outputs to aggregator'!$O$24:$O$35, $A36)</f>
        <v>0</v>
      </c>
    </row>
    <row r="37" spans="1:13">
      <c r="A37" s="2" t="s">
        <v>100</v>
      </c>
      <c r="B37" s="2" t="str">
        <f>CONCATENATE("C_", $C$1, "_ENH_WW_AP")</f>
        <v>C_PR24CA57_ENH_WW_AP</v>
      </c>
      <c r="C37" s="2" t="str">
        <f xml:space="preserve"> $C$5</f>
        <v>Total enhancement allowance - Wastewater - Chemical investigations - Accelerated programme</v>
      </c>
      <c r="D37" s="2" t="s">
        <v>78</v>
      </c>
      <c r="E37" s="2" t="s">
        <v>72</v>
      </c>
      <c r="G37" s="2">
        <f ca="1" xml:space="preserve"> SUMIFS('Outputs to aggregator'!$R$24:$R$35, 'Outputs to aggregator'!$O$24:$O$35, $A37)</f>
        <v>0</v>
      </c>
      <c r="H37" s="2">
        <f ca="1" xml:space="preserve"> SUMIFS('Outputs to aggregator'!$T$24:$T$35, 'Outputs to aggregator'!$O$24:$O$35, $A37)</f>
        <v>0</v>
      </c>
    </row>
    <row r="38" spans="1:13">
      <c r="A38" s="2" t="s">
        <v>100</v>
      </c>
      <c r="B38" s="2" t="str">
        <f>CONCATENATE("C_", $C$1, "_ENH_WW_TE")</f>
        <v>C_PR24CA57_ENH_WW_TE</v>
      </c>
      <c r="C38" s="2" t="str">
        <f xml:space="preserve"> $C$6</f>
        <v>Total enhancement allowance - Wastewater - Chemical investigations - Transition allowance</v>
      </c>
      <c r="D38" s="2" t="s">
        <v>78</v>
      </c>
      <c r="E38" s="2" t="s">
        <v>72</v>
      </c>
      <c r="G38" s="2">
        <f ca="1" xml:space="preserve"> SUMIFS('Outputs to aggregator'!$Q$24:$Q$35, 'Outputs to aggregator'!$O$24:$O$35, $A38)</f>
        <v>0</v>
      </c>
      <c r="H38" s="2">
        <f ca="1" xml:space="preserve"> SUMIFS('Outputs to aggregator'!$S$24:$S$35, 'Outputs to aggregator'!$O$24:$O$35, $A38)</f>
        <v>0</v>
      </c>
    </row>
    <row r="39" spans="1:13">
      <c r="A39" s="2" t="s">
        <v>100</v>
      </c>
      <c r="B39" s="2" t="str">
        <f xml:space="preserve"> CONCATENATE("PR24QA_",  $C$1, "_OUT1")</f>
        <v>PR24QA_PR24CA57_OUT1</v>
      </c>
      <c r="C39" s="2" t="str">
        <f xml:space="preserve"> CONCATENATE("Date &amp; Time for Model - ", $C$1)</f>
        <v>Date &amp; Time for Model - PR24CA57</v>
      </c>
      <c r="D39" s="2" t="s">
        <v>331</v>
      </c>
      <c r="E39" s="2" t="s">
        <v>72</v>
      </c>
      <c r="F39" s="2" t="str">
        <f t="shared" ref="F39:M39" ca="1" si="8">CONCATENATE("[…]", TEXT(NOW(),"dd/mm/yyy hh:mm:ss"))</f>
        <v>[…]13/12/2024 12:59:39</v>
      </c>
      <c r="G39" s="2" t="str">
        <f t="shared" ca="1" si="8"/>
        <v>[…]13/12/2024 12:59:39</v>
      </c>
      <c r="H39" s="2" t="str">
        <f t="shared" ca="1" si="8"/>
        <v>[…]13/12/2024 12:59:39</v>
      </c>
      <c r="I39" s="2" t="str">
        <f t="shared" ca="1" si="8"/>
        <v>[…]13/12/2024 12:59:39</v>
      </c>
      <c r="J39" s="2" t="str">
        <f t="shared" ca="1" si="8"/>
        <v>[…]13/12/2024 12:59:39</v>
      </c>
      <c r="K39" s="2" t="str">
        <f t="shared" ca="1" si="8"/>
        <v>[…]13/12/2024 12:59:39</v>
      </c>
      <c r="L39" s="2" t="str">
        <f t="shared" ca="1" si="8"/>
        <v>[…]13/12/2024 12:59:39</v>
      </c>
      <c r="M39" s="2" t="str">
        <f t="shared" ca="1" si="8"/>
        <v>[…]13/12/2024 12:59:39</v>
      </c>
    </row>
    <row r="40" spans="1:13">
      <c r="A40" s="2" t="s">
        <v>100</v>
      </c>
      <c r="B40" s="2" t="str">
        <f xml:space="preserve"> CONCATENATE("PR24QA_",  $C$1, "_OUT2")</f>
        <v>PR24QA_PR24CA57_OUT2</v>
      </c>
      <c r="C40" s="2" t="str">
        <f xml:space="preserve"> CONCATENATE("Name of Model - ", $C$1)</f>
        <v>Name of Model - PR24CA57</v>
      </c>
      <c r="D40" s="2" t="s">
        <v>331</v>
      </c>
      <c r="E40" s="2" t="s">
        <v>72</v>
      </c>
      <c r="F40" s="2" t="str">
        <f t="shared" ref="F40:M40" ca="1" si="9">MID(CELL("filename"),SEARCH("[",CELL("filename"))+1,SEARCH("]",CELL("filename"))-SEARCH("[",CELL("filename"))-1)</f>
        <v>City briefing FD cost allowance graphics.xlsx</v>
      </c>
      <c r="G40" s="2" t="str">
        <f t="shared" ca="1" si="9"/>
        <v>City briefing FD cost allowance graphics.xlsx</v>
      </c>
      <c r="H40" s="2" t="str">
        <f t="shared" ca="1" si="9"/>
        <v>City briefing FD cost allowance graphics.xlsx</v>
      </c>
      <c r="I40" s="2" t="str">
        <f t="shared" ca="1" si="9"/>
        <v>City briefing FD cost allowance graphics.xlsx</v>
      </c>
      <c r="J40" s="2" t="str">
        <f t="shared" ca="1" si="9"/>
        <v>City briefing FD cost allowance graphics.xlsx</v>
      </c>
      <c r="K40" s="2" t="str">
        <f t="shared" ca="1" si="9"/>
        <v>City briefing FD cost allowance graphics.xlsx</v>
      </c>
      <c r="L40" s="2" t="str">
        <f t="shared" ca="1" si="9"/>
        <v>City briefing FD cost allowance graphics.xlsx</v>
      </c>
      <c r="M40" s="2" t="str">
        <f t="shared" ca="1" si="9"/>
        <v>City briefing FD cost allowance graphics.xlsx</v>
      </c>
    </row>
    <row r="41" spans="1:13">
      <c r="A41" s="2" t="s">
        <v>100</v>
      </c>
      <c r="B41" s="2" t="str">
        <f xml:space="preserve"> CONCATENATE("PR24QA_",  $C$1, "_OUT3")</f>
        <v>PR24QA_PR24CA57_OUT3</v>
      </c>
      <c r="C41" s="2" t="str">
        <f xml:space="preserve"> CONCATENATE("F_Inputs time stamp - ", $C$1)</f>
        <v>F_Inputs time stamp - PR24CA57</v>
      </c>
      <c r="D41" s="2" t="s">
        <v>331</v>
      </c>
      <c r="E41" s="2" t="s">
        <v>72</v>
      </c>
      <c r="F41" s="2" t="str">
        <f>F_Inputs!$E$1</f>
        <v>Run on 05 Sep 2024 9:38</v>
      </c>
      <c r="G41" s="2" t="str">
        <f>F_Inputs!$E$1</f>
        <v>Run on 05 Sep 2024 9:38</v>
      </c>
      <c r="H41" s="2" t="str">
        <f>F_Inputs!$E$1</f>
        <v>Run on 05 Sep 2024 9:38</v>
      </c>
      <c r="I41" s="2" t="str">
        <f>F_Inputs!$E$1</f>
        <v>Run on 05 Sep 2024 9:38</v>
      </c>
      <c r="J41" s="2" t="str">
        <f>F_Inputs!$E$1</f>
        <v>Run on 05 Sep 2024 9:38</v>
      </c>
      <c r="K41" s="2" t="str">
        <f>F_Inputs!$E$1</f>
        <v>Run on 05 Sep 2024 9:38</v>
      </c>
      <c r="L41" s="2" t="str">
        <f>F_Inputs!$E$1</f>
        <v>Run on 05 Sep 2024 9:38</v>
      </c>
      <c r="M41" s="2" t="str">
        <f>F_Inputs!$E$1</f>
        <v>Run on 05 Sep 2024 9:38</v>
      </c>
    </row>
    <row r="42" spans="1:13">
      <c r="A42" s="2" t="s">
        <v>100</v>
      </c>
      <c r="B42" s="2" t="str">
        <f xml:space="preserve"> CONCATENATE("PR24QA_",  $C$1, "_OUT4")</f>
        <v>PR24QA_PR24CA57_OUT4</v>
      </c>
      <c r="C42" s="2" t="str">
        <f xml:space="preserve"> CONCATENATE("Model override switch for - ", $C$1)</f>
        <v>Model override switch for - PR24CA57</v>
      </c>
      <c r="D42" s="2" t="s">
        <v>332</v>
      </c>
      <c r="E42" s="2" t="s">
        <v>72</v>
      </c>
      <c r="F42" s="2">
        <f>IF(SUM('F_Input Override'!$F$5:$L$125)&gt;0,1,0)</f>
        <v>1</v>
      </c>
      <c r="G42" s="2">
        <f>IF(SUM('F_Input Override'!$F$5:$L$125)&gt;0,1,0)</f>
        <v>1</v>
      </c>
      <c r="H42" s="2">
        <f>IF(SUM('F_Input Override'!$F$5:$L$125)&gt;0,1,0)</f>
        <v>1</v>
      </c>
      <c r="I42" s="2">
        <f>IF(SUM('F_Input Override'!$F$5:$L$125)&gt;0,1,0)</f>
        <v>1</v>
      </c>
      <c r="J42" s="2">
        <f>IF(SUM('F_Input Override'!$F$5:$L$125)&gt;0,1,0)</f>
        <v>1</v>
      </c>
      <c r="K42" s="2">
        <f>IF(SUM('F_Input Override'!$F$5:$L$125)&gt;0,1,0)</f>
        <v>1</v>
      </c>
      <c r="L42" s="2">
        <f>IF(SUM('F_Input Override'!$F$5:$L$125)&gt;0,1,0)</f>
        <v>1</v>
      </c>
      <c r="M42" s="2">
        <f>IF(SUM('F_Input Override'!$F$5:$L$125)&gt;0,1,0)</f>
        <v>1</v>
      </c>
    </row>
    <row r="43" spans="1:13">
      <c r="A43" s="2" t="s">
        <v>100</v>
      </c>
      <c r="B43" s="2" t="str">
        <f>CONCATENATE("C_", $C$1, "_ENH_WW_ASSESSED")</f>
        <v>C_PR24CA57_ENH_WW_ASSESSED</v>
      </c>
      <c r="C43" s="2" t="str">
        <f>CONCATENATE("Total amount assessed - ", MID($C$4,31,200))</f>
        <v>Total amount assessed - Wastewater - Chemical investigations - Totex</v>
      </c>
      <c r="D43" s="3" t="s">
        <v>78</v>
      </c>
      <c r="E43" s="2" t="s">
        <v>72</v>
      </c>
      <c r="F43" s="2">
        <f ca="1" xml:space="preserve"> SUMIFS(Allowance!$G$16:$G$26, Allowance!$B$16:$B$26, A43)</f>
        <v>2.2390000000000003</v>
      </c>
    </row>
    <row r="44" spans="1:13">
      <c r="A44" s="2" t="s">
        <v>98</v>
      </c>
      <c r="B44" s="2" t="str">
        <f>CONCATENATE("C_", $C$1, "_ENH_WW_TOT")</f>
        <v>C_PR24CA57_ENH_WW_TOT</v>
      </c>
      <c r="C44" s="2" t="str">
        <f xml:space="preserve"> $C$4</f>
        <v>Total enhancement allowance - Wastewater - Chemical investigations - Totex</v>
      </c>
      <c r="D44" s="2" t="s">
        <v>78</v>
      </c>
      <c r="E44" s="2" t="s">
        <v>72</v>
      </c>
      <c r="I44" s="2">
        <f ca="1" xml:space="preserve"> SUMIFS('Outputs to aggregator'!U$24:U$35, 'Outputs to aggregator'!$O$24:$O$35, $A44)</f>
        <v>1.0951869413392581</v>
      </c>
      <c r="J44" s="2">
        <f ca="1" xml:space="preserve"> SUMIFS('Outputs to aggregator'!V$24:V$35, 'Outputs to aggregator'!$O$24:$O$35, $A44)</f>
        <v>2.62753219832075</v>
      </c>
      <c r="K44" s="2">
        <f ca="1" xml:space="preserve"> SUMIFS('Outputs to aggregator'!W$24:W$35, 'Outputs to aggregator'!$O$24:$O$35, $A44)</f>
        <v>0.18554710569434296</v>
      </c>
      <c r="L44" s="2">
        <f ca="1" xml:space="preserve"> SUMIFS('Outputs to aggregator'!X$24:X$35, 'Outputs to aggregator'!$O$24:$O$35, $A44)</f>
        <v>0.186676871668983</v>
      </c>
      <c r="M44" s="2">
        <f ca="1" xml:space="preserve"> SUMIFS('Outputs to aggregator'!Y$24:Y$35, 'Outputs to aggregator'!$O$24:$O$35, $A44)</f>
        <v>0.188</v>
      </c>
    </row>
    <row r="45" spans="1:13">
      <c r="A45" s="2" t="s">
        <v>98</v>
      </c>
      <c r="B45" s="2" t="str">
        <f>CONCATENATE("C_", $C$1, "_ENH_WW_AP")</f>
        <v>C_PR24CA57_ENH_WW_AP</v>
      </c>
      <c r="C45" s="2" t="str">
        <f xml:space="preserve"> $C$5</f>
        <v>Total enhancement allowance - Wastewater - Chemical investigations - Accelerated programme</v>
      </c>
      <c r="D45" s="2" t="s">
        <v>78</v>
      </c>
      <c r="E45" s="2" t="s">
        <v>72</v>
      </c>
      <c r="G45" s="2">
        <f ca="1" xml:space="preserve"> SUMIFS('Outputs to aggregator'!$R$24:$R$35, 'Outputs to aggregator'!$O$24:$O$35, $A45)</f>
        <v>0</v>
      </c>
      <c r="H45" s="2">
        <f ca="1" xml:space="preserve"> SUMIFS('Outputs to aggregator'!$T$24:$T$35, 'Outputs to aggregator'!$O$24:$O$35, $A45)</f>
        <v>0</v>
      </c>
    </row>
    <row r="46" spans="1:13">
      <c r="A46" s="2" t="s">
        <v>98</v>
      </c>
      <c r="B46" s="2" t="str">
        <f>CONCATENATE("C_", $C$1, "_ENH_WW_TE")</f>
        <v>C_PR24CA57_ENH_WW_TE</v>
      </c>
      <c r="C46" s="2" t="str">
        <f xml:space="preserve"> $C$6</f>
        <v>Total enhancement allowance - Wastewater - Chemical investigations - Transition allowance</v>
      </c>
      <c r="D46" s="2" t="s">
        <v>78</v>
      </c>
      <c r="E46" s="2" t="s">
        <v>72</v>
      </c>
      <c r="G46" s="2">
        <f ca="1" xml:space="preserve"> SUMIFS('Outputs to aggregator'!$Q$24:$Q$35, 'Outputs to aggregator'!$O$24:$O$35, $A46)</f>
        <v>0</v>
      </c>
      <c r="H46" s="2">
        <f ca="1" xml:space="preserve"> SUMIFS('Outputs to aggregator'!$S$24:$S$35, 'Outputs to aggregator'!$O$24:$O$35, $A46)</f>
        <v>1.5077451020150889</v>
      </c>
    </row>
    <row r="47" spans="1:13">
      <c r="A47" s="2" t="s">
        <v>98</v>
      </c>
      <c r="B47" s="2" t="str">
        <f xml:space="preserve"> CONCATENATE("PR24QA_",  $C$1, "_OUT1")</f>
        <v>PR24QA_PR24CA57_OUT1</v>
      </c>
      <c r="C47" s="2" t="str">
        <f xml:space="preserve"> CONCATENATE("Date &amp; Time for Model - ", $C$1)</f>
        <v>Date &amp; Time for Model - PR24CA57</v>
      </c>
      <c r="D47" s="2" t="s">
        <v>331</v>
      </c>
      <c r="E47" s="2" t="s">
        <v>72</v>
      </c>
      <c r="F47" s="2" t="str">
        <f t="shared" ref="F47:M47" ca="1" si="10">CONCATENATE("[…]", TEXT(NOW(),"dd/mm/yyy hh:mm:ss"))</f>
        <v>[…]13/12/2024 12:59:39</v>
      </c>
      <c r="G47" s="2" t="str">
        <f t="shared" ca="1" si="10"/>
        <v>[…]13/12/2024 12:59:39</v>
      </c>
      <c r="H47" s="2" t="str">
        <f t="shared" ca="1" si="10"/>
        <v>[…]13/12/2024 12:59:39</v>
      </c>
      <c r="I47" s="2" t="str">
        <f t="shared" ca="1" si="10"/>
        <v>[…]13/12/2024 12:59:39</v>
      </c>
      <c r="J47" s="2" t="str">
        <f t="shared" ca="1" si="10"/>
        <v>[…]13/12/2024 12:59:39</v>
      </c>
      <c r="K47" s="2" t="str">
        <f t="shared" ca="1" si="10"/>
        <v>[…]13/12/2024 12:59:39</v>
      </c>
      <c r="L47" s="2" t="str">
        <f t="shared" ca="1" si="10"/>
        <v>[…]13/12/2024 12:59:39</v>
      </c>
      <c r="M47" s="2" t="str">
        <f t="shared" ca="1" si="10"/>
        <v>[…]13/12/2024 12:59:39</v>
      </c>
    </row>
    <row r="48" spans="1:13">
      <c r="A48" s="2" t="s">
        <v>98</v>
      </c>
      <c r="B48" s="2" t="str">
        <f xml:space="preserve"> CONCATENATE("PR24QA_",  $C$1, "_OUT2")</f>
        <v>PR24QA_PR24CA57_OUT2</v>
      </c>
      <c r="C48" s="2" t="str">
        <f xml:space="preserve"> CONCATENATE("Name of Model - ", $C$1)</f>
        <v>Name of Model - PR24CA57</v>
      </c>
      <c r="D48" s="2" t="s">
        <v>331</v>
      </c>
      <c r="E48" s="2" t="s">
        <v>72</v>
      </c>
      <c r="F48" s="2" t="str">
        <f t="shared" ref="F48:M48" ca="1" si="11">MID(CELL("filename"),SEARCH("[",CELL("filename"))+1,SEARCH("]",CELL("filename"))-SEARCH("[",CELL("filename"))-1)</f>
        <v>City briefing FD cost allowance graphics.xlsx</v>
      </c>
      <c r="G48" s="2" t="str">
        <f t="shared" ca="1" si="11"/>
        <v>City briefing FD cost allowance graphics.xlsx</v>
      </c>
      <c r="H48" s="2" t="str">
        <f t="shared" ca="1" si="11"/>
        <v>City briefing FD cost allowance graphics.xlsx</v>
      </c>
      <c r="I48" s="2" t="str">
        <f t="shared" ca="1" si="11"/>
        <v>City briefing FD cost allowance graphics.xlsx</v>
      </c>
      <c r="J48" s="2" t="str">
        <f t="shared" ca="1" si="11"/>
        <v>City briefing FD cost allowance graphics.xlsx</v>
      </c>
      <c r="K48" s="2" t="str">
        <f t="shared" ca="1" si="11"/>
        <v>City briefing FD cost allowance graphics.xlsx</v>
      </c>
      <c r="L48" s="2" t="str">
        <f t="shared" ca="1" si="11"/>
        <v>City briefing FD cost allowance graphics.xlsx</v>
      </c>
      <c r="M48" s="2" t="str">
        <f t="shared" ca="1" si="11"/>
        <v>City briefing FD cost allowance graphics.xlsx</v>
      </c>
    </row>
    <row r="49" spans="1:13">
      <c r="A49" s="2" t="s">
        <v>98</v>
      </c>
      <c r="B49" s="2" t="str">
        <f xml:space="preserve"> CONCATENATE("PR24QA_",  $C$1, "_OUT3")</f>
        <v>PR24QA_PR24CA57_OUT3</v>
      </c>
      <c r="C49" s="2" t="str">
        <f xml:space="preserve"> CONCATENATE("F_Inputs time stamp - ", $C$1)</f>
        <v>F_Inputs time stamp - PR24CA57</v>
      </c>
      <c r="D49" s="2" t="s">
        <v>331</v>
      </c>
      <c r="E49" s="2" t="s">
        <v>72</v>
      </c>
      <c r="F49" s="2" t="str">
        <f>F_Inputs!$E$1</f>
        <v>Run on 05 Sep 2024 9:38</v>
      </c>
      <c r="G49" s="2" t="str">
        <f>F_Inputs!$E$1</f>
        <v>Run on 05 Sep 2024 9:38</v>
      </c>
      <c r="H49" s="2" t="str">
        <f>F_Inputs!$E$1</f>
        <v>Run on 05 Sep 2024 9:38</v>
      </c>
      <c r="I49" s="2" t="str">
        <f>F_Inputs!$E$1</f>
        <v>Run on 05 Sep 2024 9:38</v>
      </c>
      <c r="J49" s="2" t="str">
        <f>F_Inputs!$E$1</f>
        <v>Run on 05 Sep 2024 9:38</v>
      </c>
      <c r="K49" s="2" t="str">
        <f>F_Inputs!$E$1</f>
        <v>Run on 05 Sep 2024 9:38</v>
      </c>
      <c r="L49" s="2" t="str">
        <f>F_Inputs!$E$1</f>
        <v>Run on 05 Sep 2024 9:38</v>
      </c>
      <c r="M49" s="2" t="str">
        <f>F_Inputs!$E$1</f>
        <v>Run on 05 Sep 2024 9:38</v>
      </c>
    </row>
    <row r="50" spans="1:13">
      <c r="A50" s="2" t="s">
        <v>98</v>
      </c>
      <c r="B50" s="2" t="str">
        <f xml:space="preserve"> CONCATENATE("PR24QA_",  $C$1, "_OUT4")</f>
        <v>PR24QA_PR24CA57_OUT4</v>
      </c>
      <c r="C50" s="2" t="str">
        <f xml:space="preserve"> CONCATENATE("Model override switch for - ", $C$1)</f>
        <v>Model override switch for - PR24CA57</v>
      </c>
      <c r="D50" s="2" t="s">
        <v>332</v>
      </c>
      <c r="E50" s="2" t="s">
        <v>72</v>
      </c>
      <c r="F50" s="2">
        <f>IF(SUM('F_Input Override'!$F$5:$L$125)&gt;0,1,0)</f>
        <v>1</v>
      </c>
      <c r="G50" s="2">
        <f>IF(SUM('F_Input Override'!$F$5:$L$125)&gt;0,1,0)</f>
        <v>1</v>
      </c>
      <c r="H50" s="2">
        <f>IF(SUM('F_Input Override'!$F$5:$L$125)&gt;0,1,0)</f>
        <v>1</v>
      </c>
      <c r="I50" s="2">
        <f>IF(SUM('F_Input Override'!$F$5:$L$125)&gt;0,1,0)</f>
        <v>1</v>
      </c>
      <c r="J50" s="2">
        <f>IF(SUM('F_Input Override'!$F$5:$L$125)&gt;0,1,0)</f>
        <v>1</v>
      </c>
      <c r="K50" s="2">
        <f>IF(SUM('F_Input Override'!$F$5:$L$125)&gt;0,1,0)</f>
        <v>1</v>
      </c>
      <c r="L50" s="2">
        <f>IF(SUM('F_Input Override'!$F$5:$L$125)&gt;0,1,0)</f>
        <v>1</v>
      </c>
      <c r="M50" s="2">
        <f>IF(SUM('F_Input Override'!$F$5:$L$125)&gt;0,1,0)</f>
        <v>1</v>
      </c>
    </row>
    <row r="51" spans="1:13">
      <c r="A51" s="2" t="s">
        <v>98</v>
      </c>
      <c r="B51" s="2" t="str">
        <f>CONCATENATE("C_", $C$1, "_ENH_WW_ASSESSED")</f>
        <v>C_PR24CA57_ENH_WW_ASSESSED</v>
      </c>
      <c r="C51" s="2" t="str">
        <f>CONCATENATE("Total amount assessed - ", MID($C$4,31,200))</f>
        <v>Total amount assessed - Wastewater - Chemical investigations - Totex</v>
      </c>
      <c r="D51" s="3" t="s">
        <v>78</v>
      </c>
      <c r="E51" s="2" t="s">
        <v>72</v>
      </c>
      <c r="F51" s="2">
        <f ca="1" xml:space="preserve"> SUMIFS(Allowance!$G$16:$G$26, Allowance!$B$16:$B$26, A51)</f>
        <v>5.7906882190384223</v>
      </c>
    </row>
    <row r="52" spans="1:13">
      <c r="A52" s="2" t="s">
        <v>99</v>
      </c>
      <c r="B52" s="2" t="str">
        <f>CONCATENATE("C_", $C$1, "_ENH_WW_TOT")</f>
        <v>C_PR24CA57_ENH_WW_TOT</v>
      </c>
      <c r="C52" s="2" t="str">
        <f xml:space="preserve"> $C$4</f>
        <v>Total enhancement allowance - Wastewater - Chemical investigations - Totex</v>
      </c>
      <c r="D52" s="2" t="s">
        <v>78</v>
      </c>
      <c r="E52" s="2" t="s">
        <v>72</v>
      </c>
      <c r="I52" s="2">
        <f ca="1" xml:space="preserve"> SUMIFS('Outputs to aggregator'!U$24:U$35, 'Outputs to aggregator'!$O$24:$O$35, $A52)</f>
        <v>0.56999999999999995</v>
      </c>
      <c r="J52" s="2">
        <f ca="1" xml:space="preserve"> SUMIFS('Outputs to aggregator'!V$24:V$35, 'Outputs to aggregator'!$O$24:$O$35, $A52)</f>
        <v>0.67200000000000004</v>
      </c>
      <c r="K52" s="2">
        <f ca="1" xml:space="preserve"> SUMIFS('Outputs to aggregator'!W$24:W$35, 'Outputs to aggregator'!$O$24:$O$35, $A52)</f>
        <v>0.70599999999999996</v>
      </c>
      <c r="L52" s="2">
        <f ca="1" xml:space="preserve"> SUMIFS('Outputs to aggregator'!X$24:X$35, 'Outputs to aggregator'!$O$24:$O$35, $A52)</f>
        <v>0.17</v>
      </c>
      <c r="M52" s="2">
        <f ca="1" xml:space="preserve"> SUMIFS('Outputs to aggregator'!Y$24:Y$35, 'Outputs to aggregator'!$O$24:$O$35, $A52)</f>
        <v>6.8000000000000005E-2</v>
      </c>
    </row>
    <row r="53" spans="1:13">
      <c r="A53" s="2" t="s">
        <v>99</v>
      </c>
      <c r="B53" s="2" t="str">
        <f>CONCATENATE("C_", $C$1, "_ENH_WW_AP")</f>
        <v>C_PR24CA57_ENH_WW_AP</v>
      </c>
      <c r="C53" s="2" t="str">
        <f xml:space="preserve"> $C$5</f>
        <v>Total enhancement allowance - Wastewater - Chemical investigations - Accelerated programme</v>
      </c>
      <c r="D53" s="2" t="s">
        <v>78</v>
      </c>
      <c r="E53" s="2" t="s">
        <v>72</v>
      </c>
      <c r="G53" s="2">
        <f ca="1" xml:space="preserve"> SUMIFS('Outputs to aggregator'!$R$24:$R$35, 'Outputs to aggregator'!$O$24:$O$35, $A53)</f>
        <v>0</v>
      </c>
      <c r="H53" s="2">
        <f ca="1" xml:space="preserve"> SUMIFS('Outputs to aggregator'!$T$24:$T$35, 'Outputs to aggregator'!$O$24:$O$35, $A53)</f>
        <v>0</v>
      </c>
    </row>
    <row r="54" spans="1:13">
      <c r="A54" s="2" t="s">
        <v>99</v>
      </c>
      <c r="B54" s="2" t="str">
        <f>CONCATENATE("C_", $C$1, "_ENH_WW_TE")</f>
        <v>C_PR24CA57_ENH_WW_TE</v>
      </c>
      <c r="C54" s="2" t="str">
        <f xml:space="preserve"> $C$6</f>
        <v>Total enhancement allowance - Wastewater - Chemical investigations - Transition allowance</v>
      </c>
      <c r="D54" s="2" t="s">
        <v>78</v>
      </c>
      <c r="E54" s="2" t="s">
        <v>72</v>
      </c>
      <c r="G54" s="2">
        <f ca="1" xml:space="preserve"> SUMIFS('Outputs to aggregator'!$Q$24:$Q$35, 'Outputs to aggregator'!$O$24:$O$35, $A54)</f>
        <v>0</v>
      </c>
      <c r="H54" s="2">
        <f ca="1" xml:space="preserve"> SUMIFS('Outputs to aggregator'!$S$24:$S$35, 'Outputs to aggregator'!$O$24:$O$35, $A54)</f>
        <v>0</v>
      </c>
    </row>
    <row r="55" spans="1:13">
      <c r="A55" s="2" t="s">
        <v>99</v>
      </c>
      <c r="B55" s="2" t="str">
        <f xml:space="preserve"> CONCATENATE("PR24QA_",  $C$1, "_OUT1")</f>
        <v>PR24QA_PR24CA57_OUT1</v>
      </c>
      <c r="C55" s="2" t="str">
        <f xml:space="preserve"> CONCATENATE("Date &amp; Time for Model - ", $C$1)</f>
        <v>Date &amp; Time for Model - PR24CA57</v>
      </c>
      <c r="D55" s="2" t="s">
        <v>331</v>
      </c>
      <c r="E55" s="2" t="s">
        <v>72</v>
      </c>
      <c r="F55" s="2" t="str">
        <f t="shared" ref="F55:M55" ca="1" si="12">CONCATENATE("[…]", TEXT(NOW(),"dd/mm/yyy hh:mm:ss"))</f>
        <v>[…]13/12/2024 12:59:39</v>
      </c>
      <c r="G55" s="2" t="str">
        <f t="shared" ca="1" si="12"/>
        <v>[…]13/12/2024 12:59:39</v>
      </c>
      <c r="H55" s="2" t="str">
        <f t="shared" ca="1" si="12"/>
        <v>[…]13/12/2024 12:59:39</v>
      </c>
      <c r="I55" s="2" t="str">
        <f t="shared" ca="1" si="12"/>
        <v>[…]13/12/2024 12:59:39</v>
      </c>
      <c r="J55" s="2" t="str">
        <f t="shared" ca="1" si="12"/>
        <v>[…]13/12/2024 12:59:39</v>
      </c>
      <c r="K55" s="2" t="str">
        <f t="shared" ca="1" si="12"/>
        <v>[…]13/12/2024 12:59:39</v>
      </c>
      <c r="L55" s="2" t="str">
        <f t="shared" ca="1" si="12"/>
        <v>[…]13/12/2024 12:59:39</v>
      </c>
      <c r="M55" s="2" t="str">
        <f t="shared" ca="1" si="12"/>
        <v>[…]13/12/2024 12:59:39</v>
      </c>
    </row>
    <row r="56" spans="1:13">
      <c r="A56" s="2" t="s">
        <v>99</v>
      </c>
      <c r="B56" s="2" t="str">
        <f xml:space="preserve"> CONCATENATE("PR24QA_",  $C$1, "_OUT2")</f>
        <v>PR24QA_PR24CA57_OUT2</v>
      </c>
      <c r="C56" s="2" t="str">
        <f xml:space="preserve"> CONCATENATE("Name of Model - ", $C$1)</f>
        <v>Name of Model - PR24CA57</v>
      </c>
      <c r="D56" s="2" t="s">
        <v>331</v>
      </c>
      <c r="E56" s="2" t="s">
        <v>72</v>
      </c>
      <c r="F56" s="2" t="str">
        <f t="shared" ref="F56:M56" ca="1" si="13">MID(CELL("filename"),SEARCH("[",CELL("filename"))+1,SEARCH("]",CELL("filename"))-SEARCH("[",CELL("filename"))-1)</f>
        <v>City briefing FD cost allowance graphics.xlsx</v>
      </c>
      <c r="G56" s="2" t="str">
        <f t="shared" ca="1" si="13"/>
        <v>City briefing FD cost allowance graphics.xlsx</v>
      </c>
      <c r="H56" s="2" t="str">
        <f t="shared" ca="1" si="13"/>
        <v>City briefing FD cost allowance graphics.xlsx</v>
      </c>
      <c r="I56" s="2" t="str">
        <f t="shared" ca="1" si="13"/>
        <v>City briefing FD cost allowance graphics.xlsx</v>
      </c>
      <c r="J56" s="2" t="str">
        <f t="shared" ca="1" si="13"/>
        <v>City briefing FD cost allowance graphics.xlsx</v>
      </c>
      <c r="K56" s="2" t="str">
        <f t="shared" ca="1" si="13"/>
        <v>City briefing FD cost allowance graphics.xlsx</v>
      </c>
      <c r="L56" s="2" t="str">
        <f t="shared" ca="1" si="13"/>
        <v>City briefing FD cost allowance graphics.xlsx</v>
      </c>
      <c r="M56" s="2" t="str">
        <f t="shared" ca="1" si="13"/>
        <v>City briefing FD cost allowance graphics.xlsx</v>
      </c>
    </row>
    <row r="57" spans="1:13">
      <c r="A57" s="2" t="s">
        <v>99</v>
      </c>
      <c r="B57" s="2" t="str">
        <f xml:space="preserve"> CONCATENATE("PR24QA_",  $C$1, "_OUT3")</f>
        <v>PR24QA_PR24CA57_OUT3</v>
      </c>
      <c r="C57" s="2" t="str">
        <f xml:space="preserve"> CONCATENATE("F_Inputs time stamp - ", $C$1)</f>
        <v>F_Inputs time stamp - PR24CA57</v>
      </c>
      <c r="D57" s="2" t="s">
        <v>331</v>
      </c>
      <c r="E57" s="2" t="s">
        <v>72</v>
      </c>
      <c r="F57" s="2" t="str">
        <f>F_Inputs!$E$1</f>
        <v>Run on 05 Sep 2024 9:38</v>
      </c>
      <c r="G57" s="2" t="str">
        <f>F_Inputs!$E$1</f>
        <v>Run on 05 Sep 2024 9:38</v>
      </c>
      <c r="H57" s="2" t="str">
        <f>F_Inputs!$E$1</f>
        <v>Run on 05 Sep 2024 9:38</v>
      </c>
      <c r="I57" s="2" t="str">
        <f>F_Inputs!$E$1</f>
        <v>Run on 05 Sep 2024 9:38</v>
      </c>
      <c r="J57" s="2" t="str">
        <f>F_Inputs!$E$1</f>
        <v>Run on 05 Sep 2024 9:38</v>
      </c>
      <c r="K57" s="2" t="str">
        <f>F_Inputs!$E$1</f>
        <v>Run on 05 Sep 2024 9:38</v>
      </c>
      <c r="L57" s="2" t="str">
        <f>F_Inputs!$E$1</f>
        <v>Run on 05 Sep 2024 9:38</v>
      </c>
      <c r="M57" s="2" t="str">
        <f>F_Inputs!$E$1</f>
        <v>Run on 05 Sep 2024 9:38</v>
      </c>
    </row>
    <row r="58" spans="1:13">
      <c r="A58" s="2" t="s">
        <v>99</v>
      </c>
      <c r="B58" s="2" t="str">
        <f xml:space="preserve"> CONCATENATE("PR24QA_",  $C$1, "_OUT4")</f>
        <v>PR24QA_PR24CA57_OUT4</v>
      </c>
      <c r="C58" s="2" t="str">
        <f xml:space="preserve"> CONCATENATE("Model override switch for - ", $C$1)</f>
        <v>Model override switch for - PR24CA57</v>
      </c>
      <c r="D58" s="2" t="s">
        <v>332</v>
      </c>
      <c r="E58" s="2" t="s">
        <v>72</v>
      </c>
      <c r="F58" s="2">
        <f>IF(SUM('F_Input Override'!$F$5:$L$125)&gt;0,1,0)</f>
        <v>1</v>
      </c>
      <c r="G58" s="2">
        <f>IF(SUM('F_Input Override'!$F$5:$L$125)&gt;0,1,0)</f>
        <v>1</v>
      </c>
      <c r="H58" s="2">
        <f>IF(SUM('F_Input Override'!$F$5:$L$125)&gt;0,1,0)</f>
        <v>1</v>
      </c>
      <c r="I58" s="2">
        <f>IF(SUM('F_Input Override'!$F$5:$L$125)&gt;0,1,0)</f>
        <v>1</v>
      </c>
      <c r="J58" s="2">
        <f>IF(SUM('F_Input Override'!$F$5:$L$125)&gt;0,1,0)</f>
        <v>1</v>
      </c>
      <c r="K58" s="2">
        <f>IF(SUM('F_Input Override'!$F$5:$L$125)&gt;0,1,0)</f>
        <v>1</v>
      </c>
      <c r="L58" s="2">
        <f>IF(SUM('F_Input Override'!$F$5:$L$125)&gt;0,1,0)</f>
        <v>1</v>
      </c>
      <c r="M58" s="2">
        <f>IF(SUM('F_Input Override'!$F$5:$L$125)&gt;0,1,0)</f>
        <v>1</v>
      </c>
    </row>
    <row r="59" spans="1:13">
      <c r="A59" s="2" t="s">
        <v>99</v>
      </c>
      <c r="B59" s="2" t="str">
        <f>CONCATENATE("C_", $C$1, "_ENH_WW_ASSESSED")</f>
        <v>C_PR24CA57_ENH_WW_ASSESSED</v>
      </c>
      <c r="C59" s="2" t="str">
        <f>CONCATENATE("Total amount assessed - ", MID($C$4,31,200))</f>
        <v>Total amount assessed - Wastewater - Chemical investigations - Totex</v>
      </c>
      <c r="D59" s="3" t="s">
        <v>78</v>
      </c>
      <c r="E59" s="2" t="s">
        <v>72</v>
      </c>
      <c r="F59" s="2">
        <f ca="1" xml:space="preserve"> SUMIFS(Allowance!$G$16:$G$26, Allowance!$B$16:$B$26, A59)</f>
        <v>2.1859999999999999</v>
      </c>
    </row>
    <row r="60" spans="1:13">
      <c r="A60" s="2" t="s">
        <v>101</v>
      </c>
      <c r="B60" s="2" t="str">
        <f>CONCATENATE("C_", $C$1, "_ENH_WW_TOT")</f>
        <v>C_PR24CA57_ENH_WW_TOT</v>
      </c>
      <c r="C60" s="2" t="str">
        <f xml:space="preserve"> $C$4</f>
        <v>Total enhancement allowance - Wastewater - Chemical investigations - Totex</v>
      </c>
      <c r="D60" s="2" t="s">
        <v>78</v>
      </c>
      <c r="E60" s="2" t="s">
        <v>72</v>
      </c>
      <c r="I60" s="2">
        <f ca="1" xml:space="preserve"> SUMIFS('Outputs to aggregator'!U$24:U$35, 'Outputs to aggregator'!$O$24:$O$35, $A60)</f>
        <v>1.752</v>
      </c>
      <c r="J60" s="2">
        <f ca="1" xml:space="preserve"> SUMIFS('Outputs to aggregator'!V$24:V$35, 'Outputs to aggregator'!$O$24:$O$35, $A60)</f>
        <v>2.6120000000000001</v>
      </c>
      <c r="K60" s="2">
        <f ca="1" xml:space="preserve"> SUMIFS('Outputs to aggregator'!W$24:W$35, 'Outputs to aggregator'!$O$24:$O$35, $A60)</f>
        <v>2.7869999999999999</v>
      </c>
      <c r="L60" s="2">
        <f ca="1" xml:space="preserve"> SUMIFS('Outputs to aggregator'!X$24:X$35, 'Outputs to aggregator'!$O$24:$O$35, $A60)</f>
        <v>8.5000000000000006E-2</v>
      </c>
      <c r="M60" s="2">
        <f ca="1" xml:space="preserve"> SUMIFS('Outputs to aggregator'!Y$24:Y$35, 'Outputs to aggregator'!$O$24:$O$35, $A60)</f>
        <v>8.5999999999999993E-2</v>
      </c>
    </row>
    <row r="61" spans="1:13">
      <c r="A61" s="2" t="s">
        <v>101</v>
      </c>
      <c r="B61" s="2" t="str">
        <f>CONCATENATE("C_", $C$1, "_ENH_WW_AP")</f>
        <v>C_PR24CA57_ENH_WW_AP</v>
      </c>
      <c r="C61" s="2" t="str">
        <f xml:space="preserve"> $C$5</f>
        <v>Total enhancement allowance - Wastewater - Chemical investigations - Accelerated programme</v>
      </c>
      <c r="D61" s="2" t="s">
        <v>78</v>
      </c>
      <c r="E61" s="2" t="s">
        <v>72</v>
      </c>
      <c r="G61" s="2">
        <f ca="1" xml:space="preserve"> SUMIFS('Outputs to aggregator'!$R$24:$R$35, 'Outputs to aggregator'!$O$24:$O$35, $A61)</f>
        <v>0</v>
      </c>
      <c r="H61" s="2">
        <f ca="1" xml:space="preserve"> SUMIFS('Outputs to aggregator'!$T$24:$T$35, 'Outputs to aggregator'!$O$24:$O$35, $A61)</f>
        <v>0</v>
      </c>
    </row>
    <row r="62" spans="1:13">
      <c r="A62" s="2" t="s">
        <v>101</v>
      </c>
      <c r="B62" s="2" t="str">
        <f>CONCATENATE("C_", $C$1, "_ENH_WW_TE")</f>
        <v>C_PR24CA57_ENH_WW_TE</v>
      </c>
      <c r="C62" s="2" t="str">
        <f xml:space="preserve"> $C$6</f>
        <v>Total enhancement allowance - Wastewater - Chemical investigations - Transition allowance</v>
      </c>
      <c r="D62" s="2" t="s">
        <v>78</v>
      </c>
      <c r="E62" s="2" t="s">
        <v>72</v>
      </c>
      <c r="G62" s="2">
        <f ca="1" xml:space="preserve"> SUMIFS('Outputs to aggregator'!$Q$24:$Q$35, 'Outputs to aggregator'!$O$24:$O$35, $A62)</f>
        <v>0</v>
      </c>
      <c r="H62" s="2">
        <f ca="1" xml:space="preserve"> SUMIFS('Outputs to aggregator'!$S$24:$S$35, 'Outputs to aggregator'!$O$24:$O$35, $A62)</f>
        <v>0</v>
      </c>
    </row>
    <row r="63" spans="1:13">
      <c r="A63" s="2" t="s">
        <v>101</v>
      </c>
      <c r="B63" s="2" t="str">
        <f xml:space="preserve"> CONCATENATE("PR24QA_",  $C$1, "_OUT1")</f>
        <v>PR24QA_PR24CA57_OUT1</v>
      </c>
      <c r="C63" s="2" t="str">
        <f xml:space="preserve"> CONCATENATE("Date &amp; Time for Model - ", $C$1)</f>
        <v>Date &amp; Time for Model - PR24CA57</v>
      </c>
      <c r="D63" s="2" t="s">
        <v>331</v>
      </c>
      <c r="E63" s="2" t="s">
        <v>72</v>
      </c>
      <c r="F63" s="2" t="str">
        <f t="shared" ref="F63:M63" ca="1" si="14">CONCATENATE("[…]", TEXT(NOW(),"dd/mm/yyy hh:mm:ss"))</f>
        <v>[…]13/12/2024 12:59:39</v>
      </c>
      <c r="G63" s="2" t="str">
        <f t="shared" ca="1" si="14"/>
        <v>[…]13/12/2024 12:59:39</v>
      </c>
      <c r="H63" s="2" t="str">
        <f t="shared" ca="1" si="14"/>
        <v>[…]13/12/2024 12:59:39</v>
      </c>
      <c r="I63" s="2" t="str">
        <f t="shared" ca="1" si="14"/>
        <v>[…]13/12/2024 12:59:39</v>
      </c>
      <c r="J63" s="2" t="str">
        <f t="shared" ca="1" si="14"/>
        <v>[…]13/12/2024 12:59:39</v>
      </c>
      <c r="K63" s="2" t="str">
        <f t="shared" ca="1" si="14"/>
        <v>[…]13/12/2024 12:59:39</v>
      </c>
      <c r="L63" s="2" t="str">
        <f t="shared" ca="1" si="14"/>
        <v>[…]13/12/2024 12:59:39</v>
      </c>
      <c r="M63" s="2" t="str">
        <f t="shared" ca="1" si="14"/>
        <v>[…]13/12/2024 12:59:39</v>
      </c>
    </row>
    <row r="64" spans="1:13">
      <c r="A64" s="2" t="s">
        <v>101</v>
      </c>
      <c r="B64" s="2" t="str">
        <f xml:space="preserve"> CONCATENATE("PR24QA_",  $C$1, "_OUT2")</f>
        <v>PR24QA_PR24CA57_OUT2</v>
      </c>
      <c r="C64" s="2" t="str">
        <f xml:space="preserve"> CONCATENATE("Name of Model - ", $C$1)</f>
        <v>Name of Model - PR24CA57</v>
      </c>
      <c r="D64" s="2" t="s">
        <v>331</v>
      </c>
      <c r="E64" s="2" t="s">
        <v>72</v>
      </c>
      <c r="F64" s="2" t="str">
        <f t="shared" ref="F64:M64" ca="1" si="15">MID(CELL("filename"),SEARCH("[",CELL("filename"))+1,SEARCH("]",CELL("filename"))-SEARCH("[",CELL("filename"))-1)</f>
        <v>City briefing FD cost allowance graphics.xlsx</v>
      </c>
      <c r="G64" s="2" t="str">
        <f t="shared" ca="1" si="15"/>
        <v>City briefing FD cost allowance graphics.xlsx</v>
      </c>
      <c r="H64" s="2" t="str">
        <f t="shared" ca="1" si="15"/>
        <v>City briefing FD cost allowance graphics.xlsx</v>
      </c>
      <c r="I64" s="2" t="str">
        <f t="shared" ca="1" si="15"/>
        <v>City briefing FD cost allowance graphics.xlsx</v>
      </c>
      <c r="J64" s="2" t="str">
        <f t="shared" ca="1" si="15"/>
        <v>City briefing FD cost allowance graphics.xlsx</v>
      </c>
      <c r="K64" s="2" t="str">
        <f t="shared" ca="1" si="15"/>
        <v>City briefing FD cost allowance graphics.xlsx</v>
      </c>
      <c r="L64" s="2" t="str">
        <f t="shared" ca="1" si="15"/>
        <v>City briefing FD cost allowance graphics.xlsx</v>
      </c>
      <c r="M64" s="2" t="str">
        <f t="shared" ca="1" si="15"/>
        <v>City briefing FD cost allowance graphics.xlsx</v>
      </c>
    </row>
    <row r="65" spans="1:13">
      <c r="A65" s="2" t="s">
        <v>101</v>
      </c>
      <c r="B65" s="2" t="str">
        <f xml:space="preserve"> CONCATENATE("PR24QA_",  $C$1, "_OUT3")</f>
        <v>PR24QA_PR24CA57_OUT3</v>
      </c>
      <c r="C65" s="2" t="str">
        <f xml:space="preserve"> CONCATENATE("F_Inputs time stamp - ", $C$1)</f>
        <v>F_Inputs time stamp - PR24CA57</v>
      </c>
      <c r="D65" s="2" t="s">
        <v>331</v>
      </c>
      <c r="E65" s="2" t="s">
        <v>72</v>
      </c>
      <c r="F65" s="2" t="str">
        <f>F_Inputs!$E$1</f>
        <v>Run on 05 Sep 2024 9:38</v>
      </c>
      <c r="G65" s="2" t="str">
        <f>F_Inputs!$E$1</f>
        <v>Run on 05 Sep 2024 9:38</v>
      </c>
      <c r="H65" s="2" t="str">
        <f>F_Inputs!$E$1</f>
        <v>Run on 05 Sep 2024 9:38</v>
      </c>
      <c r="I65" s="2" t="str">
        <f>F_Inputs!$E$1</f>
        <v>Run on 05 Sep 2024 9:38</v>
      </c>
      <c r="J65" s="2" t="str">
        <f>F_Inputs!$E$1</f>
        <v>Run on 05 Sep 2024 9:38</v>
      </c>
      <c r="K65" s="2" t="str">
        <f>F_Inputs!$E$1</f>
        <v>Run on 05 Sep 2024 9:38</v>
      </c>
      <c r="L65" s="2" t="str">
        <f>F_Inputs!$E$1</f>
        <v>Run on 05 Sep 2024 9:38</v>
      </c>
      <c r="M65" s="2" t="str">
        <f>F_Inputs!$E$1</f>
        <v>Run on 05 Sep 2024 9:38</v>
      </c>
    </row>
    <row r="66" spans="1:13">
      <c r="A66" s="2" t="s">
        <v>101</v>
      </c>
      <c r="B66" s="2" t="str">
        <f xml:space="preserve"> CONCATENATE("PR24QA_",  $C$1, "_OUT4")</f>
        <v>PR24QA_PR24CA57_OUT4</v>
      </c>
      <c r="C66" s="2" t="str">
        <f xml:space="preserve"> CONCATENATE("Model override switch for - ", $C$1)</f>
        <v>Model override switch for - PR24CA57</v>
      </c>
      <c r="D66" s="2" t="s">
        <v>332</v>
      </c>
      <c r="E66" s="2" t="s">
        <v>72</v>
      </c>
      <c r="F66" s="2">
        <f>IF(SUM('F_Input Override'!$F$5:$L$125)&gt;0,1,0)</f>
        <v>1</v>
      </c>
      <c r="G66" s="2">
        <f>IF(SUM('F_Input Override'!$F$5:$L$125)&gt;0,1,0)</f>
        <v>1</v>
      </c>
      <c r="H66" s="2">
        <f>IF(SUM('F_Input Override'!$F$5:$L$125)&gt;0,1,0)</f>
        <v>1</v>
      </c>
      <c r="I66" s="2">
        <f>IF(SUM('F_Input Override'!$F$5:$L$125)&gt;0,1,0)</f>
        <v>1</v>
      </c>
      <c r="J66" s="2">
        <f>IF(SUM('F_Input Override'!$F$5:$L$125)&gt;0,1,0)</f>
        <v>1</v>
      </c>
      <c r="K66" s="2">
        <f>IF(SUM('F_Input Override'!$F$5:$L$125)&gt;0,1,0)</f>
        <v>1</v>
      </c>
      <c r="L66" s="2">
        <f>IF(SUM('F_Input Override'!$F$5:$L$125)&gt;0,1,0)</f>
        <v>1</v>
      </c>
      <c r="M66" s="2">
        <f>IF(SUM('F_Input Override'!$F$5:$L$125)&gt;0,1,0)</f>
        <v>1</v>
      </c>
    </row>
    <row r="67" spans="1:13">
      <c r="A67" s="2" t="s">
        <v>101</v>
      </c>
      <c r="B67" s="2" t="str">
        <f>CONCATENATE("C_", $C$1, "_ENH_WW_ASSESSED")</f>
        <v>C_PR24CA57_ENH_WW_ASSESSED</v>
      </c>
      <c r="C67" s="2" t="str">
        <f>CONCATENATE("Total amount assessed - ", MID($C$4,31,200))</f>
        <v>Total amount assessed - Wastewater - Chemical investigations - Totex</v>
      </c>
      <c r="D67" s="3" t="s">
        <v>78</v>
      </c>
      <c r="E67" s="2" t="s">
        <v>72</v>
      </c>
      <c r="F67" s="2">
        <f ca="1" xml:space="preserve"> SUMIFS(Allowance!$G$16:$G$26, Allowance!$B$16:$B$26, A67)</f>
        <v>7.3220000000000001</v>
      </c>
    </row>
    <row r="68" spans="1:13">
      <c r="A68" s="2" t="s">
        <v>95</v>
      </c>
      <c r="B68" s="2" t="str">
        <f>CONCATENATE("C_", $C$1, "_ENH_WW_TOT")</f>
        <v>C_PR24CA57_ENH_WW_TOT</v>
      </c>
      <c r="C68" s="2" t="str">
        <f xml:space="preserve"> $C$4</f>
        <v>Total enhancement allowance - Wastewater - Chemical investigations - Totex</v>
      </c>
      <c r="D68" s="2" t="s">
        <v>78</v>
      </c>
      <c r="E68" s="2" t="s">
        <v>72</v>
      </c>
      <c r="I68" s="2">
        <f ca="1" xml:space="preserve"> SUMIFS('Outputs to aggregator'!U$24:U$35, 'Outputs to aggregator'!$O$24:$O$35, $A68)</f>
        <v>1.393600524762217</v>
      </c>
      <c r="J68" s="2">
        <f ca="1" xml:space="preserve"> SUMIFS('Outputs to aggregator'!V$24:V$35, 'Outputs to aggregator'!$O$24:$O$35, $A68)</f>
        <v>1.3583994752377826</v>
      </c>
      <c r="K68" s="2">
        <f ca="1" xml:space="preserve"> SUMIFS('Outputs to aggregator'!W$24:W$35, 'Outputs to aggregator'!$O$24:$O$35, $A68)</f>
        <v>0</v>
      </c>
      <c r="L68" s="2">
        <f ca="1" xml:space="preserve"> SUMIFS('Outputs to aggregator'!X$24:X$35, 'Outputs to aggregator'!$O$24:$O$35, $A68)</f>
        <v>0</v>
      </c>
      <c r="M68" s="2">
        <f ca="1" xml:space="preserve"> SUMIFS('Outputs to aggregator'!Y$24:Y$35, 'Outputs to aggregator'!$O$24:$O$35, $A68)</f>
        <v>0</v>
      </c>
    </row>
    <row r="69" spans="1:13">
      <c r="A69" s="2" t="s">
        <v>95</v>
      </c>
      <c r="B69" s="2" t="str">
        <f>CONCATENATE("C_", $C$1, "_ENH_WW_AP")</f>
        <v>C_PR24CA57_ENH_WW_AP</v>
      </c>
      <c r="C69" s="2" t="str">
        <f xml:space="preserve"> $C$5</f>
        <v>Total enhancement allowance - Wastewater - Chemical investigations - Accelerated programme</v>
      </c>
      <c r="D69" s="2" t="s">
        <v>78</v>
      </c>
      <c r="E69" s="2" t="s">
        <v>72</v>
      </c>
      <c r="G69" s="2">
        <f ca="1" xml:space="preserve"> SUMIFS('Outputs to aggregator'!$R$24:$R$35, 'Outputs to aggregator'!$O$24:$O$35, $A69)</f>
        <v>0</v>
      </c>
      <c r="H69" s="2">
        <f ca="1" xml:space="preserve"> SUMIFS('Outputs to aggregator'!$T$24:$T$35, 'Outputs to aggregator'!$O$24:$O$35, $A69)</f>
        <v>0</v>
      </c>
    </row>
    <row r="70" spans="1:13">
      <c r="A70" s="2" t="s">
        <v>95</v>
      </c>
      <c r="B70" s="2" t="str">
        <f>CONCATENATE("C_", $C$1, "_ENH_WW_TE")</f>
        <v>C_PR24CA57_ENH_WW_TE</v>
      </c>
      <c r="C70" s="2" t="str">
        <f xml:space="preserve"> $C$6</f>
        <v>Total enhancement allowance - Wastewater - Chemical investigations - Transition allowance</v>
      </c>
      <c r="D70" s="2" t="s">
        <v>78</v>
      </c>
      <c r="E70" s="2" t="s">
        <v>72</v>
      </c>
      <c r="G70" s="2">
        <f ca="1" xml:space="preserve"> SUMIFS('Outputs to aggregator'!$Q$24:$Q$35, 'Outputs to aggregator'!$O$24:$O$35, $A70)</f>
        <v>0</v>
      </c>
      <c r="H70" s="2">
        <f ca="1" xml:space="preserve"> SUMIFS('Outputs to aggregator'!$S$24:$S$35, 'Outputs to aggregator'!$O$24:$O$35, $A70)</f>
        <v>0</v>
      </c>
    </row>
    <row r="71" spans="1:13">
      <c r="A71" s="2" t="s">
        <v>95</v>
      </c>
      <c r="B71" s="2" t="str">
        <f xml:space="preserve"> CONCATENATE("PR24QA_",  $C$1, "_OUT1")</f>
        <v>PR24QA_PR24CA57_OUT1</v>
      </c>
      <c r="C71" s="2" t="str">
        <f xml:space="preserve"> CONCATENATE("Date &amp; Time for Model - ", $C$1)</f>
        <v>Date &amp; Time for Model - PR24CA57</v>
      </c>
      <c r="D71" s="2" t="s">
        <v>331</v>
      </c>
      <c r="E71" s="2" t="s">
        <v>72</v>
      </c>
      <c r="F71" s="2" t="str">
        <f t="shared" ref="F71:M71" ca="1" si="16">CONCATENATE("[…]", TEXT(NOW(),"dd/mm/yyy hh:mm:ss"))</f>
        <v>[…]13/12/2024 12:59:39</v>
      </c>
      <c r="G71" s="2" t="str">
        <f t="shared" ca="1" si="16"/>
        <v>[…]13/12/2024 12:59:39</v>
      </c>
      <c r="H71" s="2" t="str">
        <f t="shared" ca="1" si="16"/>
        <v>[…]13/12/2024 12:59:39</v>
      </c>
      <c r="I71" s="2" t="str">
        <f t="shared" ca="1" si="16"/>
        <v>[…]13/12/2024 12:59:39</v>
      </c>
      <c r="J71" s="2" t="str">
        <f t="shared" ca="1" si="16"/>
        <v>[…]13/12/2024 12:59:39</v>
      </c>
      <c r="K71" s="2" t="str">
        <f t="shared" ca="1" si="16"/>
        <v>[…]13/12/2024 12:59:39</v>
      </c>
      <c r="L71" s="2" t="str">
        <f t="shared" ca="1" si="16"/>
        <v>[…]13/12/2024 12:59:39</v>
      </c>
      <c r="M71" s="2" t="str">
        <f t="shared" ca="1" si="16"/>
        <v>[…]13/12/2024 12:59:39</v>
      </c>
    </row>
    <row r="72" spans="1:13">
      <c r="A72" s="2" t="s">
        <v>95</v>
      </c>
      <c r="B72" s="2" t="str">
        <f xml:space="preserve"> CONCATENATE("PR24QA_",  $C$1, "_OUT2")</f>
        <v>PR24QA_PR24CA57_OUT2</v>
      </c>
      <c r="C72" s="2" t="str">
        <f xml:space="preserve"> CONCATENATE("Name of Model - ", $C$1)</f>
        <v>Name of Model - PR24CA57</v>
      </c>
      <c r="D72" s="2" t="s">
        <v>331</v>
      </c>
      <c r="E72" s="2" t="s">
        <v>72</v>
      </c>
      <c r="F72" s="2" t="str">
        <f t="shared" ref="F72:M72" ca="1" si="17">MID(CELL("filename"),SEARCH("[",CELL("filename"))+1,SEARCH("]",CELL("filename"))-SEARCH("[",CELL("filename"))-1)</f>
        <v>City briefing FD cost allowance graphics.xlsx</v>
      </c>
      <c r="G72" s="2" t="str">
        <f t="shared" ca="1" si="17"/>
        <v>City briefing FD cost allowance graphics.xlsx</v>
      </c>
      <c r="H72" s="2" t="str">
        <f t="shared" ca="1" si="17"/>
        <v>City briefing FD cost allowance graphics.xlsx</v>
      </c>
      <c r="I72" s="2" t="str">
        <f t="shared" ca="1" si="17"/>
        <v>City briefing FD cost allowance graphics.xlsx</v>
      </c>
      <c r="J72" s="2" t="str">
        <f t="shared" ca="1" si="17"/>
        <v>City briefing FD cost allowance graphics.xlsx</v>
      </c>
      <c r="K72" s="2" t="str">
        <f t="shared" ca="1" si="17"/>
        <v>City briefing FD cost allowance graphics.xlsx</v>
      </c>
      <c r="L72" s="2" t="str">
        <f t="shared" ca="1" si="17"/>
        <v>City briefing FD cost allowance graphics.xlsx</v>
      </c>
      <c r="M72" s="2" t="str">
        <f t="shared" ca="1" si="17"/>
        <v>City briefing FD cost allowance graphics.xlsx</v>
      </c>
    </row>
    <row r="73" spans="1:13">
      <c r="A73" s="2" t="s">
        <v>95</v>
      </c>
      <c r="B73" s="2" t="str">
        <f xml:space="preserve"> CONCATENATE("PR24QA_",  $C$1, "_OUT3")</f>
        <v>PR24QA_PR24CA57_OUT3</v>
      </c>
      <c r="C73" s="2" t="str">
        <f xml:space="preserve"> CONCATENATE("F_Inputs time stamp - ", $C$1)</f>
        <v>F_Inputs time stamp - PR24CA57</v>
      </c>
      <c r="D73" s="2" t="s">
        <v>331</v>
      </c>
      <c r="E73" s="2" t="s">
        <v>72</v>
      </c>
      <c r="F73" s="2" t="str">
        <f>F_Inputs!$E$1</f>
        <v>Run on 05 Sep 2024 9:38</v>
      </c>
      <c r="G73" s="2" t="str">
        <f>F_Inputs!$E$1</f>
        <v>Run on 05 Sep 2024 9:38</v>
      </c>
      <c r="H73" s="2" t="str">
        <f>F_Inputs!$E$1</f>
        <v>Run on 05 Sep 2024 9:38</v>
      </c>
      <c r="I73" s="2" t="str">
        <f>F_Inputs!$E$1</f>
        <v>Run on 05 Sep 2024 9:38</v>
      </c>
      <c r="J73" s="2" t="str">
        <f>F_Inputs!$E$1</f>
        <v>Run on 05 Sep 2024 9:38</v>
      </c>
      <c r="K73" s="2" t="str">
        <f>F_Inputs!$E$1</f>
        <v>Run on 05 Sep 2024 9:38</v>
      </c>
      <c r="L73" s="2" t="str">
        <f>F_Inputs!$E$1</f>
        <v>Run on 05 Sep 2024 9:38</v>
      </c>
      <c r="M73" s="2" t="str">
        <f>F_Inputs!$E$1</f>
        <v>Run on 05 Sep 2024 9:38</v>
      </c>
    </row>
    <row r="74" spans="1:13">
      <c r="A74" s="2" t="s">
        <v>95</v>
      </c>
      <c r="B74" s="2" t="str">
        <f xml:space="preserve"> CONCATENATE("PR24QA_",  $C$1, "_OUT4")</f>
        <v>PR24QA_PR24CA57_OUT4</v>
      </c>
      <c r="C74" s="2" t="str">
        <f xml:space="preserve"> CONCATENATE("Model override switch for - ", $C$1)</f>
        <v>Model override switch for - PR24CA57</v>
      </c>
      <c r="D74" s="2" t="s">
        <v>332</v>
      </c>
      <c r="E74" s="2" t="s">
        <v>72</v>
      </c>
      <c r="F74" s="2">
        <f>IF(SUM('F_Input Override'!$F$5:$L$125)&gt;0,1,0)</f>
        <v>1</v>
      </c>
      <c r="G74" s="2">
        <f>IF(SUM('F_Input Override'!$F$5:$L$125)&gt;0,1,0)</f>
        <v>1</v>
      </c>
      <c r="H74" s="2">
        <f>IF(SUM('F_Input Override'!$F$5:$L$125)&gt;0,1,0)</f>
        <v>1</v>
      </c>
      <c r="I74" s="2">
        <f>IF(SUM('F_Input Override'!$F$5:$L$125)&gt;0,1,0)</f>
        <v>1</v>
      </c>
      <c r="J74" s="2">
        <f>IF(SUM('F_Input Override'!$F$5:$L$125)&gt;0,1,0)</f>
        <v>1</v>
      </c>
      <c r="K74" s="2">
        <f>IF(SUM('F_Input Override'!$F$5:$L$125)&gt;0,1,0)</f>
        <v>1</v>
      </c>
      <c r="L74" s="2">
        <f>IF(SUM('F_Input Override'!$F$5:$L$125)&gt;0,1,0)</f>
        <v>1</v>
      </c>
      <c r="M74" s="2">
        <f>IF(SUM('F_Input Override'!$F$5:$L$125)&gt;0,1,0)</f>
        <v>1</v>
      </c>
    </row>
    <row r="75" spans="1:13">
      <c r="A75" s="2" t="s">
        <v>95</v>
      </c>
      <c r="B75" s="2" t="str">
        <f>CONCATENATE("C_", $C$1, "_ENH_WW_ASSESSED")</f>
        <v>C_PR24CA57_ENH_WW_ASSESSED</v>
      </c>
      <c r="C75" s="2" t="str">
        <f>CONCATENATE("Total amount assessed - ", MID($C$4,31,200))</f>
        <v>Total amount assessed - Wastewater - Chemical investigations - Totex</v>
      </c>
      <c r="D75" s="3" t="s">
        <v>78</v>
      </c>
      <c r="E75" s="2" t="s">
        <v>72</v>
      </c>
      <c r="F75" s="2">
        <f ca="1" xml:space="preserve"> SUMIFS(Allowance!$G$16:$G$26, Allowance!$B$16:$B$26, A75)</f>
        <v>2.7519999999999998</v>
      </c>
    </row>
    <row r="76" spans="1:13">
      <c r="A76" s="2" t="s">
        <v>103</v>
      </c>
      <c r="B76" s="2" t="str">
        <f>CONCATENATE("C_", $C$1, "_ENH_WW_TOT")</f>
        <v>C_PR24CA57_ENH_WW_TOT</v>
      </c>
      <c r="C76" s="2" t="str">
        <f xml:space="preserve"> $C$4</f>
        <v>Total enhancement allowance - Wastewater - Chemical investigations - Totex</v>
      </c>
      <c r="D76" s="2" t="s">
        <v>78</v>
      </c>
      <c r="E76" s="2" t="s">
        <v>72</v>
      </c>
      <c r="I76" s="2">
        <f ca="1" xml:space="preserve"> SUMIFS('Outputs to aggregator'!U$24:U$35, 'Outputs to aggregator'!$O$24:$O$35, $A76)</f>
        <v>3.602735</v>
      </c>
      <c r="J76" s="2">
        <f ca="1" xml:space="preserve"> SUMIFS('Outputs to aggregator'!V$24:V$35, 'Outputs to aggregator'!$O$24:$O$35, $A76)</f>
        <v>3.3669610000000003</v>
      </c>
      <c r="K76" s="2">
        <f ca="1" xml:space="preserve"> SUMIFS('Outputs to aggregator'!W$24:W$35, 'Outputs to aggregator'!$O$24:$O$35, $A76)</f>
        <v>1.3767480000000001</v>
      </c>
      <c r="L76" s="2">
        <f ca="1" xml:space="preserve"> SUMIFS('Outputs to aggregator'!X$24:X$35, 'Outputs to aggregator'!$O$24:$O$35, $A76)</f>
        <v>0.60099900000000006</v>
      </c>
      <c r="M76" s="2">
        <f ca="1" xml:space="preserve"> SUMIFS('Outputs to aggregator'!Y$24:Y$35, 'Outputs to aggregator'!$O$24:$O$35, $A76)</f>
        <v>0.11004600000000002</v>
      </c>
    </row>
    <row r="77" spans="1:13">
      <c r="A77" s="2" t="s">
        <v>103</v>
      </c>
      <c r="B77" s="2" t="str">
        <f>CONCATENATE("C_", $C$1, "_ENH_WW_AP")</f>
        <v>C_PR24CA57_ENH_WW_AP</v>
      </c>
      <c r="C77" s="2" t="str">
        <f xml:space="preserve"> $C$5</f>
        <v>Total enhancement allowance - Wastewater - Chemical investigations - Accelerated programme</v>
      </c>
      <c r="D77" s="2" t="s">
        <v>78</v>
      </c>
      <c r="E77" s="2" t="s">
        <v>72</v>
      </c>
      <c r="G77" s="2">
        <f ca="1" xml:space="preserve"> SUMIFS('Outputs to aggregator'!$R$24:$R$35, 'Outputs to aggregator'!$O$24:$O$35, $A77)</f>
        <v>0</v>
      </c>
      <c r="H77" s="2">
        <f ca="1" xml:space="preserve"> SUMIFS('Outputs to aggregator'!$T$24:$T$35, 'Outputs to aggregator'!$O$24:$O$35, $A77)</f>
        <v>0</v>
      </c>
    </row>
    <row r="78" spans="1:13">
      <c r="A78" s="2" t="s">
        <v>103</v>
      </c>
      <c r="B78" s="2" t="str">
        <f>CONCATENATE("C_", $C$1, "_ENH_WW_TE")</f>
        <v>C_PR24CA57_ENH_WW_TE</v>
      </c>
      <c r="C78" s="2" t="str">
        <f xml:space="preserve"> $C$6</f>
        <v>Total enhancement allowance - Wastewater - Chemical investigations - Transition allowance</v>
      </c>
      <c r="D78" s="2" t="s">
        <v>78</v>
      </c>
      <c r="E78" s="2" t="s">
        <v>72</v>
      </c>
      <c r="G78" s="2">
        <f ca="1" xml:space="preserve"> SUMIFS('Outputs to aggregator'!$Q$24:$Q$35, 'Outputs to aggregator'!$O$24:$O$35, $A78)</f>
        <v>0.187781</v>
      </c>
      <c r="H78" s="2">
        <f ca="1" xml:space="preserve"> SUMIFS('Outputs to aggregator'!$S$24:$S$35, 'Outputs to aggregator'!$O$24:$O$35, $A78)</f>
        <v>0.73588399999999998</v>
      </c>
    </row>
    <row r="79" spans="1:13">
      <c r="A79" s="2" t="s">
        <v>103</v>
      </c>
      <c r="B79" s="2" t="str">
        <f xml:space="preserve"> CONCATENATE("PR24QA_",  $C$1, "_OUT1")</f>
        <v>PR24QA_PR24CA57_OUT1</v>
      </c>
      <c r="C79" s="2" t="str">
        <f xml:space="preserve"> CONCATENATE("Date &amp; Time for Model - ", $C$1)</f>
        <v>Date &amp; Time for Model - PR24CA57</v>
      </c>
      <c r="D79" s="2" t="s">
        <v>331</v>
      </c>
      <c r="E79" s="2" t="s">
        <v>72</v>
      </c>
      <c r="F79" s="2" t="str">
        <f t="shared" ref="F79:M79" ca="1" si="18">CONCATENATE("[…]", TEXT(NOW(),"dd/mm/yyy hh:mm:ss"))</f>
        <v>[…]13/12/2024 12:59:39</v>
      </c>
      <c r="G79" s="2" t="str">
        <f t="shared" ca="1" si="18"/>
        <v>[…]13/12/2024 12:59:39</v>
      </c>
      <c r="H79" s="2" t="str">
        <f t="shared" ca="1" si="18"/>
        <v>[…]13/12/2024 12:59:39</v>
      </c>
      <c r="I79" s="2" t="str">
        <f t="shared" ca="1" si="18"/>
        <v>[…]13/12/2024 12:59:39</v>
      </c>
      <c r="J79" s="2" t="str">
        <f t="shared" ca="1" si="18"/>
        <v>[…]13/12/2024 12:59:39</v>
      </c>
      <c r="K79" s="2" t="str">
        <f t="shared" ca="1" si="18"/>
        <v>[…]13/12/2024 12:59:39</v>
      </c>
      <c r="L79" s="2" t="str">
        <f t="shared" ca="1" si="18"/>
        <v>[…]13/12/2024 12:59:39</v>
      </c>
      <c r="M79" s="2" t="str">
        <f t="shared" ca="1" si="18"/>
        <v>[…]13/12/2024 12:59:39</v>
      </c>
    </row>
    <row r="80" spans="1:13">
      <c r="A80" s="2" t="s">
        <v>103</v>
      </c>
      <c r="B80" s="2" t="str">
        <f xml:space="preserve"> CONCATENATE("PR24QA_",  $C$1, "_OUT2")</f>
        <v>PR24QA_PR24CA57_OUT2</v>
      </c>
      <c r="C80" s="2" t="str">
        <f xml:space="preserve"> CONCATENATE("Name of Model - ", $C$1)</f>
        <v>Name of Model - PR24CA57</v>
      </c>
      <c r="D80" s="2" t="s">
        <v>331</v>
      </c>
      <c r="E80" s="2" t="s">
        <v>72</v>
      </c>
      <c r="F80" s="2" t="str">
        <f t="shared" ref="F80:M80" ca="1" si="19">MID(CELL("filename"),SEARCH("[",CELL("filename"))+1,SEARCH("]",CELL("filename"))-SEARCH("[",CELL("filename"))-1)</f>
        <v>City briefing FD cost allowance graphics.xlsx</v>
      </c>
      <c r="G80" s="2" t="str">
        <f t="shared" ca="1" si="19"/>
        <v>City briefing FD cost allowance graphics.xlsx</v>
      </c>
      <c r="H80" s="2" t="str">
        <f t="shared" ca="1" si="19"/>
        <v>City briefing FD cost allowance graphics.xlsx</v>
      </c>
      <c r="I80" s="2" t="str">
        <f t="shared" ca="1" si="19"/>
        <v>City briefing FD cost allowance graphics.xlsx</v>
      </c>
      <c r="J80" s="2" t="str">
        <f t="shared" ca="1" si="19"/>
        <v>City briefing FD cost allowance graphics.xlsx</v>
      </c>
      <c r="K80" s="2" t="str">
        <f t="shared" ca="1" si="19"/>
        <v>City briefing FD cost allowance graphics.xlsx</v>
      </c>
      <c r="L80" s="2" t="str">
        <f t="shared" ca="1" si="19"/>
        <v>City briefing FD cost allowance graphics.xlsx</v>
      </c>
      <c r="M80" s="2" t="str">
        <f t="shared" ca="1" si="19"/>
        <v>City briefing FD cost allowance graphics.xlsx</v>
      </c>
    </row>
    <row r="81" spans="1:13">
      <c r="A81" s="2" t="s">
        <v>103</v>
      </c>
      <c r="B81" s="2" t="str">
        <f xml:space="preserve"> CONCATENATE("PR24QA_",  $C$1, "_OUT3")</f>
        <v>PR24QA_PR24CA57_OUT3</v>
      </c>
      <c r="C81" s="2" t="str">
        <f xml:space="preserve"> CONCATENATE("F_Inputs time stamp - ", $C$1)</f>
        <v>F_Inputs time stamp - PR24CA57</v>
      </c>
      <c r="D81" s="2" t="s">
        <v>331</v>
      </c>
      <c r="E81" s="2" t="s">
        <v>72</v>
      </c>
      <c r="F81" s="2" t="str">
        <f>F_Inputs!$E$1</f>
        <v>Run on 05 Sep 2024 9:38</v>
      </c>
      <c r="G81" s="2" t="str">
        <f>F_Inputs!$E$1</f>
        <v>Run on 05 Sep 2024 9:38</v>
      </c>
      <c r="H81" s="2" t="str">
        <f>F_Inputs!$E$1</f>
        <v>Run on 05 Sep 2024 9:38</v>
      </c>
      <c r="I81" s="2" t="str">
        <f>F_Inputs!$E$1</f>
        <v>Run on 05 Sep 2024 9:38</v>
      </c>
      <c r="J81" s="2" t="str">
        <f>F_Inputs!$E$1</f>
        <v>Run on 05 Sep 2024 9:38</v>
      </c>
      <c r="K81" s="2" t="str">
        <f>F_Inputs!$E$1</f>
        <v>Run on 05 Sep 2024 9:38</v>
      </c>
      <c r="L81" s="2" t="str">
        <f>F_Inputs!$E$1</f>
        <v>Run on 05 Sep 2024 9:38</v>
      </c>
      <c r="M81" s="2" t="str">
        <f>F_Inputs!$E$1</f>
        <v>Run on 05 Sep 2024 9:38</v>
      </c>
    </row>
    <row r="82" spans="1:13">
      <c r="A82" s="2" t="s">
        <v>103</v>
      </c>
      <c r="B82" s="2" t="str">
        <f xml:space="preserve"> CONCATENATE("PR24QA_",  $C$1, "_OUT4")</f>
        <v>PR24QA_PR24CA57_OUT4</v>
      </c>
      <c r="C82" s="2" t="str">
        <f xml:space="preserve"> CONCATENATE("Model override switch for - ", $C$1)</f>
        <v>Model override switch for - PR24CA57</v>
      </c>
      <c r="D82" s="2" t="s">
        <v>332</v>
      </c>
      <c r="E82" s="2" t="s">
        <v>72</v>
      </c>
      <c r="F82" s="2">
        <f>IF(SUM('F_Input Override'!$F$5:$L$125)&gt;0,1,0)</f>
        <v>1</v>
      </c>
      <c r="G82" s="2">
        <f>IF(SUM('F_Input Override'!$F$5:$L$125)&gt;0,1,0)</f>
        <v>1</v>
      </c>
      <c r="H82" s="2">
        <f>IF(SUM('F_Input Override'!$F$5:$L$125)&gt;0,1,0)</f>
        <v>1</v>
      </c>
      <c r="I82" s="2">
        <f>IF(SUM('F_Input Override'!$F$5:$L$125)&gt;0,1,0)</f>
        <v>1</v>
      </c>
      <c r="J82" s="2">
        <f>IF(SUM('F_Input Override'!$F$5:$L$125)&gt;0,1,0)</f>
        <v>1</v>
      </c>
      <c r="K82" s="2">
        <f>IF(SUM('F_Input Override'!$F$5:$L$125)&gt;0,1,0)</f>
        <v>1</v>
      </c>
      <c r="L82" s="2">
        <f>IF(SUM('F_Input Override'!$F$5:$L$125)&gt;0,1,0)</f>
        <v>1</v>
      </c>
      <c r="M82" s="2">
        <f>IF(SUM('F_Input Override'!$F$5:$L$125)&gt;0,1,0)</f>
        <v>1</v>
      </c>
    </row>
    <row r="83" spans="1:13">
      <c r="A83" s="2" t="s">
        <v>103</v>
      </c>
      <c r="B83" s="2" t="str">
        <f>CONCATENATE("C_", $C$1, "_ENH_WW_ASSESSED")</f>
        <v>C_PR24CA57_ENH_WW_ASSESSED</v>
      </c>
      <c r="C83" s="2" t="str">
        <f>CONCATENATE("Total amount assessed - ", MID($C$4,31,200))</f>
        <v>Total amount assessed - Wastewater - Chemical investigations - Totex</v>
      </c>
      <c r="D83" s="3" t="s">
        <v>78</v>
      </c>
      <c r="E83" s="2" t="s">
        <v>72</v>
      </c>
      <c r="F83" s="2">
        <f ca="1" xml:space="preserve"> SUMIFS(Allowance!$G$16:$G$26, Allowance!$B$16:$B$26, A83)</f>
        <v>9.9811540000000001</v>
      </c>
    </row>
    <row r="84" spans="1:13">
      <c r="A84" s="2" t="s">
        <v>104</v>
      </c>
      <c r="B84" s="2" t="str">
        <f>CONCATENATE("C_", $C$1, "_ENH_WW_TOT")</f>
        <v>C_PR24CA57_ENH_WW_TOT</v>
      </c>
      <c r="C84" s="2" t="str">
        <f xml:space="preserve"> $C$4</f>
        <v>Total enhancement allowance - Wastewater - Chemical investigations - Totex</v>
      </c>
      <c r="D84" s="2" t="s">
        <v>78</v>
      </c>
      <c r="E84" s="2" t="s">
        <v>72</v>
      </c>
      <c r="I84" s="2">
        <f ca="1" xml:space="preserve"> SUMIFS('Outputs to aggregator'!U$24:U$35, 'Outputs to aggregator'!$O$24:$O$35, $A84)</f>
        <v>2.1737215999999999</v>
      </c>
      <c r="J84" s="2">
        <f ca="1" xml:space="preserve"> SUMIFS('Outputs to aggregator'!V$24:V$35, 'Outputs to aggregator'!$O$24:$O$35, $A84)</f>
        <v>1.9448639999999999</v>
      </c>
      <c r="K84" s="2">
        <f ca="1" xml:space="preserve"> SUMIFS('Outputs to aggregator'!W$24:W$35, 'Outputs to aggregator'!$O$24:$O$35, $A84)</f>
        <v>0.85227520000000012</v>
      </c>
      <c r="L84" s="2">
        <f ca="1" xml:space="preserve"> SUMIFS('Outputs to aggregator'!X$24:X$35, 'Outputs to aggregator'!$O$24:$O$35, $A84)</f>
        <v>9.4E-2</v>
      </c>
      <c r="M84" s="2">
        <f ca="1" xml:space="preserve"> SUMIFS('Outputs to aggregator'!Y$24:Y$35, 'Outputs to aggregator'!$O$24:$O$35, $A84)</f>
        <v>9.4E-2</v>
      </c>
    </row>
    <row r="85" spans="1:13">
      <c r="A85" s="2" t="s">
        <v>104</v>
      </c>
      <c r="B85" s="2" t="str">
        <f>CONCATENATE("C_", $C$1, "_ENH_WW_AP")</f>
        <v>C_PR24CA57_ENH_WW_AP</v>
      </c>
      <c r="C85" s="2" t="str">
        <f xml:space="preserve"> $C$5</f>
        <v>Total enhancement allowance - Wastewater - Chemical investigations - Accelerated programme</v>
      </c>
      <c r="D85" s="2" t="s">
        <v>78</v>
      </c>
      <c r="E85" s="2" t="s">
        <v>72</v>
      </c>
      <c r="G85" s="2">
        <f ca="1" xml:space="preserve"> SUMIFS('Outputs to aggregator'!$R$24:$R$35, 'Outputs to aggregator'!$O$24:$O$35, $A85)</f>
        <v>0</v>
      </c>
      <c r="H85" s="2">
        <f ca="1" xml:space="preserve"> SUMIFS('Outputs to aggregator'!$T$24:$T$35, 'Outputs to aggregator'!$O$24:$O$35, $A85)</f>
        <v>0</v>
      </c>
    </row>
    <row r="86" spans="1:13">
      <c r="A86" s="2" t="s">
        <v>104</v>
      </c>
      <c r="B86" s="2" t="str">
        <f>CONCATENATE("C_", $C$1, "_ENH_WW_TE")</f>
        <v>C_PR24CA57_ENH_WW_TE</v>
      </c>
      <c r="C86" s="2" t="str">
        <f xml:space="preserve"> $C$6</f>
        <v>Total enhancement allowance - Wastewater - Chemical investigations - Transition allowance</v>
      </c>
      <c r="D86" s="2" t="s">
        <v>78</v>
      </c>
      <c r="E86" s="2" t="s">
        <v>72</v>
      </c>
      <c r="G86" s="2">
        <f ca="1" xml:space="preserve"> SUMIFS('Outputs to aggregator'!$Q$24:$Q$35, 'Outputs to aggregator'!$O$24:$O$35, $A86)</f>
        <v>0</v>
      </c>
      <c r="H86" s="2">
        <f ca="1" xml:space="preserve"> SUMIFS('Outputs to aggregator'!$S$24:$S$35, 'Outputs to aggregator'!$O$24:$O$35, $A86)</f>
        <v>0.41199999999999992</v>
      </c>
    </row>
    <row r="87" spans="1:13">
      <c r="A87" s="2" t="s">
        <v>104</v>
      </c>
      <c r="B87" s="2" t="str">
        <f xml:space="preserve"> CONCATENATE("PR24QA_",  $C$1, "_OUT1")</f>
        <v>PR24QA_PR24CA57_OUT1</v>
      </c>
      <c r="C87" s="2" t="str">
        <f xml:space="preserve"> CONCATENATE("Date &amp; Time for Model - ", $C$1)</f>
        <v>Date &amp; Time for Model - PR24CA57</v>
      </c>
      <c r="D87" s="2" t="s">
        <v>331</v>
      </c>
      <c r="E87" s="2" t="s">
        <v>72</v>
      </c>
      <c r="F87" s="2" t="str">
        <f t="shared" ref="F87:M87" ca="1" si="20">CONCATENATE("[…]", TEXT(NOW(),"dd/mm/yyy hh:mm:ss"))</f>
        <v>[…]13/12/2024 12:59:39</v>
      </c>
      <c r="G87" s="2" t="str">
        <f t="shared" ca="1" si="20"/>
        <v>[…]13/12/2024 12:59:39</v>
      </c>
      <c r="H87" s="2" t="str">
        <f t="shared" ca="1" si="20"/>
        <v>[…]13/12/2024 12:59:39</v>
      </c>
      <c r="I87" s="2" t="str">
        <f t="shared" ca="1" si="20"/>
        <v>[…]13/12/2024 12:59:39</v>
      </c>
      <c r="J87" s="2" t="str">
        <f t="shared" ca="1" si="20"/>
        <v>[…]13/12/2024 12:59:39</v>
      </c>
      <c r="K87" s="2" t="str">
        <f t="shared" ca="1" si="20"/>
        <v>[…]13/12/2024 12:59:39</v>
      </c>
      <c r="L87" s="2" t="str">
        <f t="shared" ca="1" si="20"/>
        <v>[…]13/12/2024 12:59:39</v>
      </c>
      <c r="M87" s="2" t="str">
        <f t="shared" ca="1" si="20"/>
        <v>[…]13/12/2024 12:59:39</v>
      </c>
    </row>
    <row r="88" spans="1:13">
      <c r="A88" s="2" t="s">
        <v>104</v>
      </c>
      <c r="B88" s="2" t="str">
        <f xml:space="preserve"> CONCATENATE("PR24QA_",  $C$1, "_OUT2")</f>
        <v>PR24QA_PR24CA57_OUT2</v>
      </c>
      <c r="C88" s="2" t="str">
        <f xml:space="preserve"> CONCATENATE("Name of Model - ", $C$1)</f>
        <v>Name of Model - PR24CA57</v>
      </c>
      <c r="D88" s="2" t="s">
        <v>331</v>
      </c>
      <c r="E88" s="2" t="s">
        <v>72</v>
      </c>
      <c r="F88" s="2" t="str">
        <f t="shared" ref="F88:M88" ca="1" si="21">MID(CELL("filename"),SEARCH("[",CELL("filename"))+1,SEARCH("]",CELL("filename"))-SEARCH("[",CELL("filename"))-1)</f>
        <v>City briefing FD cost allowance graphics.xlsx</v>
      </c>
      <c r="G88" s="2" t="str">
        <f t="shared" ca="1" si="21"/>
        <v>City briefing FD cost allowance graphics.xlsx</v>
      </c>
      <c r="H88" s="2" t="str">
        <f t="shared" ca="1" si="21"/>
        <v>City briefing FD cost allowance graphics.xlsx</v>
      </c>
      <c r="I88" s="2" t="str">
        <f t="shared" ca="1" si="21"/>
        <v>City briefing FD cost allowance graphics.xlsx</v>
      </c>
      <c r="J88" s="2" t="str">
        <f t="shared" ca="1" si="21"/>
        <v>City briefing FD cost allowance graphics.xlsx</v>
      </c>
      <c r="K88" s="2" t="str">
        <f t="shared" ca="1" si="21"/>
        <v>City briefing FD cost allowance graphics.xlsx</v>
      </c>
      <c r="L88" s="2" t="str">
        <f t="shared" ca="1" si="21"/>
        <v>City briefing FD cost allowance graphics.xlsx</v>
      </c>
      <c r="M88" s="2" t="str">
        <f t="shared" ca="1" si="21"/>
        <v>City briefing FD cost allowance graphics.xlsx</v>
      </c>
    </row>
    <row r="89" spans="1:13">
      <c r="A89" s="2" t="s">
        <v>104</v>
      </c>
      <c r="B89" s="2" t="str">
        <f xml:space="preserve"> CONCATENATE("PR24QA_",  $C$1, "_OUT3")</f>
        <v>PR24QA_PR24CA57_OUT3</v>
      </c>
      <c r="C89" s="2" t="str">
        <f xml:space="preserve"> CONCATENATE("F_Inputs time stamp - ", $C$1)</f>
        <v>F_Inputs time stamp - PR24CA57</v>
      </c>
      <c r="D89" s="2" t="s">
        <v>331</v>
      </c>
      <c r="E89" s="2" t="s">
        <v>72</v>
      </c>
      <c r="F89" s="2" t="str">
        <f>F_Inputs!$E$1</f>
        <v>Run on 05 Sep 2024 9:38</v>
      </c>
      <c r="G89" s="2" t="str">
        <f>F_Inputs!$E$1</f>
        <v>Run on 05 Sep 2024 9:38</v>
      </c>
      <c r="H89" s="2" t="str">
        <f>F_Inputs!$E$1</f>
        <v>Run on 05 Sep 2024 9:38</v>
      </c>
      <c r="I89" s="2" t="str">
        <f>F_Inputs!$E$1</f>
        <v>Run on 05 Sep 2024 9:38</v>
      </c>
      <c r="J89" s="2" t="str">
        <f>F_Inputs!$E$1</f>
        <v>Run on 05 Sep 2024 9:38</v>
      </c>
      <c r="K89" s="2" t="str">
        <f>F_Inputs!$E$1</f>
        <v>Run on 05 Sep 2024 9:38</v>
      </c>
      <c r="L89" s="2" t="str">
        <f>F_Inputs!$E$1</f>
        <v>Run on 05 Sep 2024 9:38</v>
      </c>
      <c r="M89" s="2" t="str">
        <f>F_Inputs!$E$1</f>
        <v>Run on 05 Sep 2024 9:38</v>
      </c>
    </row>
    <row r="90" spans="1:13">
      <c r="A90" s="2" t="s">
        <v>104</v>
      </c>
      <c r="B90" s="2" t="str">
        <f xml:space="preserve"> CONCATENATE("PR24QA_",  $C$1, "_OUT4")</f>
        <v>PR24QA_PR24CA57_OUT4</v>
      </c>
      <c r="C90" s="2" t="str">
        <f xml:space="preserve"> CONCATENATE("Model override switch for - ", $C$1)</f>
        <v>Model override switch for - PR24CA57</v>
      </c>
      <c r="D90" s="2" t="s">
        <v>332</v>
      </c>
      <c r="E90" s="2" t="s">
        <v>72</v>
      </c>
      <c r="F90" s="2">
        <f>IF(SUM('F_Input Override'!$F$5:$L$125)&gt;0,1,0)</f>
        <v>1</v>
      </c>
      <c r="G90" s="2">
        <f>IF(SUM('F_Input Override'!$F$5:$L$125)&gt;0,1,0)</f>
        <v>1</v>
      </c>
      <c r="H90" s="2">
        <f>IF(SUM('F_Input Override'!$F$5:$L$125)&gt;0,1,0)</f>
        <v>1</v>
      </c>
      <c r="I90" s="2">
        <f>IF(SUM('F_Input Override'!$F$5:$L$125)&gt;0,1,0)</f>
        <v>1</v>
      </c>
      <c r="J90" s="2">
        <f>IF(SUM('F_Input Override'!$F$5:$L$125)&gt;0,1,0)</f>
        <v>1</v>
      </c>
      <c r="K90" s="2">
        <f>IF(SUM('F_Input Override'!$F$5:$L$125)&gt;0,1,0)</f>
        <v>1</v>
      </c>
      <c r="L90" s="2">
        <f>IF(SUM('F_Input Override'!$F$5:$L$125)&gt;0,1,0)</f>
        <v>1</v>
      </c>
      <c r="M90" s="2">
        <f>IF(SUM('F_Input Override'!$F$5:$L$125)&gt;0,1,0)</f>
        <v>1</v>
      </c>
    </row>
    <row r="91" spans="1:13">
      <c r="A91" s="2" t="s">
        <v>104</v>
      </c>
      <c r="B91" s="2" t="str">
        <f>CONCATENATE("C_", $C$1, "_ENH_WW_ASSESSED")</f>
        <v>C_PR24CA57_ENH_WW_ASSESSED</v>
      </c>
      <c r="C91" s="2" t="str">
        <f>CONCATENATE("Total amount assessed - ", MID($C$4,31,200))</f>
        <v>Total amount assessed - Wastewater - Chemical investigations - Totex</v>
      </c>
      <c r="D91" s="3" t="s">
        <v>78</v>
      </c>
      <c r="E91" s="2" t="s">
        <v>72</v>
      </c>
      <c r="F91" s="2">
        <f ca="1" xml:space="preserve"> SUMIFS(Allowance!$G$16:$G$26, Allowance!$B$16:$B$26, A91)</f>
        <v>5.5708608000000011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AC3C8-E006-44DA-B230-83B9371FF927}">
  <sheetPr>
    <tabColor rgb="FFCCCCCE"/>
  </sheetPr>
  <dimension ref="A1:AN49"/>
  <sheetViews>
    <sheetView showGridLines="0" topLeftCell="A2" zoomScale="80" zoomScaleNormal="80" workbookViewId="0"/>
  </sheetViews>
  <sheetFormatPr defaultColWidth="0" defaultRowHeight="12.95" customHeight="1" zeroHeight="1"/>
  <cols>
    <col min="1" max="4" width="1.42578125" style="81" customWidth="1"/>
    <col min="5" max="5" width="2.5703125" style="81" customWidth="1"/>
    <col min="6" max="6" width="4.42578125" style="81" customWidth="1"/>
    <col min="7" max="7" width="2.5703125" style="81" customWidth="1"/>
    <col min="8" max="8" width="30.5703125" style="81" customWidth="1"/>
    <col min="9" max="9" width="2.5703125" style="81" customWidth="1"/>
    <col min="10" max="10" width="4.42578125" style="81" customWidth="1"/>
    <col min="11" max="11" width="2.5703125" style="81" customWidth="1"/>
    <col min="12" max="12" width="30.5703125" style="81" customWidth="1"/>
    <col min="13" max="13" width="2.5703125" style="81" customWidth="1"/>
    <col min="14" max="14" width="4.42578125" style="81" customWidth="1"/>
    <col min="15" max="16" width="2.5703125" style="81" customWidth="1"/>
    <col min="17" max="17" width="30.5703125" style="81" customWidth="1"/>
    <col min="18" max="18" width="38.85546875" style="81" customWidth="1"/>
    <col min="19" max="20" width="2.5703125" style="81" hidden="1" customWidth="1"/>
    <col min="21" max="21" width="4.42578125" style="81" hidden="1" customWidth="1"/>
    <col min="22" max="22" width="2.5703125" style="81" hidden="1" customWidth="1"/>
    <col min="23" max="23" width="30.5703125" style="81" hidden="1" customWidth="1"/>
    <col min="24" max="24" width="2.5703125" style="81" hidden="1" customWidth="1"/>
    <col min="25" max="25" width="4.42578125" style="81" hidden="1" customWidth="1"/>
    <col min="26" max="26" width="2.5703125" style="81" hidden="1" customWidth="1"/>
    <col min="27" max="27" width="30.5703125" style="81" hidden="1" customWidth="1"/>
    <col min="28" max="28" width="2.5703125" style="81" hidden="1" customWidth="1"/>
    <col min="29" max="29" width="4.42578125" style="81" hidden="1" customWidth="1"/>
    <col min="30" max="30" width="5.5703125" style="81" hidden="1" customWidth="1"/>
    <col min="31" max="32" width="2.5703125" style="81" hidden="1" customWidth="1"/>
    <col min="33" max="33" width="30.5703125" style="81" hidden="1" customWidth="1"/>
    <col min="34" max="34" width="2.5703125" style="81" hidden="1" customWidth="1"/>
    <col min="35" max="35" width="5.5703125" style="81" hidden="1" customWidth="1"/>
    <col min="36" max="36" width="2.5703125" style="81" hidden="1" customWidth="1"/>
    <col min="37" max="37" width="30.5703125" style="81" hidden="1" customWidth="1"/>
    <col min="38" max="39" width="2.5703125" style="81" hidden="1" customWidth="1"/>
    <col min="40" max="16384" width="7" style="70" hidden="1"/>
  </cols>
  <sheetData>
    <row r="1" spans="1:40" ht="47.25">
      <c r="A1" s="58" t="str">
        <f ca="1" xml:space="preserve"> RIGHT(CELL("filename", A1), LEN(CELL("filename", A1)) - SEARCH("]", CELL("filename", A1)))</f>
        <v>Conceptual model</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row>
    <row r="2" spans="1:40" ht="20.25">
      <c r="A2" s="71"/>
      <c r="B2" s="72"/>
      <c r="C2" s="72"/>
      <c r="D2" s="72"/>
      <c r="E2" s="72"/>
      <c r="F2" s="72"/>
      <c r="G2" s="72"/>
      <c r="H2" s="73"/>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row>
    <row r="3" spans="1:40" s="74" customFormat="1" ht="12.75">
      <c r="A3" s="74" t="s">
        <v>55</v>
      </c>
    </row>
    <row r="4" spans="1:40" ht="20.25">
      <c r="A4" s="71"/>
      <c r="B4" s="72"/>
      <c r="C4" s="72"/>
      <c r="D4" s="72"/>
      <c r="E4" s="72"/>
      <c r="F4" s="72"/>
      <c r="G4" s="72"/>
      <c r="H4" s="73"/>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row>
    <row r="5" spans="1:40" ht="20.25">
      <c r="A5" s="75"/>
      <c r="B5" s="76"/>
      <c r="C5" s="76"/>
      <c r="D5" s="76"/>
      <c r="E5" s="76"/>
      <c r="F5" s="77"/>
      <c r="G5" s="78"/>
      <c r="H5" s="78"/>
      <c r="I5" s="78"/>
      <c r="J5" s="78"/>
      <c r="K5" s="79"/>
      <c r="L5" s="77"/>
      <c r="M5" s="79"/>
      <c r="N5" s="79"/>
      <c r="O5" s="79"/>
      <c r="P5" s="78"/>
      <c r="Q5" s="78"/>
      <c r="R5" s="78"/>
      <c r="S5" s="78"/>
      <c r="T5" s="78"/>
      <c r="U5" s="76"/>
      <c r="V5" s="76"/>
      <c r="W5" s="76"/>
      <c r="X5" s="76"/>
      <c r="Y5" s="76"/>
      <c r="Z5" s="76"/>
      <c r="AA5" s="76"/>
      <c r="AB5" s="76"/>
      <c r="AC5" s="76"/>
      <c r="AD5" s="76"/>
      <c r="AE5" s="76"/>
      <c r="AF5" s="76"/>
      <c r="AG5" s="76"/>
      <c r="AH5" s="76"/>
      <c r="AI5" s="76"/>
      <c r="AJ5" s="76"/>
      <c r="AK5" s="76"/>
      <c r="AL5" s="76"/>
      <c r="AM5" s="76"/>
    </row>
    <row r="6" spans="1:40" ht="20.25">
      <c r="A6" s="71"/>
      <c r="B6" s="72"/>
      <c r="C6" s="72"/>
      <c r="D6" s="72"/>
      <c r="E6" s="72"/>
      <c r="F6" s="72"/>
      <c r="G6" s="72"/>
      <c r="H6" s="72"/>
      <c r="I6" s="72"/>
      <c r="J6" s="72"/>
      <c r="K6" s="72"/>
      <c r="L6" s="73"/>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row>
    <row r="7" spans="1:40" ht="20.25">
      <c r="A7" s="71"/>
      <c r="B7" s="72"/>
      <c r="C7" s="72"/>
      <c r="D7" s="72"/>
      <c r="E7" s="72"/>
      <c r="F7" s="72"/>
      <c r="G7" s="72"/>
      <c r="H7" s="72"/>
      <c r="I7" s="72"/>
      <c r="J7" s="72"/>
      <c r="K7" s="72"/>
      <c r="L7" s="73"/>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row>
    <row r="8" spans="1:40" ht="20.25">
      <c r="A8" s="71"/>
      <c r="B8" s="72"/>
      <c r="C8" s="72"/>
      <c r="D8" s="72"/>
      <c r="E8" s="72"/>
      <c r="F8" s="72"/>
      <c r="G8" s="72"/>
      <c r="H8" s="80"/>
      <c r="I8" s="72"/>
      <c r="J8" s="72"/>
      <c r="K8" s="72"/>
      <c r="L8" s="73"/>
      <c r="M8" s="72"/>
      <c r="N8" s="72"/>
      <c r="O8" s="72"/>
      <c r="P8" s="72"/>
      <c r="Q8" s="80"/>
      <c r="R8" s="72"/>
      <c r="S8" s="72"/>
      <c r="T8" s="72"/>
      <c r="U8" s="72"/>
      <c r="V8" s="72"/>
      <c r="W8" s="72"/>
      <c r="X8" s="72"/>
      <c r="Y8" s="72"/>
      <c r="Z8" s="72"/>
      <c r="AA8" s="72"/>
      <c r="AB8" s="72"/>
      <c r="AC8" s="72"/>
      <c r="AD8" s="72"/>
      <c r="AE8" s="72"/>
      <c r="AF8" s="72"/>
      <c r="AG8" s="72"/>
      <c r="AH8" s="72"/>
      <c r="AI8" s="72"/>
      <c r="AJ8" s="72"/>
      <c r="AK8" s="72"/>
      <c r="AL8" s="72"/>
      <c r="AM8" s="72"/>
    </row>
    <row r="9" spans="1:40" ht="20.25">
      <c r="A9" s="71"/>
      <c r="B9" s="72"/>
      <c r="C9" s="72"/>
      <c r="D9" s="72"/>
      <c r="E9" s="72"/>
      <c r="F9" s="72"/>
      <c r="G9" s="72"/>
      <c r="H9" s="72"/>
      <c r="I9" s="72"/>
      <c r="J9" s="72"/>
      <c r="K9" s="72"/>
      <c r="L9" s="73"/>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row>
    <row r="10" spans="1:40" ht="20.25">
      <c r="A10" s="71"/>
      <c r="B10" s="72"/>
      <c r="C10" s="72"/>
      <c r="D10" s="72"/>
      <c r="E10" s="72"/>
      <c r="F10" s="72"/>
      <c r="G10" s="72"/>
      <c r="H10" s="72"/>
      <c r="I10" s="72"/>
      <c r="J10" s="72"/>
      <c r="K10" s="72"/>
      <c r="L10" s="73"/>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row>
    <row r="11" spans="1:40" ht="20.25">
      <c r="A11" s="71"/>
      <c r="B11" s="72"/>
      <c r="C11" s="72"/>
      <c r="D11" s="72"/>
      <c r="E11" s="72"/>
      <c r="F11" s="72"/>
      <c r="G11" s="72"/>
      <c r="H11" s="72"/>
      <c r="I11" s="72"/>
      <c r="J11" s="72"/>
      <c r="K11" s="72"/>
      <c r="L11" s="73"/>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row>
    <row r="12" spans="1:40" ht="20.25">
      <c r="A12" s="71"/>
      <c r="B12" s="72"/>
      <c r="C12" s="72"/>
      <c r="D12" s="72"/>
      <c r="E12" s="72"/>
      <c r="F12" s="72"/>
      <c r="G12" s="72"/>
      <c r="H12" s="72"/>
      <c r="I12" s="72"/>
      <c r="J12" s="72"/>
      <c r="K12" s="72"/>
      <c r="L12" s="73"/>
      <c r="M12" s="72"/>
      <c r="N12" s="72"/>
      <c r="O12" s="72"/>
      <c r="Q12" s="72"/>
      <c r="R12" s="72"/>
      <c r="S12" s="72"/>
      <c r="T12" s="72"/>
      <c r="U12" s="72"/>
      <c r="V12" s="72"/>
      <c r="W12" s="72"/>
      <c r="X12" s="72"/>
      <c r="Y12" s="72"/>
      <c r="Z12" s="72"/>
      <c r="AA12" s="72"/>
      <c r="AB12" s="72"/>
      <c r="AC12" s="72"/>
      <c r="AD12" s="72"/>
      <c r="AE12" s="72"/>
      <c r="AF12" s="72"/>
      <c r="AG12" s="72"/>
      <c r="AH12" s="72"/>
      <c r="AI12" s="72"/>
      <c r="AJ12" s="72"/>
      <c r="AK12" s="72"/>
      <c r="AL12" s="72"/>
      <c r="AM12" s="72"/>
    </row>
    <row r="13" spans="1:40" ht="20.25">
      <c r="A13" s="75"/>
      <c r="B13" s="76"/>
      <c r="C13" s="76"/>
      <c r="D13" s="76"/>
      <c r="E13" s="76"/>
      <c r="F13" s="82"/>
      <c r="G13" s="83"/>
      <c r="H13" s="83"/>
      <c r="I13" s="83"/>
      <c r="J13" s="83"/>
      <c r="K13" s="83"/>
      <c r="L13" s="82"/>
      <c r="M13" s="83"/>
      <c r="N13" s="83"/>
      <c r="O13" s="83"/>
      <c r="P13" s="72"/>
      <c r="Q13" s="83"/>
      <c r="R13" s="83"/>
      <c r="S13" s="83"/>
      <c r="T13" s="83"/>
      <c r="U13" s="76"/>
      <c r="V13" s="76"/>
      <c r="W13" s="76"/>
      <c r="X13" s="76"/>
      <c r="Y13" s="76"/>
      <c r="Z13" s="76"/>
      <c r="AA13" s="76"/>
      <c r="AB13" s="76"/>
      <c r="AC13" s="76"/>
      <c r="AD13" s="76"/>
      <c r="AE13" s="76"/>
      <c r="AF13" s="76"/>
      <c r="AG13" s="76"/>
      <c r="AH13" s="76"/>
      <c r="AI13" s="76"/>
      <c r="AJ13" s="76"/>
      <c r="AK13" s="76"/>
      <c r="AL13" s="76"/>
      <c r="AM13" s="76"/>
    </row>
    <row r="14" spans="1:40" ht="20.25">
      <c r="A14" s="75"/>
      <c r="B14" s="76"/>
      <c r="C14" s="76"/>
      <c r="D14" s="76"/>
      <c r="E14" s="76"/>
      <c r="F14" s="82"/>
      <c r="G14" s="83"/>
      <c r="H14" s="83"/>
      <c r="I14" s="83"/>
      <c r="J14" s="83"/>
      <c r="K14" s="83"/>
      <c r="L14" s="82"/>
      <c r="M14" s="83"/>
      <c r="N14" s="83"/>
      <c r="O14" s="83"/>
      <c r="P14" s="72"/>
      <c r="Q14" s="83"/>
      <c r="R14" s="83"/>
      <c r="S14" s="83"/>
      <c r="T14" s="83"/>
      <c r="U14" s="76"/>
      <c r="V14" s="76"/>
      <c r="W14" s="76"/>
      <c r="X14" s="76"/>
      <c r="Y14" s="76"/>
      <c r="Z14" s="76"/>
      <c r="AA14" s="76"/>
      <c r="AB14" s="76"/>
      <c r="AC14" s="76"/>
      <c r="AD14" s="76"/>
      <c r="AE14" s="76"/>
      <c r="AF14" s="76"/>
      <c r="AG14" s="76"/>
      <c r="AH14" s="76"/>
      <c r="AI14" s="76"/>
      <c r="AJ14" s="76"/>
      <c r="AK14" s="76"/>
      <c r="AL14" s="76"/>
      <c r="AM14" s="76"/>
    </row>
    <row r="15" spans="1:40" ht="20.25">
      <c r="A15" s="75"/>
      <c r="B15" s="76"/>
      <c r="C15" s="76"/>
      <c r="D15" s="76"/>
      <c r="E15" s="76"/>
      <c r="F15" s="82"/>
      <c r="G15" s="83"/>
      <c r="H15" s="83"/>
      <c r="I15" s="83"/>
      <c r="J15" s="83"/>
      <c r="K15" s="83"/>
      <c r="L15" s="82"/>
      <c r="M15" s="83"/>
      <c r="N15" s="83"/>
      <c r="O15" s="83"/>
      <c r="P15" s="72"/>
      <c r="Q15" s="83"/>
      <c r="R15" s="83"/>
      <c r="S15" s="83"/>
      <c r="T15" s="83"/>
      <c r="U15" s="76"/>
      <c r="V15" s="76"/>
      <c r="W15" s="76"/>
      <c r="X15" s="76"/>
      <c r="Y15" s="76"/>
      <c r="Z15" s="76"/>
      <c r="AA15" s="76"/>
      <c r="AB15" s="76"/>
      <c r="AC15" s="76"/>
      <c r="AD15" s="76"/>
      <c r="AE15" s="76"/>
      <c r="AF15" s="76"/>
      <c r="AG15" s="76"/>
      <c r="AH15" s="76"/>
      <c r="AI15" s="76"/>
      <c r="AJ15" s="76"/>
      <c r="AK15" s="76"/>
      <c r="AL15" s="76"/>
      <c r="AM15" s="76"/>
    </row>
    <row r="16" spans="1:40" ht="20.25">
      <c r="A16" s="71"/>
      <c r="B16" s="72"/>
      <c r="C16" s="72"/>
      <c r="D16" s="72"/>
      <c r="E16" s="72"/>
      <c r="F16" s="72"/>
      <c r="G16" s="72"/>
      <c r="H16" s="72"/>
      <c r="I16" s="72"/>
      <c r="J16" s="72"/>
      <c r="K16" s="72"/>
      <c r="L16" s="73"/>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row>
    <row r="17" spans="1:39" ht="20.25">
      <c r="A17" s="71"/>
      <c r="B17" s="72"/>
      <c r="C17" s="72"/>
      <c r="D17" s="72"/>
      <c r="E17" s="72"/>
      <c r="F17" s="72"/>
      <c r="G17" s="72"/>
      <c r="H17" s="72"/>
      <c r="I17" s="72"/>
      <c r="J17" s="72"/>
      <c r="K17" s="72"/>
      <c r="L17" s="73"/>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row>
    <row r="18" spans="1:39" ht="20.25">
      <c r="A18" s="71"/>
      <c r="B18" s="72"/>
      <c r="C18" s="72"/>
      <c r="D18" s="72"/>
      <c r="E18" s="72"/>
      <c r="F18" s="72"/>
      <c r="G18" s="72"/>
      <c r="H18" s="72"/>
      <c r="I18" s="72"/>
      <c r="J18" s="72"/>
      <c r="K18" s="72"/>
      <c r="L18" s="73"/>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row>
    <row r="19" spans="1:39" ht="20.25">
      <c r="A19" s="71"/>
      <c r="B19" s="72"/>
      <c r="C19" s="72"/>
      <c r="D19" s="72"/>
      <c r="E19" s="72"/>
      <c r="F19" s="72"/>
      <c r="G19" s="72"/>
      <c r="H19" s="72"/>
      <c r="I19" s="72"/>
      <c r="J19" s="72"/>
      <c r="K19" s="72"/>
      <c r="L19" s="73"/>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row>
    <row r="20" spans="1:39" ht="20.25">
      <c r="A20" s="71"/>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row>
    <row r="21" spans="1:39" ht="20.25">
      <c r="A21" s="71"/>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row>
    <row r="22" spans="1:39" ht="20.25">
      <c r="A22" s="71"/>
      <c r="B22" s="72"/>
      <c r="C22" s="72"/>
      <c r="D22" s="72"/>
      <c r="E22" s="72"/>
      <c r="F22" s="72"/>
      <c r="G22" s="72"/>
      <c r="H22" s="80"/>
      <c r="I22" s="72"/>
      <c r="J22" s="72"/>
      <c r="K22" s="72"/>
      <c r="L22" s="80"/>
      <c r="M22" s="72"/>
      <c r="N22" s="72"/>
      <c r="O22" s="72"/>
      <c r="P22" s="72"/>
      <c r="Q22" s="80"/>
      <c r="R22" s="72"/>
      <c r="S22" s="72"/>
      <c r="T22" s="72"/>
      <c r="U22" s="72"/>
      <c r="V22" s="72"/>
      <c r="W22" s="72"/>
      <c r="X22" s="72"/>
      <c r="Y22" s="72"/>
      <c r="Z22" s="72"/>
      <c r="AA22" s="72"/>
      <c r="AB22" s="72"/>
      <c r="AC22" s="72"/>
      <c r="AD22" s="72"/>
      <c r="AE22" s="72"/>
      <c r="AF22" s="72"/>
      <c r="AG22" s="72"/>
      <c r="AH22" s="72"/>
      <c r="AI22" s="72"/>
      <c r="AJ22" s="72"/>
      <c r="AK22" s="72"/>
      <c r="AL22" s="72"/>
      <c r="AM22" s="72"/>
    </row>
    <row r="23" spans="1:39" ht="20.25">
      <c r="A23" s="71"/>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row>
    <row r="24" spans="1:39" ht="20.25">
      <c r="A24" s="71"/>
      <c r="B24" s="72"/>
      <c r="C24" s="72"/>
      <c r="D24" s="72"/>
      <c r="E24" s="72"/>
      <c r="F24" s="72"/>
      <c r="G24" s="72"/>
      <c r="H24" s="72"/>
      <c r="I24" s="72"/>
      <c r="J24" s="72"/>
      <c r="K24" s="72"/>
      <c r="L24" s="73"/>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row>
    <row r="25" spans="1:39" ht="20.25">
      <c r="A25" s="71"/>
      <c r="B25" s="72"/>
      <c r="C25" s="72"/>
      <c r="D25" s="72"/>
      <c r="E25" s="72"/>
      <c r="F25" s="72"/>
      <c r="G25" s="72"/>
      <c r="H25" s="72"/>
      <c r="I25" s="72"/>
      <c r="J25" s="72"/>
      <c r="K25" s="72"/>
      <c r="L25" s="73"/>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row>
    <row r="26" spans="1:39" ht="20.25">
      <c r="A26" s="71"/>
      <c r="B26" s="72"/>
      <c r="C26" s="72"/>
      <c r="D26" s="72"/>
      <c r="E26" s="72"/>
      <c r="F26" s="72"/>
      <c r="G26" s="72"/>
      <c r="H26" s="72"/>
      <c r="I26" s="72"/>
      <c r="J26" s="72"/>
      <c r="K26" s="72"/>
      <c r="L26" s="73"/>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row>
    <row r="27" spans="1:39" ht="20.25">
      <c r="A27" s="71"/>
      <c r="B27" s="72"/>
      <c r="C27" s="72"/>
      <c r="D27" s="72"/>
      <c r="E27" s="72"/>
      <c r="F27" s="72"/>
      <c r="G27" s="72"/>
      <c r="H27" s="72"/>
      <c r="I27" s="72"/>
      <c r="J27" s="72"/>
      <c r="K27" s="72"/>
      <c r="L27" s="73"/>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row>
    <row r="28" spans="1:39" ht="20.25">
      <c r="A28" s="71"/>
      <c r="B28" s="72"/>
      <c r="C28" s="72"/>
      <c r="D28" s="72"/>
      <c r="E28" s="72"/>
      <c r="F28" s="72"/>
      <c r="G28" s="72"/>
      <c r="H28" s="72"/>
      <c r="I28" s="72"/>
      <c r="J28" s="72"/>
      <c r="K28" s="72"/>
      <c r="L28" s="73"/>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row>
    <row r="29" spans="1:39" ht="20.25">
      <c r="A29" s="71"/>
      <c r="B29" s="72"/>
      <c r="C29" s="72"/>
      <c r="D29" s="72"/>
      <c r="E29" s="72"/>
      <c r="F29" s="72"/>
      <c r="G29" s="72"/>
      <c r="H29" s="72"/>
      <c r="I29" s="72"/>
      <c r="J29" s="72"/>
      <c r="K29" s="72"/>
      <c r="L29" s="73"/>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row>
    <row r="30" spans="1:39" ht="20.25">
      <c r="A30" s="71"/>
      <c r="B30" s="72"/>
      <c r="C30" s="72"/>
      <c r="D30" s="72"/>
      <c r="E30" s="72"/>
      <c r="F30" s="72"/>
      <c r="G30" s="72"/>
      <c r="H30" s="72"/>
      <c r="I30" s="72"/>
      <c r="J30" s="72"/>
      <c r="K30" s="72"/>
      <c r="L30" s="73"/>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row>
    <row r="31" spans="1:39" ht="20.25">
      <c r="A31" s="71"/>
      <c r="B31" s="72"/>
      <c r="C31" s="72"/>
      <c r="D31" s="72"/>
      <c r="E31" s="72"/>
      <c r="F31" s="72"/>
      <c r="G31" s="72"/>
      <c r="H31" s="72"/>
      <c r="I31" s="72"/>
      <c r="J31" s="72"/>
      <c r="K31" s="72"/>
      <c r="L31" s="73"/>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row>
    <row r="32" spans="1:39" ht="20.25">
      <c r="A32" s="71"/>
      <c r="B32" s="72"/>
      <c r="C32" s="72"/>
      <c r="D32" s="72"/>
      <c r="E32" s="72"/>
      <c r="F32" s="72"/>
      <c r="G32" s="72"/>
      <c r="H32" s="72"/>
      <c r="I32" s="72"/>
      <c r="J32" s="72"/>
      <c r="K32" s="72"/>
      <c r="L32" s="73"/>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row>
    <row r="33" spans="1:39" ht="20.25">
      <c r="A33" s="71"/>
      <c r="B33" s="72"/>
      <c r="C33" s="72"/>
      <c r="D33" s="72"/>
      <c r="E33" s="72"/>
      <c r="F33" s="72"/>
      <c r="G33" s="72"/>
      <c r="H33" s="72"/>
      <c r="I33" s="72"/>
      <c r="J33" s="72"/>
      <c r="K33" s="72"/>
      <c r="L33" s="73"/>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row>
    <row r="34" spans="1:39" ht="20.25">
      <c r="A34" s="71"/>
      <c r="B34" s="72"/>
      <c r="C34" s="72"/>
      <c r="D34" s="72"/>
      <c r="E34" s="72"/>
      <c r="F34" s="72"/>
      <c r="G34" s="72"/>
      <c r="H34" s="72"/>
      <c r="I34" s="72"/>
      <c r="J34" s="72"/>
      <c r="K34" s="72"/>
      <c r="L34" s="73"/>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row>
    <row r="35" spans="1:39" ht="20.25">
      <c r="A35" s="71"/>
      <c r="B35" s="72"/>
      <c r="C35" s="72"/>
      <c r="D35" s="72"/>
      <c r="E35" s="72"/>
      <c r="F35" s="72"/>
      <c r="G35" s="72"/>
      <c r="H35" s="72"/>
      <c r="I35" s="72"/>
      <c r="J35" s="72"/>
      <c r="K35" s="72"/>
      <c r="L35" s="73"/>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row>
    <row r="36" spans="1:39" ht="20.25">
      <c r="A36" s="71"/>
      <c r="B36" s="72"/>
      <c r="C36" s="72"/>
      <c r="D36" s="72"/>
      <c r="E36" s="72"/>
      <c r="F36" s="72"/>
      <c r="G36" s="72"/>
      <c r="H36" s="72"/>
      <c r="I36" s="72"/>
      <c r="J36" s="72"/>
      <c r="K36" s="72"/>
      <c r="L36" s="73"/>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row>
    <row r="37" spans="1:39" ht="20.25">
      <c r="A37" s="71"/>
      <c r="B37" s="72"/>
      <c r="C37" s="72"/>
      <c r="D37" s="72"/>
      <c r="E37" s="72"/>
      <c r="F37" s="72"/>
      <c r="G37" s="72"/>
      <c r="H37" s="72"/>
      <c r="I37" s="72"/>
      <c r="J37" s="72"/>
      <c r="K37" s="72"/>
      <c r="L37" s="73"/>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row>
    <row r="38" spans="1:39" ht="20.25">
      <c r="A38" s="71"/>
      <c r="B38" s="72"/>
      <c r="C38" s="72"/>
      <c r="D38" s="72"/>
      <c r="E38" s="72"/>
      <c r="F38" s="72"/>
      <c r="G38" s="72"/>
      <c r="H38" s="72"/>
      <c r="I38" s="72"/>
      <c r="J38" s="72"/>
      <c r="K38" s="72"/>
      <c r="L38" s="73"/>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row>
    <row r="39" spans="1:39" ht="20.25">
      <c r="A39" s="71"/>
      <c r="B39" s="72"/>
      <c r="C39" s="72"/>
      <c r="D39" s="72"/>
      <c r="E39" s="72"/>
      <c r="F39" s="72"/>
      <c r="G39" s="72"/>
      <c r="H39" s="72"/>
      <c r="I39" s="72"/>
      <c r="J39" s="72"/>
      <c r="K39" s="72"/>
      <c r="L39" s="73"/>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row>
    <row r="40" spans="1:39" ht="20.25">
      <c r="A40" s="71"/>
      <c r="B40" s="72"/>
      <c r="C40" s="72"/>
      <c r="D40" s="72"/>
      <c r="E40" s="72"/>
      <c r="F40" s="72"/>
      <c r="G40" s="72"/>
      <c r="H40" s="72"/>
      <c r="I40" s="72"/>
      <c r="J40" s="72"/>
      <c r="K40" s="72"/>
      <c r="L40" s="73"/>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row>
    <row r="41" spans="1:39" ht="20.25">
      <c r="A41" s="71"/>
      <c r="B41" s="72"/>
      <c r="C41" s="72"/>
      <c r="D41" s="72"/>
      <c r="E41" s="72"/>
      <c r="F41" s="72"/>
      <c r="G41" s="72"/>
      <c r="H41" s="72"/>
      <c r="I41" s="72"/>
      <c r="J41" s="72"/>
      <c r="K41" s="72"/>
      <c r="L41" s="73"/>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row>
    <row r="42" spans="1:39" ht="20.25">
      <c r="A42" s="71"/>
      <c r="B42" s="72"/>
      <c r="C42" s="72"/>
      <c r="D42" s="72"/>
      <c r="E42" s="72"/>
      <c r="F42" s="72"/>
      <c r="G42" s="72"/>
      <c r="H42" s="72"/>
      <c r="I42" s="72"/>
      <c r="J42" s="72"/>
      <c r="K42" s="72"/>
      <c r="L42" s="73"/>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row>
    <row r="43" spans="1:39" ht="20.25">
      <c r="A43" s="71"/>
      <c r="B43" s="72"/>
      <c r="C43" s="72"/>
      <c r="D43" s="72"/>
      <c r="E43" s="72"/>
      <c r="F43" s="72"/>
      <c r="G43" s="72"/>
      <c r="H43" s="72"/>
      <c r="I43" s="72"/>
      <c r="J43" s="72"/>
      <c r="K43" s="72"/>
      <c r="L43" s="73"/>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row>
    <row r="44" spans="1:39" ht="20.25">
      <c r="A44" s="71"/>
      <c r="B44" s="72"/>
      <c r="C44" s="72"/>
      <c r="D44" s="72"/>
      <c r="E44" s="72"/>
      <c r="F44" s="72"/>
      <c r="G44" s="72"/>
      <c r="H44" s="72"/>
      <c r="I44" s="72"/>
      <c r="J44" s="72"/>
      <c r="K44" s="72"/>
      <c r="L44" s="73"/>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row>
    <row r="45" spans="1:39" ht="20.25">
      <c r="A45" s="71"/>
      <c r="B45" s="72"/>
      <c r="C45" s="72"/>
      <c r="D45" s="72"/>
      <c r="E45" s="72"/>
      <c r="F45" s="72"/>
      <c r="G45" s="72"/>
      <c r="H45" s="72"/>
      <c r="I45" s="72"/>
      <c r="J45" s="72"/>
      <c r="K45" s="72"/>
      <c r="L45" s="73"/>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row>
    <row r="46" spans="1:39" ht="20.25">
      <c r="A46" s="71"/>
      <c r="B46" s="72"/>
      <c r="C46" s="72"/>
      <c r="D46" s="72"/>
      <c r="E46" s="72"/>
      <c r="F46" s="72"/>
      <c r="G46" s="72"/>
      <c r="H46" s="72"/>
      <c r="I46" s="72"/>
      <c r="J46" s="72"/>
      <c r="K46" s="72"/>
      <c r="L46" s="73"/>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row>
    <row r="47" spans="1:39" ht="20.25">
      <c r="A47" s="71"/>
      <c r="B47" s="72"/>
      <c r="C47" s="72"/>
      <c r="D47" s="72"/>
      <c r="E47" s="72"/>
      <c r="F47" s="72"/>
      <c r="G47" s="72"/>
      <c r="H47" s="72"/>
      <c r="I47" s="72"/>
      <c r="J47" s="72"/>
      <c r="K47" s="72"/>
      <c r="L47" s="73"/>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row>
    <row r="48" spans="1:39" ht="20.25">
      <c r="A48" s="71"/>
      <c r="B48" s="72"/>
      <c r="C48" s="72"/>
      <c r="D48" s="72"/>
      <c r="E48" s="72"/>
      <c r="F48" s="72"/>
      <c r="G48" s="72"/>
      <c r="H48" s="72"/>
      <c r="I48" s="72"/>
      <c r="J48" s="72"/>
      <c r="K48" s="72"/>
      <c r="L48" s="73"/>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row>
    <row r="49" spans="1:39" ht="20.25">
      <c r="A49" s="84" t="s">
        <v>56</v>
      </c>
      <c r="B49" s="84"/>
      <c r="C49" s="85"/>
      <c r="D49" s="86"/>
      <c r="E49" s="85"/>
      <c r="F49" s="87"/>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5E266-3914-4BFD-AF7A-DE5D9193EC36}">
  <sheetPr>
    <tabColor rgb="FFCCCCCE"/>
  </sheetPr>
  <dimension ref="B3:F32"/>
  <sheetViews>
    <sheetView zoomScale="80" zoomScaleNormal="80" workbookViewId="0"/>
  </sheetViews>
  <sheetFormatPr defaultColWidth="9.140625" defaultRowHeight="12.75"/>
  <cols>
    <col min="1" max="16384" width="9.140625" style="2"/>
  </cols>
  <sheetData>
    <row r="3" spans="2:6">
      <c r="B3" s="182" t="s">
        <v>333</v>
      </c>
      <c r="F3" s="182" t="s">
        <v>334</v>
      </c>
    </row>
    <row r="5" spans="2:6">
      <c r="B5" s="18">
        <v>1</v>
      </c>
      <c r="C5" s="14" t="s">
        <v>75</v>
      </c>
      <c r="D5" s="2" t="s">
        <v>335</v>
      </c>
      <c r="F5" s="183" t="s">
        <v>226</v>
      </c>
    </row>
    <row r="6" spans="2:6">
      <c r="B6" s="19">
        <v>2</v>
      </c>
      <c r="C6" s="14" t="s">
        <v>96</v>
      </c>
      <c r="D6" s="2" t="s">
        <v>335</v>
      </c>
      <c r="F6" s="184" t="s">
        <v>225</v>
      </c>
    </row>
    <row r="7" spans="2:6">
      <c r="B7" s="19">
        <v>3</v>
      </c>
      <c r="C7" s="14" t="s">
        <v>97</v>
      </c>
      <c r="D7" s="2" t="s">
        <v>335</v>
      </c>
      <c r="F7" s="183" t="s">
        <v>336</v>
      </c>
    </row>
    <row r="8" spans="2:6">
      <c r="B8" s="19">
        <v>4</v>
      </c>
      <c r="C8" s="14" t="s">
        <v>102</v>
      </c>
      <c r="D8" s="2" t="s">
        <v>335</v>
      </c>
      <c r="F8" s="185" t="s">
        <v>337</v>
      </c>
    </row>
    <row r="9" spans="2:6">
      <c r="B9" s="19">
        <v>5</v>
      </c>
      <c r="C9" s="14" t="s">
        <v>100</v>
      </c>
      <c r="D9" s="2" t="s">
        <v>335</v>
      </c>
      <c r="F9" s="186"/>
    </row>
    <row r="10" spans="2:6">
      <c r="B10" s="19">
        <v>6</v>
      </c>
      <c r="C10" s="14" t="s">
        <v>98</v>
      </c>
      <c r="D10" s="2" t="s">
        <v>335</v>
      </c>
    </row>
    <row r="11" spans="2:6">
      <c r="B11" s="19">
        <v>7</v>
      </c>
      <c r="C11" s="14" t="s">
        <v>99</v>
      </c>
      <c r="D11" s="2" t="s">
        <v>335</v>
      </c>
    </row>
    <row r="12" spans="2:6">
      <c r="B12" s="19">
        <v>8</v>
      </c>
      <c r="C12" s="14" t="s">
        <v>101</v>
      </c>
      <c r="D12" s="2" t="s">
        <v>335</v>
      </c>
    </row>
    <row r="13" spans="2:6">
      <c r="B13" s="19">
        <v>9</v>
      </c>
      <c r="C13" s="14" t="s">
        <v>95</v>
      </c>
      <c r="D13" s="2" t="s">
        <v>335</v>
      </c>
    </row>
    <row r="14" spans="2:6">
      <c r="B14" s="19">
        <v>10</v>
      </c>
      <c r="C14" s="14" t="s">
        <v>103</v>
      </c>
      <c r="D14" s="2" t="s">
        <v>335</v>
      </c>
    </row>
    <row r="15" spans="2:6">
      <c r="B15" s="19">
        <v>11</v>
      </c>
      <c r="C15" s="14" t="s">
        <v>104</v>
      </c>
      <c r="D15" s="2" t="s">
        <v>335</v>
      </c>
    </row>
    <row r="16" spans="2:6">
      <c r="B16" s="19">
        <v>12</v>
      </c>
      <c r="C16" s="14" t="s">
        <v>212</v>
      </c>
      <c r="D16" s="2" t="s">
        <v>338</v>
      </c>
    </row>
    <row r="17" spans="2:4">
      <c r="B17" s="19">
        <v>13</v>
      </c>
      <c r="C17" s="14" t="s">
        <v>213</v>
      </c>
      <c r="D17" s="2" t="s">
        <v>338</v>
      </c>
    </row>
    <row r="18" spans="2:4">
      <c r="B18" s="19">
        <v>14</v>
      </c>
      <c r="C18" s="14" t="s">
        <v>214</v>
      </c>
      <c r="D18" s="2" t="s">
        <v>338</v>
      </c>
    </row>
    <row r="19" spans="2:4">
      <c r="B19" s="19">
        <v>15</v>
      </c>
      <c r="C19" s="14" t="s">
        <v>217</v>
      </c>
      <c r="D19" s="2" t="s">
        <v>338</v>
      </c>
    </row>
    <row r="20" spans="2:4">
      <c r="B20" s="19">
        <v>16</v>
      </c>
      <c r="C20" s="14" t="s">
        <v>215</v>
      </c>
      <c r="D20" s="2" t="s">
        <v>338</v>
      </c>
    </row>
    <row r="21" spans="2:4">
      <c r="B21" s="19">
        <v>17</v>
      </c>
      <c r="C21" s="14" t="s">
        <v>216</v>
      </c>
      <c r="D21" s="2" t="s">
        <v>338</v>
      </c>
    </row>
    <row r="24" spans="2:4">
      <c r="B24" s="182" t="s">
        <v>339</v>
      </c>
    </row>
    <row r="26" spans="2:4">
      <c r="B26" s="161" t="s">
        <v>275</v>
      </c>
    </row>
    <row r="27" spans="2:4">
      <c r="B27" s="161" t="s">
        <v>340</v>
      </c>
    </row>
    <row r="28" spans="2:4">
      <c r="B28" s="161" t="s">
        <v>341</v>
      </c>
    </row>
    <row r="29" spans="2:4">
      <c r="B29" s="161" t="s">
        <v>275</v>
      </c>
    </row>
    <row r="30" spans="2:4">
      <c r="B30" s="161" t="s">
        <v>283</v>
      </c>
    </row>
    <row r="31" spans="2:4">
      <c r="B31" s="161" t="s">
        <v>290</v>
      </c>
    </row>
    <row r="32" spans="2:4">
      <c r="B32" s="161" t="s">
        <v>285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89E67-302C-4E1F-A953-146D696425AD}">
  <sheetPr>
    <tabColor rgb="FFFFDB8E"/>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sheetPr>
  <dimension ref="A1:M127"/>
  <sheetViews>
    <sheetView topLeftCell="A5" zoomScale="80" zoomScaleNormal="80" workbookViewId="0"/>
  </sheetViews>
  <sheetFormatPr defaultRowHeight="12.75"/>
  <cols>
    <col min="3" max="3" width="90.140625" customWidth="1"/>
  </cols>
  <sheetData>
    <row r="1" spans="1:13" ht="15">
      <c r="C1" s="201" t="s">
        <v>57</v>
      </c>
      <c r="E1" s="201" t="s">
        <v>58</v>
      </c>
    </row>
    <row r="2" spans="1:13" ht="15">
      <c r="A2" s="199" t="s">
        <v>59</v>
      </c>
      <c r="B2" s="199" t="s">
        <v>60</v>
      </c>
      <c r="C2" s="199" t="s">
        <v>61</v>
      </c>
      <c r="D2" s="199" t="s">
        <v>62</v>
      </c>
      <c r="E2" s="199" t="s">
        <v>63</v>
      </c>
      <c r="F2" s="199" t="s">
        <v>64</v>
      </c>
      <c r="G2" s="199" t="s">
        <v>65</v>
      </c>
      <c r="H2" s="199" t="s">
        <v>66</v>
      </c>
      <c r="I2" s="199" t="s">
        <v>67</v>
      </c>
      <c r="J2" s="199" t="s">
        <v>68</v>
      </c>
      <c r="K2" s="199" t="s">
        <v>69</v>
      </c>
      <c r="L2" s="199" t="s">
        <v>70</v>
      </c>
      <c r="M2" s="199" t="s">
        <v>71</v>
      </c>
    </row>
    <row r="4" spans="1:13" ht="15">
      <c r="F4" s="199" t="s">
        <v>72</v>
      </c>
      <c r="G4" s="199" t="s">
        <v>72</v>
      </c>
      <c r="H4" s="199" t="s">
        <v>72</v>
      </c>
      <c r="I4" s="199" t="s">
        <v>72</v>
      </c>
      <c r="J4" s="199" t="s">
        <v>72</v>
      </c>
      <c r="K4" s="199" t="s">
        <v>72</v>
      </c>
      <c r="L4" s="199" t="s">
        <v>72</v>
      </c>
      <c r="M4" s="199" t="s">
        <v>72</v>
      </c>
    </row>
    <row r="5" spans="1:13" ht="15">
      <c r="F5" s="199" t="s">
        <v>73</v>
      </c>
      <c r="G5" s="199" t="s">
        <v>73</v>
      </c>
      <c r="H5" s="199" t="s">
        <v>73</v>
      </c>
      <c r="I5" s="199" t="s">
        <v>73</v>
      </c>
      <c r="J5" s="199" t="s">
        <v>73</v>
      </c>
      <c r="K5" s="199" t="s">
        <v>73</v>
      </c>
      <c r="L5" s="199" t="s">
        <v>73</v>
      </c>
      <c r="M5" s="199" t="s">
        <v>73</v>
      </c>
    </row>
    <row r="6" spans="1:13" ht="15">
      <c r="F6" s="199" t="s">
        <v>74</v>
      </c>
      <c r="G6" s="199" t="s">
        <v>74</v>
      </c>
      <c r="H6" s="199" t="s">
        <v>74</v>
      </c>
      <c r="I6" s="199" t="s">
        <v>74</v>
      </c>
      <c r="J6" s="199" t="s">
        <v>74</v>
      </c>
      <c r="K6" s="199" t="s">
        <v>74</v>
      </c>
      <c r="L6" s="199" t="s">
        <v>74</v>
      </c>
      <c r="M6" s="199" t="s">
        <v>74</v>
      </c>
    </row>
    <row r="7" spans="1:13">
      <c r="A7" t="s">
        <v>75</v>
      </c>
      <c r="B7" t="s">
        <v>76</v>
      </c>
      <c r="C7" t="s">
        <v>77</v>
      </c>
      <c r="D7" t="s">
        <v>78</v>
      </c>
      <c r="E7" t="s">
        <v>72</v>
      </c>
      <c r="F7" s="202">
        <v>5.6846919917864494E-3</v>
      </c>
      <c r="G7" s="202">
        <v>1.8000000000000019E-2</v>
      </c>
      <c r="H7" s="202">
        <v>4.6470000000000002</v>
      </c>
      <c r="I7" s="202">
        <v>6.5570000000000004</v>
      </c>
      <c r="J7" s="202">
        <v>4.6680000000000001</v>
      </c>
      <c r="K7" s="202">
        <v>4.6769999999999996</v>
      </c>
      <c r="L7" s="202">
        <v>5.0309999999999997</v>
      </c>
      <c r="M7" s="200" t="s">
        <v>79</v>
      </c>
    </row>
    <row r="8" spans="1:13">
      <c r="A8" t="s">
        <v>75</v>
      </c>
      <c r="B8" t="s">
        <v>80</v>
      </c>
      <c r="C8" t="s">
        <v>81</v>
      </c>
      <c r="D8" t="s">
        <v>78</v>
      </c>
      <c r="E8" t="s">
        <v>72</v>
      </c>
      <c r="F8" s="202">
        <v>0</v>
      </c>
      <c r="G8" s="202">
        <v>0</v>
      </c>
      <c r="H8" s="202">
        <v>0</v>
      </c>
      <c r="I8" s="202">
        <v>0</v>
      </c>
      <c r="J8" s="202">
        <v>0</v>
      </c>
      <c r="K8" s="202">
        <v>0</v>
      </c>
      <c r="L8" s="202">
        <v>0</v>
      </c>
      <c r="M8" s="200" t="s">
        <v>79</v>
      </c>
    </row>
    <row r="9" spans="1:13">
      <c r="A9" t="s">
        <v>75</v>
      </c>
      <c r="B9" t="s">
        <v>82</v>
      </c>
      <c r="C9" t="s">
        <v>83</v>
      </c>
      <c r="D9" t="s">
        <v>78</v>
      </c>
      <c r="E9" t="s">
        <v>72</v>
      </c>
      <c r="F9" s="202">
        <v>5.6846919917864494E-3</v>
      </c>
      <c r="G9" s="202">
        <v>1.8000000000000019E-2</v>
      </c>
      <c r="H9" s="202">
        <v>4.6470000000000002</v>
      </c>
      <c r="I9" s="202">
        <v>6.5570000000000004</v>
      </c>
      <c r="J9" s="202">
        <v>4.6680000000000001</v>
      </c>
      <c r="K9" s="202">
        <v>4.6769999999999996</v>
      </c>
      <c r="L9" s="202">
        <v>5.0309999999999997</v>
      </c>
      <c r="M9" s="200" t="s">
        <v>79</v>
      </c>
    </row>
    <row r="10" spans="1:13">
      <c r="A10" t="s">
        <v>75</v>
      </c>
      <c r="B10" t="s">
        <v>84</v>
      </c>
      <c r="C10" t="s">
        <v>85</v>
      </c>
      <c r="D10" t="s">
        <v>86</v>
      </c>
      <c r="E10" t="s">
        <v>72</v>
      </c>
      <c r="F10" s="202">
        <v>7392.8429999999998</v>
      </c>
      <c r="G10" s="202">
        <v>7446.8497140252593</v>
      </c>
      <c r="H10" s="202">
        <v>7499.9863531482497</v>
      </c>
      <c r="I10" s="202">
        <v>7549.3772645502286</v>
      </c>
      <c r="J10" s="202">
        <v>7593.0960781989497</v>
      </c>
      <c r="K10" s="202">
        <v>7630.0911036135394</v>
      </c>
      <c r="L10" s="202">
        <v>7661.2581846204494</v>
      </c>
      <c r="M10" s="200" t="s">
        <v>79</v>
      </c>
    </row>
    <row r="11" spans="1:13">
      <c r="A11" t="s">
        <v>75</v>
      </c>
      <c r="B11" t="s">
        <v>87</v>
      </c>
      <c r="C11" t="s">
        <v>77</v>
      </c>
      <c r="D11" t="s">
        <v>78</v>
      </c>
      <c r="E11" t="s">
        <v>72</v>
      </c>
      <c r="F11" s="202">
        <v>1.9E-2</v>
      </c>
      <c r="G11" s="202">
        <v>1.7999999999999999E-2</v>
      </c>
      <c r="H11" s="200" t="s">
        <v>79</v>
      </c>
      <c r="I11" s="200" t="s">
        <v>79</v>
      </c>
      <c r="J11" s="200" t="s">
        <v>79</v>
      </c>
      <c r="K11" s="200" t="s">
        <v>79</v>
      </c>
      <c r="L11" s="200" t="s">
        <v>79</v>
      </c>
      <c r="M11" s="200" t="s">
        <v>79</v>
      </c>
    </row>
    <row r="12" spans="1:13">
      <c r="A12" t="s">
        <v>75</v>
      </c>
      <c r="B12" t="s">
        <v>88</v>
      </c>
      <c r="C12" t="s">
        <v>77</v>
      </c>
      <c r="D12" t="s">
        <v>78</v>
      </c>
      <c r="E12" t="s">
        <v>72</v>
      </c>
      <c r="F12" s="202">
        <v>0</v>
      </c>
      <c r="G12" s="202">
        <v>0</v>
      </c>
      <c r="H12" s="202">
        <v>0</v>
      </c>
      <c r="I12" s="202">
        <v>0</v>
      </c>
      <c r="J12" s="202">
        <v>0</v>
      </c>
      <c r="K12" s="202">
        <v>0</v>
      </c>
      <c r="L12" s="202">
        <v>0</v>
      </c>
      <c r="M12" s="200" t="s">
        <v>79</v>
      </c>
    </row>
    <row r="13" spans="1:13">
      <c r="A13" t="s">
        <v>75</v>
      </c>
      <c r="B13" t="s">
        <v>89</v>
      </c>
      <c r="C13" t="s">
        <v>81</v>
      </c>
      <c r="D13" t="s">
        <v>78</v>
      </c>
      <c r="E13" t="s">
        <v>72</v>
      </c>
      <c r="F13" s="202">
        <v>0</v>
      </c>
      <c r="G13" s="202">
        <v>0</v>
      </c>
      <c r="H13" s="200" t="s">
        <v>79</v>
      </c>
      <c r="I13" s="200" t="s">
        <v>79</v>
      </c>
      <c r="J13" s="200" t="s">
        <v>79</v>
      </c>
      <c r="K13" s="200" t="s">
        <v>79</v>
      </c>
      <c r="L13" s="200" t="s">
        <v>79</v>
      </c>
      <c r="M13" s="200" t="s">
        <v>79</v>
      </c>
    </row>
    <row r="14" spans="1:13">
      <c r="A14" t="s">
        <v>75</v>
      </c>
      <c r="B14" t="s">
        <v>90</v>
      </c>
      <c r="C14" t="s">
        <v>81</v>
      </c>
      <c r="D14" t="s">
        <v>78</v>
      </c>
      <c r="E14" t="s">
        <v>72</v>
      </c>
      <c r="F14" s="202">
        <v>0</v>
      </c>
      <c r="G14" s="202">
        <v>0</v>
      </c>
      <c r="H14" s="202">
        <v>0</v>
      </c>
      <c r="I14" s="202">
        <v>0</v>
      </c>
      <c r="J14" s="202">
        <v>0</v>
      </c>
      <c r="K14" s="202">
        <v>0</v>
      </c>
      <c r="L14" s="202">
        <v>0</v>
      </c>
      <c r="M14" s="200" t="s">
        <v>79</v>
      </c>
    </row>
    <row r="15" spans="1:13">
      <c r="A15" t="s">
        <v>75</v>
      </c>
      <c r="B15" t="s">
        <v>91</v>
      </c>
      <c r="C15" t="s">
        <v>83</v>
      </c>
      <c r="D15" t="s">
        <v>78</v>
      </c>
      <c r="E15" t="s">
        <v>72</v>
      </c>
      <c r="F15" s="202">
        <v>1.9E-2</v>
      </c>
      <c r="G15" s="202">
        <v>1.7999999999999999E-2</v>
      </c>
      <c r="H15" s="200" t="s">
        <v>79</v>
      </c>
      <c r="I15" s="200" t="s">
        <v>79</v>
      </c>
      <c r="J15" s="200" t="s">
        <v>79</v>
      </c>
      <c r="K15" s="200" t="s">
        <v>79</v>
      </c>
      <c r="L15" s="200" t="s">
        <v>79</v>
      </c>
      <c r="M15" s="200" t="s">
        <v>79</v>
      </c>
    </row>
    <row r="16" spans="1:13">
      <c r="A16" t="s">
        <v>75</v>
      </c>
      <c r="B16" t="s">
        <v>92</v>
      </c>
      <c r="C16" t="s">
        <v>83</v>
      </c>
      <c r="D16" t="s">
        <v>78</v>
      </c>
      <c r="E16" t="s">
        <v>72</v>
      </c>
      <c r="F16" s="202">
        <v>0</v>
      </c>
      <c r="G16" s="202">
        <v>0</v>
      </c>
      <c r="H16" s="202">
        <v>0</v>
      </c>
      <c r="I16" s="202">
        <v>0</v>
      </c>
      <c r="J16" s="202">
        <v>0</v>
      </c>
      <c r="K16" s="202">
        <v>0</v>
      </c>
      <c r="L16" s="202">
        <v>0</v>
      </c>
      <c r="M16" s="200" t="s">
        <v>79</v>
      </c>
    </row>
    <row r="17" spans="1:13">
      <c r="A17" t="s">
        <v>75</v>
      </c>
      <c r="B17" t="s">
        <v>93</v>
      </c>
      <c r="C17" t="s">
        <v>94</v>
      </c>
      <c r="D17" t="s">
        <v>78</v>
      </c>
      <c r="E17" t="s">
        <v>72</v>
      </c>
      <c r="F17" s="200" t="s">
        <v>79</v>
      </c>
      <c r="G17" s="200" t="s">
        <v>79</v>
      </c>
      <c r="H17" s="200" t="s">
        <v>79</v>
      </c>
      <c r="I17" s="200" t="s">
        <v>79</v>
      </c>
      <c r="J17" s="200" t="s">
        <v>79</v>
      </c>
      <c r="K17" s="200" t="s">
        <v>79</v>
      </c>
      <c r="L17" s="200" t="s">
        <v>79</v>
      </c>
      <c r="M17" s="202">
        <v>6050.1791019508782</v>
      </c>
    </row>
    <row r="18" spans="1:13">
      <c r="A18" t="s">
        <v>95</v>
      </c>
      <c r="B18" t="s">
        <v>76</v>
      </c>
      <c r="C18" t="s">
        <v>77</v>
      </c>
      <c r="D18" t="s">
        <v>78</v>
      </c>
      <c r="E18" t="s">
        <v>72</v>
      </c>
      <c r="F18" s="202">
        <v>0.42350450513347032</v>
      </c>
      <c r="G18" s="202">
        <v>0.33</v>
      </c>
      <c r="H18" s="202">
        <v>1.544</v>
      </c>
      <c r="I18" s="202">
        <v>1.5049999999999999</v>
      </c>
      <c r="J18" s="202">
        <v>0</v>
      </c>
      <c r="K18" s="202">
        <v>0</v>
      </c>
      <c r="L18" s="202">
        <v>0</v>
      </c>
      <c r="M18" s="200" t="s">
        <v>79</v>
      </c>
    </row>
    <row r="19" spans="1:13">
      <c r="A19" t="s">
        <v>95</v>
      </c>
      <c r="B19" t="s">
        <v>80</v>
      </c>
      <c r="C19" t="s">
        <v>81</v>
      </c>
      <c r="D19" t="s">
        <v>78</v>
      </c>
      <c r="E19" t="s">
        <v>72</v>
      </c>
      <c r="F19" s="202">
        <v>0</v>
      </c>
      <c r="G19" s="202">
        <v>0</v>
      </c>
      <c r="H19" s="202">
        <v>0</v>
      </c>
      <c r="I19" s="202">
        <v>0</v>
      </c>
      <c r="J19" s="202">
        <v>0</v>
      </c>
      <c r="K19" s="202">
        <v>0</v>
      </c>
      <c r="L19" s="202">
        <v>0</v>
      </c>
      <c r="M19" s="200" t="s">
        <v>79</v>
      </c>
    </row>
    <row r="20" spans="1:13">
      <c r="A20" t="s">
        <v>95</v>
      </c>
      <c r="B20" t="s">
        <v>82</v>
      </c>
      <c r="C20" t="s">
        <v>83</v>
      </c>
      <c r="D20" t="s">
        <v>78</v>
      </c>
      <c r="E20" t="s">
        <v>72</v>
      </c>
      <c r="F20" s="202">
        <v>0.42350450513347032</v>
      </c>
      <c r="G20" s="202">
        <v>0.33</v>
      </c>
      <c r="H20" s="202">
        <v>1.544</v>
      </c>
      <c r="I20" s="202">
        <v>1.5049999999999999</v>
      </c>
      <c r="J20" s="202">
        <v>0</v>
      </c>
      <c r="K20" s="202">
        <v>0</v>
      </c>
      <c r="L20" s="202">
        <v>0</v>
      </c>
      <c r="M20" s="200" t="s">
        <v>79</v>
      </c>
    </row>
    <row r="21" spans="1:13">
      <c r="A21" t="s">
        <v>95</v>
      </c>
      <c r="B21" t="s">
        <v>84</v>
      </c>
      <c r="C21" t="s">
        <v>85</v>
      </c>
      <c r="D21" t="s">
        <v>86</v>
      </c>
      <c r="E21" t="s">
        <v>72</v>
      </c>
      <c r="F21" s="202">
        <v>3946.3209999999999</v>
      </c>
      <c r="G21" s="202">
        <v>3970.4409999999998</v>
      </c>
      <c r="H21" s="202">
        <v>3994.5369999999998</v>
      </c>
      <c r="I21" s="202">
        <v>4018.6320000000001</v>
      </c>
      <c r="J21" s="202">
        <v>4042.5520000000001</v>
      </c>
      <c r="K21" s="202">
        <v>4066.57</v>
      </c>
      <c r="L21" s="202">
        <v>4090.5610000000001</v>
      </c>
      <c r="M21" s="200" t="s">
        <v>79</v>
      </c>
    </row>
    <row r="22" spans="1:13">
      <c r="A22" t="s">
        <v>95</v>
      </c>
      <c r="B22" t="s">
        <v>87</v>
      </c>
      <c r="C22" t="s">
        <v>77</v>
      </c>
      <c r="D22" t="s">
        <v>78</v>
      </c>
      <c r="E22" t="s">
        <v>72</v>
      </c>
      <c r="F22" s="202">
        <v>0</v>
      </c>
      <c r="G22" s="202">
        <v>0</v>
      </c>
      <c r="H22" s="200" t="s">
        <v>79</v>
      </c>
      <c r="I22" s="200" t="s">
        <v>79</v>
      </c>
      <c r="J22" s="200" t="s">
        <v>79</v>
      </c>
      <c r="K22" s="200" t="s">
        <v>79</v>
      </c>
      <c r="L22" s="200" t="s">
        <v>79</v>
      </c>
      <c r="M22" s="200" t="s">
        <v>79</v>
      </c>
    </row>
    <row r="23" spans="1:13">
      <c r="A23" t="s">
        <v>95</v>
      </c>
      <c r="B23" t="s">
        <v>88</v>
      </c>
      <c r="C23" t="s">
        <v>77</v>
      </c>
      <c r="D23" t="s">
        <v>78</v>
      </c>
      <c r="E23" t="s">
        <v>72</v>
      </c>
      <c r="F23" s="202">
        <v>0</v>
      </c>
      <c r="G23" s="202">
        <v>0</v>
      </c>
      <c r="H23" s="202">
        <v>0</v>
      </c>
      <c r="I23" s="202">
        <v>0</v>
      </c>
      <c r="J23" s="202">
        <v>0</v>
      </c>
      <c r="K23" s="202">
        <v>0</v>
      </c>
      <c r="L23" s="202">
        <v>0</v>
      </c>
      <c r="M23" s="200" t="s">
        <v>79</v>
      </c>
    </row>
    <row r="24" spans="1:13">
      <c r="A24" t="s">
        <v>95</v>
      </c>
      <c r="B24" t="s">
        <v>89</v>
      </c>
      <c r="C24" t="s">
        <v>81</v>
      </c>
      <c r="D24" t="s">
        <v>78</v>
      </c>
      <c r="E24" t="s">
        <v>72</v>
      </c>
      <c r="F24" s="202">
        <v>0</v>
      </c>
      <c r="G24" s="202">
        <v>0</v>
      </c>
      <c r="H24" s="200" t="s">
        <v>79</v>
      </c>
      <c r="I24" s="200" t="s">
        <v>79</v>
      </c>
      <c r="J24" s="200" t="s">
        <v>79</v>
      </c>
      <c r="K24" s="200" t="s">
        <v>79</v>
      </c>
      <c r="L24" s="200" t="s">
        <v>79</v>
      </c>
      <c r="M24" s="200" t="s">
        <v>79</v>
      </c>
    </row>
    <row r="25" spans="1:13">
      <c r="A25" t="s">
        <v>95</v>
      </c>
      <c r="B25" t="s">
        <v>90</v>
      </c>
      <c r="C25" t="s">
        <v>81</v>
      </c>
      <c r="D25" t="s">
        <v>78</v>
      </c>
      <c r="E25" t="s">
        <v>72</v>
      </c>
      <c r="F25" s="202">
        <v>0</v>
      </c>
      <c r="G25" s="202">
        <v>0</v>
      </c>
      <c r="H25" s="202">
        <v>0</v>
      </c>
      <c r="I25" s="202">
        <v>0</v>
      </c>
      <c r="J25" s="202">
        <v>0</v>
      </c>
      <c r="K25" s="202">
        <v>0</v>
      </c>
      <c r="L25" s="202">
        <v>0</v>
      </c>
      <c r="M25" s="200" t="s">
        <v>79</v>
      </c>
    </row>
    <row r="26" spans="1:13">
      <c r="A26" t="s">
        <v>95</v>
      </c>
      <c r="B26" t="s">
        <v>91</v>
      </c>
      <c r="C26" t="s">
        <v>83</v>
      </c>
      <c r="D26" t="s">
        <v>78</v>
      </c>
      <c r="E26" t="s">
        <v>72</v>
      </c>
      <c r="F26" s="202">
        <v>0</v>
      </c>
      <c r="G26" s="202">
        <v>0</v>
      </c>
      <c r="H26" s="200" t="s">
        <v>79</v>
      </c>
      <c r="I26" s="200" t="s">
        <v>79</v>
      </c>
      <c r="J26" s="200" t="s">
        <v>79</v>
      </c>
      <c r="K26" s="200" t="s">
        <v>79</v>
      </c>
      <c r="L26" s="200" t="s">
        <v>79</v>
      </c>
      <c r="M26" s="200" t="s">
        <v>79</v>
      </c>
    </row>
    <row r="27" spans="1:13">
      <c r="A27" t="s">
        <v>95</v>
      </c>
      <c r="B27" t="s">
        <v>92</v>
      </c>
      <c r="C27" t="s">
        <v>83</v>
      </c>
      <c r="D27" t="s">
        <v>78</v>
      </c>
      <c r="E27" t="s">
        <v>72</v>
      </c>
      <c r="F27" s="202">
        <v>0</v>
      </c>
      <c r="G27" s="202">
        <v>0</v>
      </c>
      <c r="H27" s="202">
        <v>0</v>
      </c>
      <c r="I27" s="202">
        <v>0</v>
      </c>
      <c r="J27" s="202">
        <v>0</v>
      </c>
      <c r="K27" s="202">
        <v>0</v>
      </c>
      <c r="L27" s="202">
        <v>0</v>
      </c>
      <c r="M27" s="200" t="s">
        <v>79</v>
      </c>
    </row>
    <row r="28" spans="1:13">
      <c r="A28" t="s">
        <v>95</v>
      </c>
      <c r="B28" t="s">
        <v>93</v>
      </c>
      <c r="C28" t="s">
        <v>94</v>
      </c>
      <c r="D28" t="s">
        <v>78</v>
      </c>
      <c r="E28" t="s">
        <v>72</v>
      </c>
      <c r="F28" s="200" t="s">
        <v>79</v>
      </c>
      <c r="G28" s="200" t="s">
        <v>79</v>
      </c>
      <c r="H28" s="200" t="s">
        <v>79</v>
      </c>
      <c r="I28" s="200" t="s">
        <v>79</v>
      </c>
      <c r="J28" s="200" t="s">
        <v>79</v>
      </c>
      <c r="K28" s="200" t="s">
        <v>79</v>
      </c>
      <c r="L28" s="200" t="s">
        <v>79</v>
      </c>
      <c r="M28" s="202">
        <v>3318.1690000000003</v>
      </c>
    </row>
    <row r="29" spans="1:13">
      <c r="A29" t="s">
        <v>96</v>
      </c>
      <c r="B29" t="s">
        <v>76</v>
      </c>
      <c r="C29" t="s">
        <v>77</v>
      </c>
      <c r="D29" t="s">
        <v>78</v>
      </c>
      <c r="E29" t="s">
        <v>72</v>
      </c>
      <c r="F29" s="202">
        <v>0</v>
      </c>
      <c r="G29" s="202">
        <v>0</v>
      </c>
      <c r="H29" s="202">
        <v>0</v>
      </c>
      <c r="I29" s="202">
        <v>0</v>
      </c>
      <c r="J29" s="202">
        <v>0</v>
      </c>
      <c r="K29" s="202">
        <v>0</v>
      </c>
      <c r="L29" s="202">
        <v>0</v>
      </c>
      <c r="M29" s="200" t="s">
        <v>79</v>
      </c>
    </row>
    <row r="30" spans="1:13">
      <c r="A30" t="s">
        <v>96</v>
      </c>
      <c r="B30" t="s">
        <v>80</v>
      </c>
      <c r="C30" t="s">
        <v>81</v>
      </c>
      <c r="D30" t="s">
        <v>78</v>
      </c>
      <c r="E30" t="s">
        <v>72</v>
      </c>
      <c r="F30" s="202">
        <v>0</v>
      </c>
      <c r="G30" s="202">
        <v>0</v>
      </c>
      <c r="H30" s="202">
        <v>0</v>
      </c>
      <c r="I30" s="202">
        <v>0</v>
      </c>
      <c r="J30" s="202">
        <v>0</v>
      </c>
      <c r="K30" s="202">
        <v>0</v>
      </c>
      <c r="L30" s="202">
        <v>0</v>
      </c>
      <c r="M30" s="200" t="s">
        <v>79</v>
      </c>
    </row>
    <row r="31" spans="1:13">
      <c r="A31" t="s">
        <v>96</v>
      </c>
      <c r="B31" t="s">
        <v>82</v>
      </c>
      <c r="C31" t="s">
        <v>83</v>
      </c>
      <c r="D31" t="s">
        <v>78</v>
      </c>
      <c r="E31" t="s">
        <v>72</v>
      </c>
      <c r="F31" s="202">
        <v>0</v>
      </c>
      <c r="G31" s="202">
        <v>0</v>
      </c>
      <c r="H31" s="202">
        <v>0</v>
      </c>
      <c r="I31" s="202">
        <v>0</v>
      </c>
      <c r="J31" s="202">
        <v>0</v>
      </c>
      <c r="K31" s="202">
        <v>0</v>
      </c>
      <c r="L31" s="202">
        <v>0</v>
      </c>
      <c r="M31" s="200" t="s">
        <v>79</v>
      </c>
    </row>
    <row r="32" spans="1:13">
      <c r="A32" t="s">
        <v>96</v>
      </c>
      <c r="B32" t="s">
        <v>84</v>
      </c>
      <c r="C32" t="s">
        <v>85</v>
      </c>
      <c r="D32" t="s">
        <v>86</v>
      </c>
      <c r="E32" t="s">
        <v>72</v>
      </c>
      <c r="F32" s="202">
        <v>44.999000000000002</v>
      </c>
      <c r="G32" s="202">
        <v>44.225853655244187</v>
      </c>
      <c r="H32" s="202">
        <v>44.676414318998333</v>
      </c>
      <c r="I32" s="202">
        <v>45.117056899328233</v>
      </c>
      <c r="J32" s="202">
        <v>45.547841835992948</v>
      </c>
      <c r="K32" s="202">
        <v>45.995621426845148</v>
      </c>
      <c r="L32" s="202">
        <v>46.407751999142697</v>
      </c>
      <c r="M32" s="200" t="s">
        <v>79</v>
      </c>
    </row>
    <row r="33" spans="1:13">
      <c r="A33" t="s">
        <v>96</v>
      </c>
      <c r="B33" t="s">
        <v>87</v>
      </c>
      <c r="C33" t="s">
        <v>77</v>
      </c>
      <c r="D33" t="s">
        <v>78</v>
      </c>
      <c r="E33" t="s">
        <v>72</v>
      </c>
      <c r="F33" s="202">
        <v>0</v>
      </c>
      <c r="G33" s="202">
        <v>0</v>
      </c>
      <c r="H33" s="200" t="s">
        <v>79</v>
      </c>
      <c r="I33" s="200" t="s">
        <v>79</v>
      </c>
      <c r="J33" s="200" t="s">
        <v>79</v>
      </c>
      <c r="K33" s="200" t="s">
        <v>79</v>
      </c>
      <c r="L33" s="200" t="s">
        <v>79</v>
      </c>
      <c r="M33" s="200" t="s">
        <v>79</v>
      </c>
    </row>
    <row r="34" spans="1:13">
      <c r="A34" t="s">
        <v>96</v>
      </c>
      <c r="B34" t="s">
        <v>88</v>
      </c>
      <c r="C34" t="s">
        <v>77</v>
      </c>
      <c r="D34" t="s">
        <v>78</v>
      </c>
      <c r="E34" t="s">
        <v>72</v>
      </c>
      <c r="F34" s="202">
        <v>0</v>
      </c>
      <c r="G34" s="202">
        <v>0</v>
      </c>
      <c r="H34" s="202">
        <v>0</v>
      </c>
      <c r="I34" s="202">
        <v>0</v>
      </c>
      <c r="J34" s="202">
        <v>0</v>
      </c>
      <c r="K34" s="202">
        <v>0</v>
      </c>
      <c r="L34" s="202">
        <v>0</v>
      </c>
      <c r="M34" s="200" t="s">
        <v>79</v>
      </c>
    </row>
    <row r="35" spans="1:13">
      <c r="A35" t="s">
        <v>96</v>
      </c>
      <c r="B35" t="s">
        <v>89</v>
      </c>
      <c r="C35" t="s">
        <v>81</v>
      </c>
      <c r="D35" t="s">
        <v>78</v>
      </c>
      <c r="E35" t="s">
        <v>72</v>
      </c>
      <c r="F35" s="202">
        <v>0</v>
      </c>
      <c r="G35" s="202">
        <v>0</v>
      </c>
      <c r="H35" s="200" t="s">
        <v>79</v>
      </c>
      <c r="I35" s="200" t="s">
        <v>79</v>
      </c>
      <c r="J35" s="200" t="s">
        <v>79</v>
      </c>
      <c r="K35" s="200" t="s">
        <v>79</v>
      </c>
      <c r="L35" s="200" t="s">
        <v>79</v>
      </c>
      <c r="M35" s="200" t="s">
        <v>79</v>
      </c>
    </row>
    <row r="36" spans="1:13">
      <c r="A36" t="s">
        <v>96</v>
      </c>
      <c r="B36" t="s">
        <v>90</v>
      </c>
      <c r="C36" t="s">
        <v>81</v>
      </c>
      <c r="D36" t="s">
        <v>78</v>
      </c>
      <c r="E36" t="s">
        <v>72</v>
      </c>
      <c r="F36" s="202">
        <v>0</v>
      </c>
      <c r="G36" s="202">
        <v>0</v>
      </c>
      <c r="H36" s="202">
        <v>0</v>
      </c>
      <c r="I36" s="202">
        <v>0</v>
      </c>
      <c r="J36" s="202">
        <v>0</v>
      </c>
      <c r="K36" s="202">
        <v>0</v>
      </c>
      <c r="L36" s="202">
        <v>0</v>
      </c>
      <c r="M36" s="200" t="s">
        <v>79</v>
      </c>
    </row>
    <row r="37" spans="1:13">
      <c r="A37" t="s">
        <v>96</v>
      </c>
      <c r="B37" t="s">
        <v>91</v>
      </c>
      <c r="C37" t="s">
        <v>83</v>
      </c>
      <c r="D37" t="s">
        <v>78</v>
      </c>
      <c r="E37" t="s">
        <v>72</v>
      </c>
      <c r="F37" s="202">
        <v>0</v>
      </c>
      <c r="G37" s="202">
        <v>0</v>
      </c>
      <c r="H37" s="200" t="s">
        <v>79</v>
      </c>
      <c r="I37" s="200" t="s">
        <v>79</v>
      </c>
      <c r="J37" s="200" t="s">
        <v>79</v>
      </c>
      <c r="K37" s="200" t="s">
        <v>79</v>
      </c>
      <c r="L37" s="200" t="s">
        <v>79</v>
      </c>
      <c r="M37" s="200" t="s">
        <v>79</v>
      </c>
    </row>
    <row r="38" spans="1:13">
      <c r="A38" t="s">
        <v>96</v>
      </c>
      <c r="B38" t="s">
        <v>92</v>
      </c>
      <c r="C38" t="s">
        <v>83</v>
      </c>
      <c r="D38" t="s">
        <v>78</v>
      </c>
      <c r="E38" t="s">
        <v>72</v>
      </c>
      <c r="F38" s="202">
        <v>0</v>
      </c>
      <c r="G38" s="202">
        <v>0</v>
      </c>
      <c r="H38" s="202">
        <v>0</v>
      </c>
      <c r="I38" s="202">
        <v>0</v>
      </c>
      <c r="J38" s="202">
        <v>0</v>
      </c>
      <c r="K38" s="202">
        <v>0</v>
      </c>
      <c r="L38" s="202">
        <v>0</v>
      </c>
      <c r="M38" s="200" t="s">
        <v>79</v>
      </c>
    </row>
    <row r="39" spans="1:13">
      <c r="A39" t="s">
        <v>96</v>
      </c>
      <c r="B39" t="s">
        <v>93</v>
      </c>
      <c r="C39" t="s">
        <v>94</v>
      </c>
      <c r="D39" t="s">
        <v>78</v>
      </c>
      <c r="E39" t="s">
        <v>72</v>
      </c>
      <c r="F39" s="200" t="s">
        <v>79</v>
      </c>
      <c r="G39" s="200" t="s">
        <v>79</v>
      </c>
      <c r="H39" s="200" t="s">
        <v>79</v>
      </c>
      <c r="I39" s="200" t="s">
        <v>79</v>
      </c>
      <c r="J39" s="200" t="s">
        <v>79</v>
      </c>
      <c r="K39" s="200" t="s">
        <v>79</v>
      </c>
      <c r="L39" s="200" t="s">
        <v>79</v>
      </c>
      <c r="M39" s="202">
        <v>61.302812018456414</v>
      </c>
    </row>
    <row r="40" spans="1:13">
      <c r="A40" t="s">
        <v>97</v>
      </c>
      <c r="B40" t="s">
        <v>76</v>
      </c>
      <c r="C40" t="s">
        <v>77</v>
      </c>
      <c r="D40" t="s">
        <v>78</v>
      </c>
      <c r="E40" t="s">
        <v>72</v>
      </c>
      <c r="F40" s="202">
        <v>2.1000000000000001E-2</v>
      </c>
      <c r="G40" s="202">
        <v>0.03</v>
      </c>
      <c r="H40" s="202">
        <v>2.6019999999999999</v>
      </c>
      <c r="I40" s="202">
        <v>2.6019999999999999</v>
      </c>
      <c r="J40" s="202">
        <v>0</v>
      </c>
      <c r="K40" s="202">
        <v>0</v>
      </c>
      <c r="L40" s="202">
        <v>0</v>
      </c>
      <c r="M40" s="200" t="s">
        <v>79</v>
      </c>
    </row>
    <row r="41" spans="1:13">
      <c r="A41" t="s">
        <v>97</v>
      </c>
      <c r="B41" t="s">
        <v>80</v>
      </c>
      <c r="C41" t="s">
        <v>81</v>
      </c>
      <c r="D41" t="s">
        <v>78</v>
      </c>
      <c r="E41" t="s">
        <v>72</v>
      </c>
      <c r="F41" s="202">
        <v>0.16700000000000001</v>
      </c>
      <c r="G41" s="202">
        <v>0</v>
      </c>
      <c r="H41" s="202">
        <v>0</v>
      </c>
      <c r="I41" s="202">
        <v>0</v>
      </c>
      <c r="J41" s="202">
        <v>0</v>
      </c>
      <c r="K41" s="202">
        <v>0</v>
      </c>
      <c r="L41" s="202">
        <v>0</v>
      </c>
      <c r="M41" s="200" t="s">
        <v>79</v>
      </c>
    </row>
    <row r="42" spans="1:13">
      <c r="A42" t="s">
        <v>97</v>
      </c>
      <c r="B42" t="s">
        <v>82</v>
      </c>
      <c r="C42" t="s">
        <v>83</v>
      </c>
      <c r="D42" t="s">
        <v>78</v>
      </c>
      <c r="E42" t="s">
        <v>72</v>
      </c>
      <c r="F42" s="202">
        <v>0.188</v>
      </c>
      <c r="G42" s="202">
        <v>0.03</v>
      </c>
      <c r="H42" s="202">
        <v>2.6019999999999999</v>
      </c>
      <c r="I42" s="202">
        <v>2.6019999999999999</v>
      </c>
      <c r="J42" s="202">
        <v>0</v>
      </c>
      <c r="K42" s="202">
        <v>0</v>
      </c>
      <c r="L42" s="202">
        <v>0</v>
      </c>
      <c r="M42" s="200" t="s">
        <v>79</v>
      </c>
    </row>
    <row r="43" spans="1:13">
      <c r="A43" t="s">
        <v>97</v>
      </c>
      <c r="B43" t="s">
        <v>84</v>
      </c>
      <c r="C43" t="s">
        <v>85</v>
      </c>
      <c r="D43" t="s">
        <v>86</v>
      </c>
      <c r="E43" t="s">
        <v>72</v>
      </c>
      <c r="F43" s="202">
        <v>2832.5329999999999</v>
      </c>
      <c r="G43" s="202">
        <v>2911.4040393</v>
      </c>
      <c r="H43" s="202">
        <v>2937.2584393100001</v>
      </c>
      <c r="I43" s="202">
        <v>2961.0601993199998</v>
      </c>
      <c r="J43" s="202">
        <v>2984.86195933</v>
      </c>
      <c r="K43" s="202">
        <v>3008.6637193400002</v>
      </c>
      <c r="L43" s="202">
        <v>3032.4654793499999</v>
      </c>
      <c r="M43" s="200" t="s">
        <v>79</v>
      </c>
    </row>
    <row r="44" spans="1:13">
      <c r="A44" t="s">
        <v>97</v>
      </c>
      <c r="B44" t="s">
        <v>87</v>
      </c>
      <c r="C44" t="s">
        <v>77</v>
      </c>
      <c r="D44" t="s">
        <v>78</v>
      </c>
      <c r="E44" t="s">
        <v>72</v>
      </c>
      <c r="F44" s="202">
        <v>0.03</v>
      </c>
      <c r="G44" s="202">
        <v>0.03</v>
      </c>
      <c r="H44" s="200" t="s">
        <v>79</v>
      </c>
      <c r="I44" s="200" t="s">
        <v>79</v>
      </c>
      <c r="J44" s="200" t="s">
        <v>79</v>
      </c>
      <c r="K44" s="200" t="s">
        <v>79</v>
      </c>
      <c r="L44" s="200" t="s">
        <v>79</v>
      </c>
      <c r="M44" s="200" t="s">
        <v>79</v>
      </c>
    </row>
    <row r="45" spans="1:13">
      <c r="A45" t="s">
        <v>97</v>
      </c>
      <c r="B45" t="s">
        <v>88</v>
      </c>
      <c r="C45" t="s">
        <v>77</v>
      </c>
      <c r="D45" t="s">
        <v>78</v>
      </c>
      <c r="E45" t="s">
        <v>72</v>
      </c>
      <c r="F45" s="202">
        <v>0</v>
      </c>
      <c r="G45" s="202">
        <v>0</v>
      </c>
      <c r="H45" s="202">
        <v>0</v>
      </c>
      <c r="I45" s="202">
        <v>0</v>
      </c>
      <c r="J45" s="202">
        <v>0</v>
      </c>
      <c r="K45" s="202">
        <v>0</v>
      </c>
      <c r="L45" s="202">
        <v>0</v>
      </c>
      <c r="M45" s="200" t="s">
        <v>79</v>
      </c>
    </row>
    <row r="46" spans="1:13">
      <c r="A46" t="s">
        <v>97</v>
      </c>
      <c r="B46" t="s">
        <v>89</v>
      </c>
      <c r="C46" t="s">
        <v>81</v>
      </c>
      <c r="D46" t="s">
        <v>78</v>
      </c>
      <c r="E46" t="s">
        <v>72</v>
      </c>
      <c r="F46" s="202">
        <v>0</v>
      </c>
      <c r="G46" s="202">
        <v>0</v>
      </c>
      <c r="H46" s="200" t="s">
        <v>79</v>
      </c>
      <c r="I46" s="200" t="s">
        <v>79</v>
      </c>
      <c r="J46" s="200" t="s">
        <v>79</v>
      </c>
      <c r="K46" s="200" t="s">
        <v>79</v>
      </c>
      <c r="L46" s="200" t="s">
        <v>79</v>
      </c>
      <c r="M46" s="200" t="s">
        <v>79</v>
      </c>
    </row>
    <row r="47" spans="1:13">
      <c r="A47" t="s">
        <v>97</v>
      </c>
      <c r="B47" t="s">
        <v>90</v>
      </c>
      <c r="C47" t="s">
        <v>81</v>
      </c>
      <c r="D47" t="s">
        <v>78</v>
      </c>
      <c r="E47" t="s">
        <v>72</v>
      </c>
      <c r="F47" s="202">
        <v>0</v>
      </c>
      <c r="G47" s="202">
        <v>0</v>
      </c>
      <c r="H47" s="202">
        <v>0</v>
      </c>
      <c r="I47" s="202">
        <v>0</v>
      </c>
      <c r="J47" s="202">
        <v>0</v>
      </c>
      <c r="K47" s="202">
        <v>0</v>
      </c>
      <c r="L47" s="202">
        <v>0</v>
      </c>
      <c r="M47" s="200" t="s">
        <v>79</v>
      </c>
    </row>
    <row r="48" spans="1:13">
      <c r="A48" t="s">
        <v>97</v>
      </c>
      <c r="B48" t="s">
        <v>91</v>
      </c>
      <c r="C48" t="s">
        <v>83</v>
      </c>
      <c r="D48" t="s">
        <v>78</v>
      </c>
      <c r="E48" t="s">
        <v>72</v>
      </c>
      <c r="F48" s="202">
        <v>0.03</v>
      </c>
      <c r="G48" s="202">
        <v>0.03</v>
      </c>
      <c r="H48" s="200" t="s">
        <v>79</v>
      </c>
      <c r="I48" s="200" t="s">
        <v>79</v>
      </c>
      <c r="J48" s="200" t="s">
        <v>79</v>
      </c>
      <c r="K48" s="200" t="s">
        <v>79</v>
      </c>
      <c r="L48" s="200" t="s">
        <v>79</v>
      </c>
      <c r="M48" s="200" t="s">
        <v>79</v>
      </c>
    </row>
    <row r="49" spans="1:13">
      <c r="A49" t="s">
        <v>97</v>
      </c>
      <c r="B49" t="s">
        <v>92</v>
      </c>
      <c r="C49" t="s">
        <v>83</v>
      </c>
      <c r="D49" t="s">
        <v>78</v>
      </c>
      <c r="E49" t="s">
        <v>72</v>
      </c>
      <c r="F49" s="202">
        <v>0</v>
      </c>
      <c r="G49" s="202">
        <v>0</v>
      </c>
      <c r="H49" s="202">
        <v>0</v>
      </c>
      <c r="I49" s="202">
        <v>0</v>
      </c>
      <c r="J49" s="202">
        <v>0</v>
      </c>
      <c r="K49" s="202">
        <v>0</v>
      </c>
      <c r="L49" s="202">
        <v>0</v>
      </c>
      <c r="M49" s="200" t="s">
        <v>79</v>
      </c>
    </row>
    <row r="50" spans="1:13">
      <c r="A50" t="s">
        <v>97</v>
      </c>
      <c r="B50" t="s">
        <v>93</v>
      </c>
      <c r="C50" t="s">
        <v>94</v>
      </c>
      <c r="D50" t="s">
        <v>78</v>
      </c>
      <c r="E50" t="s">
        <v>72</v>
      </c>
      <c r="F50" s="200" t="s">
        <v>79</v>
      </c>
      <c r="G50" s="200" t="s">
        <v>79</v>
      </c>
      <c r="H50" s="200" t="s">
        <v>79</v>
      </c>
      <c r="I50" s="200" t="s">
        <v>79</v>
      </c>
      <c r="J50" s="200" t="s">
        <v>79</v>
      </c>
      <c r="K50" s="200" t="s">
        <v>79</v>
      </c>
      <c r="L50" s="200" t="s">
        <v>79</v>
      </c>
      <c r="M50" s="202">
        <v>3207.9274023759344</v>
      </c>
    </row>
    <row r="51" spans="1:13">
      <c r="A51" t="s">
        <v>98</v>
      </c>
      <c r="B51" t="s">
        <v>76</v>
      </c>
      <c r="C51" t="s">
        <v>77</v>
      </c>
      <c r="D51" t="s">
        <v>78</v>
      </c>
      <c r="E51" t="s">
        <v>72</v>
      </c>
      <c r="F51" s="202">
        <v>0.433</v>
      </c>
      <c r="G51" s="202">
        <v>1.9317451020150891</v>
      </c>
      <c r="H51" s="202">
        <v>1.0951869413392581</v>
      </c>
      <c r="I51" s="202">
        <v>2.62753219832075</v>
      </c>
      <c r="J51" s="202">
        <v>0.18554710569434299</v>
      </c>
      <c r="K51" s="202">
        <v>0.186676871668983</v>
      </c>
      <c r="L51" s="202">
        <v>0.188</v>
      </c>
      <c r="M51" s="200" t="s">
        <v>79</v>
      </c>
    </row>
    <row r="52" spans="1:13">
      <c r="A52" t="s">
        <v>98</v>
      </c>
      <c r="B52" t="s">
        <v>80</v>
      </c>
      <c r="C52" t="s">
        <v>81</v>
      </c>
      <c r="D52" t="s">
        <v>78</v>
      </c>
      <c r="E52" t="s">
        <v>72</v>
      </c>
      <c r="F52" s="202">
        <v>0</v>
      </c>
      <c r="G52" s="202">
        <v>0</v>
      </c>
      <c r="H52" s="202">
        <v>0</v>
      </c>
      <c r="I52" s="202">
        <v>0</v>
      </c>
      <c r="J52" s="202">
        <v>0</v>
      </c>
      <c r="K52" s="202">
        <v>0</v>
      </c>
      <c r="L52" s="202">
        <v>0</v>
      </c>
      <c r="M52" s="200" t="s">
        <v>79</v>
      </c>
    </row>
    <row r="53" spans="1:13">
      <c r="A53" t="s">
        <v>98</v>
      </c>
      <c r="B53" t="s">
        <v>82</v>
      </c>
      <c r="C53" t="s">
        <v>83</v>
      </c>
      <c r="D53" t="s">
        <v>78</v>
      </c>
      <c r="E53" t="s">
        <v>72</v>
      </c>
      <c r="F53" s="202">
        <v>0.433</v>
      </c>
      <c r="G53" s="202">
        <v>1.9317451020150891</v>
      </c>
      <c r="H53" s="202">
        <v>1.0951869413392581</v>
      </c>
      <c r="I53" s="202">
        <v>2.62753219832075</v>
      </c>
      <c r="J53" s="202">
        <v>0.18554710569434299</v>
      </c>
      <c r="K53" s="202">
        <v>0.186676871668983</v>
      </c>
      <c r="L53" s="202">
        <v>0.188</v>
      </c>
      <c r="M53" s="200" t="s">
        <v>79</v>
      </c>
    </row>
    <row r="54" spans="1:13">
      <c r="A54" t="s">
        <v>98</v>
      </c>
      <c r="B54" t="s">
        <v>84</v>
      </c>
      <c r="C54" t="s">
        <v>85</v>
      </c>
      <c r="D54" t="s">
        <v>86</v>
      </c>
      <c r="E54" t="s">
        <v>72</v>
      </c>
      <c r="F54" s="202">
        <v>10610.32</v>
      </c>
      <c r="G54" s="202">
        <v>10468.344897887</v>
      </c>
      <c r="H54" s="202">
        <v>10540.49547222977</v>
      </c>
      <c r="I54" s="202">
        <v>10601.77377574383</v>
      </c>
      <c r="J54" s="202">
        <v>10661.29669568924</v>
      </c>
      <c r="K54" s="202">
        <v>10826.83120593638</v>
      </c>
      <c r="L54" s="202">
        <v>10884.84595566423</v>
      </c>
      <c r="M54" s="200" t="s">
        <v>79</v>
      </c>
    </row>
    <row r="55" spans="1:13">
      <c r="A55" t="s">
        <v>98</v>
      </c>
      <c r="B55" t="s">
        <v>87</v>
      </c>
      <c r="C55" t="s">
        <v>77</v>
      </c>
      <c r="D55" t="s">
        <v>78</v>
      </c>
      <c r="E55" t="s">
        <v>72</v>
      </c>
      <c r="F55" s="202">
        <v>0</v>
      </c>
      <c r="G55" s="202">
        <v>1.5077451020150889</v>
      </c>
      <c r="H55" s="200" t="s">
        <v>79</v>
      </c>
      <c r="I55" s="200" t="s">
        <v>79</v>
      </c>
      <c r="J55" s="200" t="s">
        <v>79</v>
      </c>
      <c r="K55" s="200" t="s">
        <v>79</v>
      </c>
      <c r="L55" s="200" t="s">
        <v>79</v>
      </c>
      <c r="M55" s="200" t="s">
        <v>79</v>
      </c>
    </row>
    <row r="56" spans="1:13">
      <c r="A56" t="s">
        <v>98</v>
      </c>
      <c r="B56" t="s">
        <v>88</v>
      </c>
      <c r="C56" t="s">
        <v>77</v>
      </c>
      <c r="D56" t="s">
        <v>78</v>
      </c>
      <c r="E56" t="s">
        <v>72</v>
      </c>
      <c r="F56" s="202">
        <v>0</v>
      </c>
      <c r="G56" s="202">
        <v>0</v>
      </c>
      <c r="H56" s="202">
        <v>0</v>
      </c>
      <c r="I56" s="202">
        <v>0</v>
      </c>
      <c r="J56" s="202">
        <v>0</v>
      </c>
      <c r="K56" s="202">
        <v>0</v>
      </c>
      <c r="L56" s="202">
        <v>0</v>
      </c>
      <c r="M56" s="200" t="s">
        <v>79</v>
      </c>
    </row>
    <row r="57" spans="1:13">
      <c r="A57" t="s">
        <v>98</v>
      </c>
      <c r="B57" t="s">
        <v>89</v>
      </c>
      <c r="C57" t="s">
        <v>81</v>
      </c>
      <c r="D57" t="s">
        <v>78</v>
      </c>
      <c r="E57" t="s">
        <v>72</v>
      </c>
      <c r="F57" s="202">
        <v>0</v>
      </c>
      <c r="G57" s="202">
        <v>0</v>
      </c>
      <c r="H57" s="200" t="s">
        <v>79</v>
      </c>
      <c r="I57" s="200" t="s">
        <v>79</v>
      </c>
      <c r="J57" s="200" t="s">
        <v>79</v>
      </c>
      <c r="K57" s="200" t="s">
        <v>79</v>
      </c>
      <c r="L57" s="200" t="s">
        <v>79</v>
      </c>
      <c r="M57" s="200" t="s">
        <v>79</v>
      </c>
    </row>
    <row r="58" spans="1:13">
      <c r="A58" t="s">
        <v>98</v>
      </c>
      <c r="B58" t="s">
        <v>90</v>
      </c>
      <c r="C58" t="s">
        <v>81</v>
      </c>
      <c r="D58" t="s">
        <v>78</v>
      </c>
      <c r="E58" t="s">
        <v>72</v>
      </c>
      <c r="F58" s="202">
        <v>0</v>
      </c>
      <c r="G58" s="202">
        <v>0</v>
      </c>
      <c r="H58" s="202">
        <v>0</v>
      </c>
      <c r="I58" s="202">
        <v>0</v>
      </c>
      <c r="J58" s="202">
        <v>0</v>
      </c>
      <c r="K58" s="202">
        <v>0</v>
      </c>
      <c r="L58" s="202">
        <v>0</v>
      </c>
      <c r="M58" s="200" t="s">
        <v>79</v>
      </c>
    </row>
    <row r="59" spans="1:13">
      <c r="A59" t="s">
        <v>98</v>
      </c>
      <c r="B59" t="s">
        <v>91</v>
      </c>
      <c r="C59" t="s">
        <v>83</v>
      </c>
      <c r="D59" t="s">
        <v>78</v>
      </c>
      <c r="E59" t="s">
        <v>72</v>
      </c>
      <c r="F59" s="202">
        <v>0</v>
      </c>
      <c r="G59" s="202">
        <v>1.5077451020150889</v>
      </c>
      <c r="H59" s="200" t="s">
        <v>79</v>
      </c>
      <c r="I59" s="200" t="s">
        <v>79</v>
      </c>
      <c r="J59" s="200" t="s">
        <v>79</v>
      </c>
      <c r="K59" s="200" t="s">
        <v>79</v>
      </c>
      <c r="L59" s="200" t="s">
        <v>79</v>
      </c>
      <c r="M59" s="200" t="s">
        <v>79</v>
      </c>
    </row>
    <row r="60" spans="1:13">
      <c r="A60" t="s">
        <v>98</v>
      </c>
      <c r="B60" t="s">
        <v>92</v>
      </c>
      <c r="C60" t="s">
        <v>83</v>
      </c>
      <c r="D60" t="s">
        <v>78</v>
      </c>
      <c r="E60" t="s">
        <v>72</v>
      </c>
      <c r="F60" s="202">
        <v>0</v>
      </c>
      <c r="G60" s="202">
        <v>0</v>
      </c>
      <c r="H60" s="202">
        <v>0</v>
      </c>
      <c r="I60" s="202">
        <v>0</v>
      </c>
      <c r="J60" s="202">
        <v>0</v>
      </c>
      <c r="K60" s="202">
        <v>0</v>
      </c>
      <c r="L60" s="202">
        <v>0</v>
      </c>
      <c r="M60" s="200" t="s">
        <v>79</v>
      </c>
    </row>
    <row r="61" spans="1:13">
      <c r="A61" t="s">
        <v>98</v>
      </c>
      <c r="B61" t="s">
        <v>93</v>
      </c>
      <c r="C61" t="s">
        <v>94</v>
      </c>
      <c r="D61" t="s">
        <v>78</v>
      </c>
      <c r="E61" t="s">
        <v>72</v>
      </c>
      <c r="F61" s="200" t="s">
        <v>79</v>
      </c>
      <c r="G61" s="200" t="s">
        <v>79</v>
      </c>
      <c r="H61" s="200" t="s">
        <v>79</v>
      </c>
      <c r="I61" s="200" t="s">
        <v>79</v>
      </c>
      <c r="J61" s="200" t="s">
        <v>79</v>
      </c>
      <c r="K61" s="200" t="s">
        <v>79</v>
      </c>
      <c r="L61" s="200" t="s">
        <v>79</v>
      </c>
      <c r="M61" s="202">
        <v>8618.71199666149</v>
      </c>
    </row>
    <row r="62" spans="1:13">
      <c r="A62" t="s">
        <v>99</v>
      </c>
      <c r="B62" t="s">
        <v>76</v>
      </c>
      <c r="C62" t="s">
        <v>77</v>
      </c>
      <c r="D62" t="s">
        <v>78</v>
      </c>
      <c r="E62" t="s">
        <v>72</v>
      </c>
      <c r="F62" s="202">
        <v>0.15632860626283371</v>
      </c>
      <c r="G62" s="202">
        <v>0.26400000000000001</v>
      </c>
      <c r="H62" s="202">
        <v>0.56999999999999995</v>
      </c>
      <c r="I62" s="202">
        <v>0.67200000000000004</v>
      </c>
      <c r="J62" s="202">
        <v>0.70599999999999996</v>
      </c>
      <c r="K62" s="202">
        <v>0.17</v>
      </c>
      <c r="L62" s="202">
        <v>6.8000000000000005E-2</v>
      </c>
      <c r="M62" s="200" t="s">
        <v>79</v>
      </c>
    </row>
    <row r="63" spans="1:13">
      <c r="A63" t="s">
        <v>99</v>
      </c>
      <c r="B63" t="s">
        <v>80</v>
      </c>
      <c r="C63" t="s">
        <v>81</v>
      </c>
      <c r="D63" t="s">
        <v>78</v>
      </c>
      <c r="E63" t="s">
        <v>72</v>
      </c>
      <c r="F63" s="202">
        <v>0</v>
      </c>
      <c r="G63" s="202">
        <v>0</v>
      </c>
      <c r="H63" s="202">
        <v>0</v>
      </c>
      <c r="I63" s="202">
        <v>0</v>
      </c>
      <c r="J63" s="202">
        <v>0</v>
      </c>
      <c r="K63" s="202">
        <v>0</v>
      </c>
      <c r="L63" s="202">
        <v>0</v>
      </c>
      <c r="M63" s="200" t="s">
        <v>79</v>
      </c>
    </row>
    <row r="64" spans="1:13">
      <c r="A64" t="s">
        <v>99</v>
      </c>
      <c r="B64" t="s">
        <v>82</v>
      </c>
      <c r="C64" t="s">
        <v>83</v>
      </c>
      <c r="D64" t="s">
        <v>78</v>
      </c>
      <c r="E64" t="s">
        <v>72</v>
      </c>
      <c r="F64" s="202">
        <v>0.15632860626283371</v>
      </c>
      <c r="G64" s="202">
        <v>0.26400000000000001</v>
      </c>
      <c r="H64" s="202">
        <v>0.56999999999999995</v>
      </c>
      <c r="I64" s="202">
        <v>0.67200000000000004</v>
      </c>
      <c r="J64" s="202">
        <v>0.70599999999999996</v>
      </c>
      <c r="K64" s="202">
        <v>0.17</v>
      </c>
      <c r="L64" s="202">
        <v>6.8000000000000005E-2</v>
      </c>
      <c r="M64" s="200" t="s">
        <v>79</v>
      </c>
    </row>
    <row r="65" spans="1:13">
      <c r="A65" t="s">
        <v>99</v>
      </c>
      <c r="B65" t="s">
        <v>84</v>
      </c>
      <c r="C65" t="s">
        <v>85</v>
      </c>
      <c r="D65" t="s">
        <v>86</v>
      </c>
      <c r="E65" t="s">
        <v>72</v>
      </c>
      <c r="F65" s="202">
        <v>1743.2239999999999</v>
      </c>
      <c r="G65" s="202">
        <v>1751.7670000000001</v>
      </c>
      <c r="H65" s="202">
        <v>1774.5709999999999</v>
      </c>
      <c r="I65" s="202">
        <v>1796.923</v>
      </c>
      <c r="J65" s="202">
        <v>1818.9839999999999</v>
      </c>
      <c r="K65" s="202">
        <v>1840.02</v>
      </c>
      <c r="L65" s="202">
        <v>1860.396</v>
      </c>
      <c r="M65" s="200" t="s">
        <v>79</v>
      </c>
    </row>
    <row r="66" spans="1:13">
      <c r="A66" t="s">
        <v>99</v>
      </c>
      <c r="B66" t="s">
        <v>87</v>
      </c>
      <c r="C66" t="s">
        <v>77</v>
      </c>
      <c r="D66" t="s">
        <v>78</v>
      </c>
      <c r="E66" t="s">
        <v>72</v>
      </c>
      <c r="F66" s="202">
        <v>0</v>
      </c>
      <c r="G66" s="202">
        <v>0</v>
      </c>
      <c r="H66" s="200" t="s">
        <v>79</v>
      </c>
      <c r="I66" s="200" t="s">
        <v>79</v>
      </c>
      <c r="J66" s="200" t="s">
        <v>79</v>
      </c>
      <c r="K66" s="200" t="s">
        <v>79</v>
      </c>
      <c r="L66" s="200" t="s">
        <v>79</v>
      </c>
      <c r="M66" s="200" t="s">
        <v>79</v>
      </c>
    </row>
    <row r="67" spans="1:13">
      <c r="A67" t="s">
        <v>99</v>
      </c>
      <c r="B67" t="s">
        <v>88</v>
      </c>
      <c r="C67" t="s">
        <v>77</v>
      </c>
      <c r="D67" t="s">
        <v>78</v>
      </c>
      <c r="E67" t="s">
        <v>72</v>
      </c>
      <c r="F67" s="202">
        <v>0</v>
      </c>
      <c r="G67" s="202">
        <v>0</v>
      </c>
      <c r="H67" s="202">
        <v>0</v>
      </c>
      <c r="I67" s="202">
        <v>0</v>
      </c>
      <c r="J67" s="202">
        <v>0</v>
      </c>
      <c r="K67" s="202">
        <v>0</v>
      </c>
      <c r="L67" s="202">
        <v>0</v>
      </c>
      <c r="M67" s="200" t="s">
        <v>79</v>
      </c>
    </row>
    <row r="68" spans="1:13">
      <c r="A68" t="s">
        <v>99</v>
      </c>
      <c r="B68" t="s">
        <v>89</v>
      </c>
      <c r="C68" t="s">
        <v>81</v>
      </c>
      <c r="D68" t="s">
        <v>78</v>
      </c>
      <c r="E68" t="s">
        <v>72</v>
      </c>
      <c r="F68" s="202">
        <v>0</v>
      </c>
      <c r="G68" s="202">
        <v>0</v>
      </c>
      <c r="H68" s="200" t="s">
        <v>79</v>
      </c>
      <c r="I68" s="200" t="s">
        <v>79</v>
      </c>
      <c r="J68" s="200" t="s">
        <v>79</v>
      </c>
      <c r="K68" s="200" t="s">
        <v>79</v>
      </c>
      <c r="L68" s="200" t="s">
        <v>79</v>
      </c>
      <c r="M68" s="200" t="s">
        <v>79</v>
      </c>
    </row>
    <row r="69" spans="1:13">
      <c r="A69" t="s">
        <v>99</v>
      </c>
      <c r="B69" t="s">
        <v>90</v>
      </c>
      <c r="C69" t="s">
        <v>81</v>
      </c>
      <c r="D69" t="s">
        <v>78</v>
      </c>
      <c r="E69" t="s">
        <v>72</v>
      </c>
      <c r="F69" s="202">
        <v>0</v>
      </c>
      <c r="G69" s="202">
        <v>0</v>
      </c>
      <c r="H69" s="202">
        <v>0</v>
      </c>
      <c r="I69" s="202">
        <v>0</v>
      </c>
      <c r="J69" s="202">
        <v>0</v>
      </c>
      <c r="K69" s="202">
        <v>0</v>
      </c>
      <c r="L69" s="202">
        <v>0</v>
      </c>
      <c r="M69" s="200" t="s">
        <v>79</v>
      </c>
    </row>
    <row r="70" spans="1:13">
      <c r="A70" t="s">
        <v>99</v>
      </c>
      <c r="B70" t="s">
        <v>91</v>
      </c>
      <c r="C70" t="s">
        <v>83</v>
      </c>
      <c r="D70" t="s">
        <v>78</v>
      </c>
      <c r="E70" t="s">
        <v>72</v>
      </c>
      <c r="F70" s="202">
        <v>0</v>
      </c>
      <c r="G70" s="202">
        <v>0</v>
      </c>
      <c r="H70" s="200" t="s">
        <v>79</v>
      </c>
      <c r="I70" s="200" t="s">
        <v>79</v>
      </c>
      <c r="J70" s="200" t="s">
        <v>79</v>
      </c>
      <c r="K70" s="200" t="s">
        <v>79</v>
      </c>
      <c r="L70" s="200" t="s">
        <v>79</v>
      </c>
      <c r="M70" s="200" t="s">
        <v>79</v>
      </c>
    </row>
    <row r="71" spans="1:13">
      <c r="A71" t="s">
        <v>99</v>
      </c>
      <c r="B71" t="s">
        <v>92</v>
      </c>
      <c r="C71" t="s">
        <v>83</v>
      </c>
      <c r="D71" t="s">
        <v>78</v>
      </c>
      <c r="E71" t="s">
        <v>72</v>
      </c>
      <c r="F71" s="202">
        <v>0</v>
      </c>
      <c r="G71" s="202">
        <v>0</v>
      </c>
      <c r="H71" s="202">
        <v>0</v>
      </c>
      <c r="I71" s="202">
        <v>0</v>
      </c>
      <c r="J71" s="202">
        <v>0</v>
      </c>
      <c r="K71" s="202">
        <v>0</v>
      </c>
      <c r="L71" s="202">
        <v>0</v>
      </c>
      <c r="M71" s="200" t="s">
        <v>79</v>
      </c>
    </row>
    <row r="72" spans="1:13">
      <c r="A72" t="s">
        <v>99</v>
      </c>
      <c r="B72" t="s">
        <v>93</v>
      </c>
      <c r="C72" t="s">
        <v>94</v>
      </c>
      <c r="D72" t="s">
        <v>78</v>
      </c>
      <c r="E72" t="s">
        <v>72</v>
      </c>
      <c r="F72" s="200" t="s">
        <v>79</v>
      </c>
      <c r="G72" s="200" t="s">
        <v>79</v>
      </c>
      <c r="H72" s="200" t="s">
        <v>79</v>
      </c>
      <c r="I72" s="200" t="s">
        <v>79</v>
      </c>
      <c r="J72" s="200" t="s">
        <v>79</v>
      </c>
      <c r="K72" s="200" t="s">
        <v>79</v>
      </c>
      <c r="L72" s="200" t="s">
        <v>79</v>
      </c>
      <c r="M72" s="202">
        <v>2220.3792602351086</v>
      </c>
    </row>
    <row r="73" spans="1:13">
      <c r="A73" t="s">
        <v>100</v>
      </c>
      <c r="B73" t="s">
        <v>76</v>
      </c>
      <c r="C73" t="s">
        <v>77</v>
      </c>
      <c r="D73" t="s">
        <v>78</v>
      </c>
      <c r="E73" t="s">
        <v>72</v>
      </c>
      <c r="F73" s="202">
        <v>0.10299999999999999</v>
      </c>
      <c r="G73" s="202">
        <v>0.151</v>
      </c>
      <c r="H73" s="202">
        <v>0.34499999999999997</v>
      </c>
      <c r="I73" s="202">
        <v>0.86399999999999999</v>
      </c>
      <c r="J73" s="202">
        <v>5.5E-2</v>
      </c>
      <c r="K73" s="202">
        <v>0</v>
      </c>
      <c r="L73" s="202">
        <v>0</v>
      </c>
      <c r="M73" s="200" t="s">
        <v>79</v>
      </c>
    </row>
    <row r="74" spans="1:13">
      <c r="A74" t="s">
        <v>100</v>
      </c>
      <c r="B74" t="s">
        <v>80</v>
      </c>
      <c r="C74" t="s">
        <v>81</v>
      </c>
      <c r="D74" t="s">
        <v>78</v>
      </c>
      <c r="E74" t="s">
        <v>72</v>
      </c>
      <c r="F74" s="202">
        <v>0</v>
      </c>
      <c r="G74" s="202">
        <v>0</v>
      </c>
      <c r="H74" s="202">
        <v>0.36399999999999999</v>
      </c>
      <c r="I74" s="202">
        <v>0.61099999999999999</v>
      </c>
      <c r="J74" s="202">
        <v>0</v>
      </c>
      <c r="K74" s="202">
        <v>0</v>
      </c>
      <c r="L74" s="202">
        <v>0</v>
      </c>
      <c r="M74" s="200" t="s">
        <v>79</v>
      </c>
    </row>
    <row r="75" spans="1:13">
      <c r="A75" t="s">
        <v>100</v>
      </c>
      <c r="B75" t="s">
        <v>82</v>
      </c>
      <c r="C75" t="s">
        <v>83</v>
      </c>
      <c r="D75" t="s">
        <v>78</v>
      </c>
      <c r="E75" t="s">
        <v>72</v>
      </c>
      <c r="F75" s="202">
        <v>0.10299999999999999</v>
      </c>
      <c r="G75" s="202">
        <v>0.151</v>
      </c>
      <c r="H75" s="202">
        <v>0.70899999999999996</v>
      </c>
      <c r="I75" s="202">
        <v>1.4750000000000001</v>
      </c>
      <c r="J75" s="202">
        <v>5.5E-2</v>
      </c>
      <c r="K75" s="202">
        <v>0</v>
      </c>
      <c r="L75" s="202">
        <v>0</v>
      </c>
      <c r="M75" s="200" t="s">
        <v>79</v>
      </c>
    </row>
    <row r="76" spans="1:13">
      <c r="A76" t="s">
        <v>100</v>
      </c>
      <c r="B76" t="s">
        <v>84</v>
      </c>
      <c r="C76" t="s">
        <v>85</v>
      </c>
      <c r="D76" t="s">
        <v>86</v>
      </c>
      <c r="E76" t="s">
        <v>72</v>
      </c>
      <c r="F76" s="202">
        <v>4975.1540000000005</v>
      </c>
      <c r="G76" s="202">
        <v>5091.7139999999999</v>
      </c>
      <c r="H76" s="202">
        <v>5135.1840000000002</v>
      </c>
      <c r="I76" s="202">
        <v>5172.4110000000001</v>
      </c>
      <c r="J76" s="202">
        <v>5205.9669999999996</v>
      </c>
      <c r="K76" s="202">
        <v>5235.5519999999997</v>
      </c>
      <c r="L76" s="202">
        <v>5265.1540000000005</v>
      </c>
      <c r="M76" s="200" t="s">
        <v>79</v>
      </c>
    </row>
    <row r="77" spans="1:13">
      <c r="A77" t="s">
        <v>100</v>
      </c>
      <c r="B77" t="s">
        <v>87</v>
      </c>
      <c r="C77" t="s">
        <v>77</v>
      </c>
      <c r="D77" t="s">
        <v>78</v>
      </c>
      <c r="E77" t="s">
        <v>72</v>
      </c>
      <c r="F77" s="202">
        <v>0</v>
      </c>
      <c r="G77" s="202">
        <v>0</v>
      </c>
      <c r="H77" s="200" t="s">
        <v>79</v>
      </c>
      <c r="I77" s="200" t="s">
        <v>79</v>
      </c>
      <c r="J77" s="200" t="s">
        <v>79</v>
      </c>
      <c r="K77" s="200" t="s">
        <v>79</v>
      </c>
      <c r="L77" s="200" t="s">
        <v>79</v>
      </c>
      <c r="M77" s="200" t="s">
        <v>79</v>
      </c>
    </row>
    <row r="78" spans="1:13">
      <c r="A78" t="s">
        <v>100</v>
      </c>
      <c r="B78" t="s">
        <v>88</v>
      </c>
      <c r="C78" t="s">
        <v>77</v>
      </c>
      <c r="D78" t="s">
        <v>78</v>
      </c>
      <c r="E78" t="s">
        <v>72</v>
      </c>
      <c r="F78" s="202">
        <v>0</v>
      </c>
      <c r="G78" s="202">
        <v>0</v>
      </c>
      <c r="H78" s="202">
        <v>0</v>
      </c>
      <c r="I78" s="202">
        <v>0</v>
      </c>
      <c r="J78" s="202">
        <v>0</v>
      </c>
      <c r="K78" s="202">
        <v>0</v>
      </c>
      <c r="L78" s="202">
        <v>0</v>
      </c>
      <c r="M78" s="200" t="s">
        <v>79</v>
      </c>
    </row>
    <row r="79" spans="1:13">
      <c r="A79" t="s">
        <v>100</v>
      </c>
      <c r="B79" t="s">
        <v>89</v>
      </c>
      <c r="C79" t="s">
        <v>81</v>
      </c>
      <c r="D79" t="s">
        <v>78</v>
      </c>
      <c r="E79" t="s">
        <v>72</v>
      </c>
      <c r="F79" s="202">
        <v>0</v>
      </c>
      <c r="G79" s="202">
        <v>0</v>
      </c>
      <c r="H79" s="200" t="s">
        <v>79</v>
      </c>
      <c r="I79" s="200" t="s">
        <v>79</v>
      </c>
      <c r="J79" s="200" t="s">
        <v>79</v>
      </c>
      <c r="K79" s="200" t="s">
        <v>79</v>
      </c>
      <c r="L79" s="200" t="s">
        <v>79</v>
      </c>
      <c r="M79" s="200" t="s">
        <v>79</v>
      </c>
    </row>
    <row r="80" spans="1:13">
      <c r="A80" t="s">
        <v>100</v>
      </c>
      <c r="B80" t="s">
        <v>90</v>
      </c>
      <c r="C80" t="s">
        <v>81</v>
      </c>
      <c r="D80" t="s">
        <v>78</v>
      </c>
      <c r="E80" t="s">
        <v>72</v>
      </c>
      <c r="F80" s="202">
        <v>0</v>
      </c>
      <c r="G80" s="202">
        <v>0</v>
      </c>
      <c r="H80" s="202">
        <v>0</v>
      </c>
      <c r="I80" s="202">
        <v>0</v>
      </c>
      <c r="J80" s="202">
        <v>0</v>
      </c>
      <c r="K80" s="202">
        <v>0</v>
      </c>
      <c r="L80" s="202">
        <v>0</v>
      </c>
      <c r="M80" s="200" t="s">
        <v>79</v>
      </c>
    </row>
    <row r="81" spans="1:13">
      <c r="A81" t="s">
        <v>100</v>
      </c>
      <c r="B81" t="s">
        <v>91</v>
      </c>
      <c r="C81" t="s">
        <v>83</v>
      </c>
      <c r="D81" t="s">
        <v>78</v>
      </c>
      <c r="E81" t="s">
        <v>72</v>
      </c>
      <c r="F81" s="202">
        <v>0</v>
      </c>
      <c r="G81" s="202">
        <v>0</v>
      </c>
      <c r="H81" s="200" t="s">
        <v>79</v>
      </c>
      <c r="I81" s="200" t="s">
        <v>79</v>
      </c>
      <c r="J81" s="200" t="s">
        <v>79</v>
      </c>
      <c r="K81" s="200" t="s">
        <v>79</v>
      </c>
      <c r="L81" s="200" t="s">
        <v>79</v>
      </c>
      <c r="M81" s="200" t="s">
        <v>79</v>
      </c>
    </row>
    <row r="82" spans="1:13">
      <c r="A82" t="s">
        <v>100</v>
      </c>
      <c r="B82" t="s">
        <v>92</v>
      </c>
      <c r="C82" t="s">
        <v>83</v>
      </c>
      <c r="D82" t="s">
        <v>78</v>
      </c>
      <c r="E82" t="s">
        <v>72</v>
      </c>
      <c r="F82" s="202">
        <v>0</v>
      </c>
      <c r="G82" s="202">
        <v>0</v>
      </c>
      <c r="H82" s="202">
        <v>0</v>
      </c>
      <c r="I82" s="202">
        <v>0</v>
      </c>
      <c r="J82" s="202">
        <v>0</v>
      </c>
      <c r="K82" s="202">
        <v>0</v>
      </c>
      <c r="L82" s="202">
        <v>0</v>
      </c>
      <c r="M82" s="200" t="s">
        <v>79</v>
      </c>
    </row>
    <row r="83" spans="1:13">
      <c r="A83" t="s">
        <v>100</v>
      </c>
      <c r="B83" t="s">
        <v>93</v>
      </c>
      <c r="C83" t="s">
        <v>94</v>
      </c>
      <c r="D83" t="s">
        <v>78</v>
      </c>
      <c r="E83" t="s">
        <v>72</v>
      </c>
      <c r="F83" s="200" t="s">
        <v>79</v>
      </c>
      <c r="G83" s="200" t="s">
        <v>79</v>
      </c>
      <c r="H83" s="200" t="s">
        <v>79</v>
      </c>
      <c r="I83" s="200" t="s">
        <v>79</v>
      </c>
      <c r="J83" s="200" t="s">
        <v>79</v>
      </c>
      <c r="K83" s="200" t="s">
        <v>79</v>
      </c>
      <c r="L83" s="200" t="s">
        <v>79</v>
      </c>
      <c r="M83" s="202">
        <v>5114.195692241</v>
      </c>
    </row>
    <row r="84" spans="1:13">
      <c r="A84" t="s">
        <v>101</v>
      </c>
      <c r="B84" t="s">
        <v>76</v>
      </c>
      <c r="C84" t="s">
        <v>77</v>
      </c>
      <c r="D84" t="s">
        <v>78</v>
      </c>
      <c r="E84" t="s">
        <v>72</v>
      </c>
      <c r="F84" s="202">
        <v>1.4419999999999999</v>
      </c>
      <c r="G84" s="202">
        <v>0</v>
      </c>
      <c r="H84" s="202">
        <v>1.177</v>
      </c>
      <c r="I84" s="202">
        <v>1.1830000000000001</v>
      </c>
      <c r="J84" s="202">
        <v>0.59399999999999997</v>
      </c>
      <c r="K84" s="202">
        <v>0</v>
      </c>
      <c r="L84" s="202">
        <v>0</v>
      </c>
      <c r="M84" s="200" t="s">
        <v>79</v>
      </c>
    </row>
    <row r="85" spans="1:13">
      <c r="A85" t="s">
        <v>101</v>
      </c>
      <c r="B85" t="s">
        <v>80</v>
      </c>
      <c r="C85" t="s">
        <v>81</v>
      </c>
      <c r="D85" t="s">
        <v>78</v>
      </c>
      <c r="E85" t="s">
        <v>72</v>
      </c>
      <c r="F85" s="202">
        <v>0.01</v>
      </c>
      <c r="G85" s="202">
        <v>0</v>
      </c>
      <c r="H85" s="202">
        <v>0.57499999999999996</v>
      </c>
      <c r="I85" s="202">
        <v>1.429</v>
      </c>
      <c r="J85" s="202">
        <v>2.1930000000000001</v>
      </c>
      <c r="K85" s="202">
        <v>8.5000000000000006E-2</v>
      </c>
      <c r="L85" s="202">
        <v>8.5999999999999993E-2</v>
      </c>
      <c r="M85" s="200" t="s">
        <v>79</v>
      </c>
    </row>
    <row r="86" spans="1:13">
      <c r="A86" t="s">
        <v>101</v>
      </c>
      <c r="B86" t="s">
        <v>82</v>
      </c>
      <c r="C86" t="s">
        <v>83</v>
      </c>
      <c r="D86" t="s">
        <v>78</v>
      </c>
      <c r="E86" t="s">
        <v>72</v>
      </c>
      <c r="F86" s="202">
        <v>1.452</v>
      </c>
      <c r="G86" s="202">
        <v>0</v>
      </c>
      <c r="H86" s="202">
        <v>1.752</v>
      </c>
      <c r="I86" s="202">
        <v>2.6120000000000001</v>
      </c>
      <c r="J86" s="202">
        <v>2.7869999999999999</v>
      </c>
      <c r="K86" s="202">
        <v>8.5000000000000006E-2</v>
      </c>
      <c r="L86" s="202">
        <v>8.5999999999999993E-2</v>
      </c>
      <c r="M86" s="200" t="s">
        <v>79</v>
      </c>
    </row>
    <row r="87" spans="1:13">
      <c r="A87" t="s">
        <v>101</v>
      </c>
      <c r="B87" t="s">
        <v>84</v>
      </c>
      <c r="C87" t="s">
        <v>85</v>
      </c>
      <c r="D87" t="s">
        <v>86</v>
      </c>
      <c r="E87" t="s">
        <v>72</v>
      </c>
      <c r="F87" s="202">
        <v>15428.745999999999</v>
      </c>
      <c r="G87" s="202">
        <v>15703.163270516319</v>
      </c>
      <c r="H87" s="202">
        <v>15862.103270516331</v>
      </c>
      <c r="I87" s="202">
        <v>16007.703270516329</v>
      </c>
      <c r="J87" s="202">
        <v>16139.98327051633</v>
      </c>
      <c r="K87" s="202">
        <v>16266.33327051633</v>
      </c>
      <c r="L87" s="202">
        <v>16369.74327051633</v>
      </c>
      <c r="M87" s="200" t="s">
        <v>79</v>
      </c>
    </row>
    <row r="88" spans="1:13">
      <c r="A88" t="s">
        <v>101</v>
      </c>
      <c r="B88" t="s">
        <v>87</v>
      </c>
      <c r="C88" t="s">
        <v>77</v>
      </c>
      <c r="D88" t="s">
        <v>78</v>
      </c>
      <c r="E88" t="s">
        <v>72</v>
      </c>
      <c r="F88" s="202">
        <v>0</v>
      </c>
      <c r="G88" s="202">
        <v>0</v>
      </c>
      <c r="H88" s="200" t="s">
        <v>79</v>
      </c>
      <c r="I88" s="200" t="s">
        <v>79</v>
      </c>
      <c r="J88" s="200" t="s">
        <v>79</v>
      </c>
      <c r="K88" s="200" t="s">
        <v>79</v>
      </c>
      <c r="L88" s="200" t="s">
        <v>79</v>
      </c>
      <c r="M88" s="200" t="s">
        <v>79</v>
      </c>
    </row>
    <row r="89" spans="1:13">
      <c r="A89" t="s">
        <v>101</v>
      </c>
      <c r="B89" t="s">
        <v>88</v>
      </c>
      <c r="C89" t="s">
        <v>77</v>
      </c>
      <c r="D89" t="s">
        <v>78</v>
      </c>
      <c r="E89" t="s">
        <v>72</v>
      </c>
      <c r="F89" s="202">
        <v>0</v>
      </c>
      <c r="G89" s="202">
        <v>0</v>
      </c>
      <c r="H89" s="202">
        <v>0</v>
      </c>
      <c r="I89" s="202">
        <v>0</v>
      </c>
      <c r="J89" s="202">
        <v>0</v>
      </c>
      <c r="K89" s="202">
        <v>0</v>
      </c>
      <c r="L89" s="202">
        <v>0</v>
      </c>
      <c r="M89" s="200" t="s">
        <v>79</v>
      </c>
    </row>
    <row r="90" spans="1:13">
      <c r="A90" t="s">
        <v>101</v>
      </c>
      <c r="B90" t="s">
        <v>89</v>
      </c>
      <c r="C90" t="s">
        <v>81</v>
      </c>
      <c r="D90" t="s">
        <v>78</v>
      </c>
      <c r="E90" t="s">
        <v>72</v>
      </c>
      <c r="F90" s="202">
        <v>0</v>
      </c>
      <c r="G90" s="202">
        <v>0</v>
      </c>
      <c r="H90" s="200" t="s">
        <v>79</v>
      </c>
      <c r="I90" s="200" t="s">
        <v>79</v>
      </c>
      <c r="J90" s="200" t="s">
        <v>79</v>
      </c>
      <c r="K90" s="200" t="s">
        <v>79</v>
      </c>
      <c r="L90" s="200" t="s">
        <v>79</v>
      </c>
      <c r="M90" s="200" t="s">
        <v>79</v>
      </c>
    </row>
    <row r="91" spans="1:13">
      <c r="A91" t="s">
        <v>101</v>
      </c>
      <c r="B91" t="s">
        <v>90</v>
      </c>
      <c r="C91" t="s">
        <v>81</v>
      </c>
      <c r="D91" t="s">
        <v>78</v>
      </c>
      <c r="E91" t="s">
        <v>72</v>
      </c>
      <c r="F91" s="202">
        <v>0</v>
      </c>
      <c r="G91" s="202">
        <v>0</v>
      </c>
      <c r="H91" s="202">
        <v>0</v>
      </c>
      <c r="I91" s="202">
        <v>0</v>
      </c>
      <c r="J91" s="202">
        <v>0</v>
      </c>
      <c r="K91" s="202">
        <v>0</v>
      </c>
      <c r="L91" s="202">
        <v>0</v>
      </c>
      <c r="M91" s="200" t="s">
        <v>79</v>
      </c>
    </row>
    <row r="92" spans="1:13">
      <c r="A92" t="s">
        <v>101</v>
      </c>
      <c r="B92" t="s">
        <v>91</v>
      </c>
      <c r="C92" t="s">
        <v>83</v>
      </c>
      <c r="D92" t="s">
        <v>78</v>
      </c>
      <c r="E92" t="s">
        <v>72</v>
      </c>
      <c r="F92" s="202">
        <v>0</v>
      </c>
      <c r="G92" s="202">
        <v>0</v>
      </c>
      <c r="H92" s="200" t="s">
        <v>79</v>
      </c>
      <c r="I92" s="200" t="s">
        <v>79</v>
      </c>
      <c r="J92" s="200" t="s">
        <v>79</v>
      </c>
      <c r="K92" s="200" t="s">
        <v>79</v>
      </c>
      <c r="L92" s="200" t="s">
        <v>79</v>
      </c>
      <c r="M92" s="200" t="s">
        <v>79</v>
      </c>
    </row>
    <row r="93" spans="1:13">
      <c r="A93" t="s">
        <v>101</v>
      </c>
      <c r="B93" t="s">
        <v>92</v>
      </c>
      <c r="C93" t="s">
        <v>83</v>
      </c>
      <c r="D93" t="s">
        <v>78</v>
      </c>
      <c r="E93" t="s">
        <v>72</v>
      </c>
      <c r="F93" s="202">
        <v>0</v>
      </c>
      <c r="G93" s="202">
        <v>0</v>
      </c>
      <c r="H93" s="202">
        <v>0</v>
      </c>
      <c r="I93" s="202">
        <v>0</v>
      </c>
      <c r="J93" s="202">
        <v>0</v>
      </c>
      <c r="K93" s="202">
        <v>0</v>
      </c>
      <c r="L93" s="202">
        <v>0</v>
      </c>
      <c r="M93" s="200" t="s">
        <v>79</v>
      </c>
    </row>
    <row r="94" spans="1:13">
      <c r="A94" t="s">
        <v>101</v>
      </c>
      <c r="B94" t="s">
        <v>93</v>
      </c>
      <c r="C94" t="s">
        <v>94</v>
      </c>
      <c r="D94" t="s">
        <v>78</v>
      </c>
      <c r="E94" t="s">
        <v>72</v>
      </c>
      <c r="F94" s="200" t="s">
        <v>79</v>
      </c>
      <c r="G94" s="200" t="s">
        <v>79</v>
      </c>
      <c r="H94" s="200" t="s">
        <v>79</v>
      </c>
      <c r="I94" s="200" t="s">
        <v>79</v>
      </c>
      <c r="J94" s="200" t="s">
        <v>79</v>
      </c>
      <c r="K94" s="200" t="s">
        <v>79</v>
      </c>
      <c r="L94" s="200" t="s">
        <v>79</v>
      </c>
      <c r="M94" s="202">
        <v>12775.473797822482</v>
      </c>
    </row>
    <row r="95" spans="1:13">
      <c r="A95" t="s">
        <v>102</v>
      </c>
      <c r="B95" t="s">
        <v>76</v>
      </c>
      <c r="C95" t="s">
        <v>77</v>
      </c>
      <c r="D95" t="s">
        <v>78</v>
      </c>
      <c r="E95" t="s">
        <v>72</v>
      </c>
      <c r="F95" s="202">
        <v>0.37231388565515922</v>
      </c>
      <c r="G95" s="202">
        <v>2.1633008817464332</v>
      </c>
      <c r="H95" s="202">
        <v>3.24249915219084</v>
      </c>
      <c r="I95" s="202">
        <v>2.681757880249751</v>
      </c>
      <c r="J95" s="202">
        <v>2.6708585818780169E-2</v>
      </c>
      <c r="K95" s="202">
        <v>4.8949017942832122E-2</v>
      </c>
      <c r="L95" s="202">
        <v>2.723625577579002E-2</v>
      </c>
      <c r="M95" s="200" t="s">
        <v>79</v>
      </c>
    </row>
    <row r="96" spans="1:13">
      <c r="A96" t="s">
        <v>102</v>
      </c>
      <c r="B96" t="s">
        <v>80</v>
      </c>
      <c r="C96" t="s">
        <v>81</v>
      </c>
      <c r="D96" t="s">
        <v>78</v>
      </c>
      <c r="E96" t="s">
        <v>72</v>
      </c>
      <c r="F96" s="202">
        <v>0</v>
      </c>
      <c r="G96" s="202">
        <v>0</v>
      </c>
      <c r="H96" s="202">
        <v>0</v>
      </c>
      <c r="I96" s="202">
        <v>0</v>
      </c>
      <c r="J96" s="202">
        <v>7.2939106740041622E-3</v>
      </c>
      <c r="K96" s="202">
        <v>7.407598233106401E-3</v>
      </c>
      <c r="L96" s="202">
        <v>7.3847520989665369E-3</v>
      </c>
      <c r="M96" s="200" t="s">
        <v>79</v>
      </c>
    </row>
    <row r="97" spans="1:13">
      <c r="A97" t="s">
        <v>102</v>
      </c>
      <c r="B97" t="s">
        <v>82</v>
      </c>
      <c r="C97" t="s">
        <v>83</v>
      </c>
      <c r="D97" t="s">
        <v>78</v>
      </c>
      <c r="E97" t="s">
        <v>72</v>
      </c>
      <c r="F97" s="202">
        <v>0.37231388565515922</v>
      </c>
      <c r="G97" s="202">
        <v>2.1633008817464332</v>
      </c>
      <c r="H97" s="202">
        <v>3.24249915219084</v>
      </c>
      <c r="I97" s="202">
        <v>2.681757880249751</v>
      </c>
      <c r="J97" s="202">
        <v>3.4002496492784327E-2</v>
      </c>
      <c r="K97" s="202">
        <v>5.6356616175938533E-2</v>
      </c>
      <c r="L97" s="202">
        <v>3.4621007874756547E-2</v>
      </c>
      <c r="M97" s="200" t="s">
        <v>79</v>
      </c>
    </row>
    <row r="98" spans="1:13">
      <c r="A98" t="s">
        <v>102</v>
      </c>
      <c r="B98" t="s">
        <v>84</v>
      </c>
      <c r="C98" t="s">
        <v>85</v>
      </c>
      <c r="D98" t="s">
        <v>86</v>
      </c>
      <c r="E98" t="s">
        <v>72</v>
      </c>
      <c r="F98" s="202">
        <v>8857.8136265519515</v>
      </c>
      <c r="G98" s="202">
        <v>9108.1712246259121</v>
      </c>
      <c r="H98" s="202">
        <v>9152.5088208313791</v>
      </c>
      <c r="I98" s="202">
        <v>9195.4192354562092</v>
      </c>
      <c r="J98" s="202">
        <v>9238.7504614982663</v>
      </c>
      <c r="K98" s="202">
        <v>9279.6902324039256</v>
      </c>
      <c r="L98" s="202">
        <v>9318.818686880124</v>
      </c>
      <c r="M98" s="200" t="s">
        <v>79</v>
      </c>
    </row>
    <row r="99" spans="1:13">
      <c r="A99" t="s">
        <v>102</v>
      </c>
      <c r="B99" t="s">
        <v>87</v>
      </c>
      <c r="C99" t="s">
        <v>77</v>
      </c>
      <c r="D99" t="s">
        <v>78</v>
      </c>
      <c r="E99" t="s">
        <v>72</v>
      </c>
      <c r="F99" s="202">
        <v>0.31084484288372688</v>
      </c>
      <c r="G99" s="202">
        <v>2.019469543117149</v>
      </c>
      <c r="H99" s="200" t="s">
        <v>79</v>
      </c>
      <c r="I99" s="200" t="s">
        <v>79</v>
      </c>
      <c r="J99" s="200" t="s">
        <v>79</v>
      </c>
      <c r="K99" s="200" t="s">
        <v>79</v>
      </c>
      <c r="L99" s="200" t="s">
        <v>79</v>
      </c>
      <c r="M99" s="200" t="s">
        <v>79</v>
      </c>
    </row>
    <row r="100" spans="1:13">
      <c r="A100" t="s">
        <v>102</v>
      </c>
      <c r="B100" t="s">
        <v>88</v>
      </c>
      <c r="C100" t="s">
        <v>77</v>
      </c>
      <c r="D100" t="s">
        <v>78</v>
      </c>
      <c r="E100" t="s">
        <v>72</v>
      </c>
      <c r="F100" s="202">
        <v>0</v>
      </c>
      <c r="G100" s="202">
        <v>0</v>
      </c>
      <c r="H100" s="202">
        <v>0</v>
      </c>
      <c r="I100" s="202">
        <v>0</v>
      </c>
      <c r="J100" s="202">
        <v>0</v>
      </c>
      <c r="K100" s="202">
        <v>0</v>
      </c>
      <c r="L100" s="202">
        <v>0</v>
      </c>
      <c r="M100" s="200" t="s">
        <v>79</v>
      </c>
    </row>
    <row r="101" spans="1:13">
      <c r="A101" t="s">
        <v>102</v>
      </c>
      <c r="B101" t="s">
        <v>89</v>
      </c>
      <c r="C101" t="s">
        <v>81</v>
      </c>
      <c r="D101" t="s">
        <v>78</v>
      </c>
      <c r="E101" t="s">
        <v>72</v>
      </c>
      <c r="F101" s="202">
        <v>0</v>
      </c>
      <c r="G101" s="202">
        <v>0</v>
      </c>
      <c r="H101" s="200" t="s">
        <v>79</v>
      </c>
      <c r="I101" s="200" t="s">
        <v>79</v>
      </c>
      <c r="J101" s="200" t="s">
        <v>79</v>
      </c>
      <c r="K101" s="200" t="s">
        <v>79</v>
      </c>
      <c r="L101" s="200" t="s">
        <v>79</v>
      </c>
      <c r="M101" s="200" t="s">
        <v>79</v>
      </c>
    </row>
    <row r="102" spans="1:13">
      <c r="A102" t="s">
        <v>102</v>
      </c>
      <c r="B102" t="s">
        <v>90</v>
      </c>
      <c r="C102" t="s">
        <v>81</v>
      </c>
      <c r="D102" t="s">
        <v>78</v>
      </c>
      <c r="E102" t="s">
        <v>72</v>
      </c>
      <c r="F102" s="202">
        <v>0</v>
      </c>
      <c r="G102" s="202">
        <v>0</v>
      </c>
      <c r="H102" s="202">
        <v>0</v>
      </c>
      <c r="I102" s="202">
        <v>0</v>
      </c>
      <c r="J102" s="202">
        <v>0</v>
      </c>
      <c r="K102" s="202">
        <v>0</v>
      </c>
      <c r="L102" s="202">
        <v>0</v>
      </c>
      <c r="M102" s="200" t="s">
        <v>79</v>
      </c>
    </row>
    <row r="103" spans="1:13">
      <c r="A103" t="s">
        <v>102</v>
      </c>
      <c r="B103" t="s">
        <v>91</v>
      </c>
      <c r="C103" t="s">
        <v>83</v>
      </c>
      <c r="D103" t="s">
        <v>78</v>
      </c>
      <c r="E103" t="s">
        <v>72</v>
      </c>
      <c r="F103" s="202">
        <v>0.31084484288372688</v>
      </c>
      <c r="G103" s="202">
        <v>2.019469543117149</v>
      </c>
      <c r="H103" s="200" t="s">
        <v>79</v>
      </c>
      <c r="I103" s="200" t="s">
        <v>79</v>
      </c>
      <c r="J103" s="200" t="s">
        <v>79</v>
      </c>
      <c r="K103" s="200" t="s">
        <v>79</v>
      </c>
      <c r="L103" s="200" t="s">
        <v>79</v>
      </c>
      <c r="M103" s="200" t="s">
        <v>79</v>
      </c>
    </row>
    <row r="104" spans="1:13">
      <c r="A104" t="s">
        <v>102</v>
      </c>
      <c r="B104" t="s">
        <v>92</v>
      </c>
      <c r="C104" t="s">
        <v>83</v>
      </c>
      <c r="D104" t="s">
        <v>78</v>
      </c>
      <c r="E104" t="s">
        <v>72</v>
      </c>
      <c r="F104" s="202">
        <v>0</v>
      </c>
      <c r="G104" s="202">
        <v>0</v>
      </c>
      <c r="H104" s="202">
        <v>0</v>
      </c>
      <c r="I104" s="202">
        <v>0</v>
      </c>
      <c r="J104" s="202">
        <v>0</v>
      </c>
      <c r="K104" s="202">
        <v>0</v>
      </c>
      <c r="L104" s="202">
        <v>0</v>
      </c>
      <c r="M104" s="200" t="s">
        <v>79</v>
      </c>
    </row>
    <row r="105" spans="1:13">
      <c r="A105" t="s">
        <v>102</v>
      </c>
      <c r="B105" t="s">
        <v>93</v>
      </c>
      <c r="C105" t="s">
        <v>94</v>
      </c>
      <c r="D105" t="s">
        <v>78</v>
      </c>
      <c r="E105" t="s">
        <v>72</v>
      </c>
      <c r="F105" s="200" t="s">
        <v>79</v>
      </c>
      <c r="G105" s="200" t="s">
        <v>79</v>
      </c>
      <c r="H105" s="200" t="s">
        <v>79</v>
      </c>
      <c r="I105" s="200" t="s">
        <v>79</v>
      </c>
      <c r="J105" s="200" t="s">
        <v>79</v>
      </c>
      <c r="K105" s="200" t="s">
        <v>79</v>
      </c>
      <c r="L105" s="200" t="s">
        <v>79</v>
      </c>
      <c r="M105" s="202">
        <v>8993.1795747355063</v>
      </c>
    </row>
    <row r="106" spans="1:13">
      <c r="A106" t="s">
        <v>103</v>
      </c>
      <c r="B106" t="s">
        <v>76</v>
      </c>
      <c r="C106" t="s">
        <v>77</v>
      </c>
      <c r="D106" t="s">
        <v>78</v>
      </c>
      <c r="E106" t="s">
        <v>72</v>
      </c>
      <c r="F106" s="202">
        <v>6.259475085343949E-2</v>
      </c>
      <c r="G106" s="202">
        <v>0.17880013005201811</v>
      </c>
      <c r="H106" s="202">
        <v>0</v>
      </c>
      <c r="I106" s="202">
        <v>0</v>
      </c>
      <c r="J106" s="202">
        <v>0</v>
      </c>
      <c r="K106" s="202">
        <v>0</v>
      </c>
      <c r="L106" s="202">
        <v>0</v>
      </c>
      <c r="M106" s="200" t="s">
        <v>79</v>
      </c>
    </row>
    <row r="107" spans="1:13">
      <c r="A107" t="s">
        <v>103</v>
      </c>
      <c r="B107" t="s">
        <v>80</v>
      </c>
      <c r="C107" t="s">
        <v>81</v>
      </c>
      <c r="D107" t="s">
        <v>78</v>
      </c>
      <c r="E107" t="s">
        <v>72</v>
      </c>
      <c r="F107" s="202">
        <v>0.187781</v>
      </c>
      <c r="G107" s="202">
        <v>0.70255299999999998</v>
      </c>
      <c r="H107" s="202">
        <v>3.602735</v>
      </c>
      <c r="I107" s="202">
        <v>3.3669609999999999</v>
      </c>
      <c r="J107" s="202">
        <v>1.3767480000000001</v>
      </c>
      <c r="K107" s="202">
        <v>0.60099900000000006</v>
      </c>
      <c r="L107" s="202">
        <v>0.110046</v>
      </c>
      <c r="M107" s="200" t="s">
        <v>79</v>
      </c>
    </row>
    <row r="108" spans="1:13">
      <c r="A108" t="s">
        <v>103</v>
      </c>
      <c r="B108" t="s">
        <v>82</v>
      </c>
      <c r="C108" t="s">
        <v>83</v>
      </c>
      <c r="D108" t="s">
        <v>78</v>
      </c>
      <c r="E108" t="s">
        <v>72</v>
      </c>
      <c r="F108" s="202">
        <v>0.25037575085343949</v>
      </c>
      <c r="G108" s="202">
        <v>0.8813531300520181</v>
      </c>
      <c r="H108" s="202">
        <v>3.602735</v>
      </c>
      <c r="I108" s="202">
        <v>3.3669609999999999</v>
      </c>
      <c r="J108" s="202">
        <v>1.3767480000000001</v>
      </c>
      <c r="K108" s="202">
        <v>0.60099900000000006</v>
      </c>
      <c r="L108" s="202">
        <v>0.110046</v>
      </c>
      <c r="M108" s="200" t="s">
        <v>79</v>
      </c>
    </row>
    <row r="109" spans="1:13">
      <c r="A109" t="s">
        <v>103</v>
      </c>
      <c r="B109" t="s">
        <v>84</v>
      </c>
      <c r="C109" t="s">
        <v>85</v>
      </c>
      <c r="D109" t="s">
        <v>86</v>
      </c>
      <c r="E109" t="s">
        <v>72</v>
      </c>
      <c r="F109" s="202">
        <v>3587.0859999999998</v>
      </c>
      <c r="G109" s="202">
        <v>3587.8960000000002</v>
      </c>
      <c r="H109" s="202">
        <v>3611.402</v>
      </c>
      <c r="I109" s="202">
        <v>3632.9789999999998</v>
      </c>
      <c r="J109" s="202">
        <v>3654.723</v>
      </c>
      <c r="K109" s="202">
        <v>3676.623</v>
      </c>
      <c r="L109" s="202">
        <v>3808.4479999999999</v>
      </c>
      <c r="M109" s="200" t="s">
        <v>79</v>
      </c>
    </row>
    <row r="110" spans="1:13">
      <c r="A110" t="s">
        <v>103</v>
      </c>
      <c r="B110" t="s">
        <v>87</v>
      </c>
      <c r="C110" t="s">
        <v>77</v>
      </c>
      <c r="D110" t="s">
        <v>78</v>
      </c>
      <c r="E110" t="s">
        <v>72</v>
      </c>
      <c r="F110" s="202">
        <v>0</v>
      </c>
      <c r="G110" s="202">
        <v>3.3331000000000013E-2</v>
      </c>
      <c r="H110" s="200" t="s">
        <v>79</v>
      </c>
      <c r="I110" s="200" t="s">
        <v>79</v>
      </c>
      <c r="J110" s="200" t="s">
        <v>79</v>
      </c>
      <c r="K110" s="200" t="s">
        <v>79</v>
      </c>
      <c r="L110" s="200" t="s">
        <v>79</v>
      </c>
      <c r="M110" s="200" t="s">
        <v>79</v>
      </c>
    </row>
    <row r="111" spans="1:13">
      <c r="A111" t="s">
        <v>103</v>
      </c>
      <c r="B111" t="s">
        <v>88</v>
      </c>
      <c r="C111" t="s">
        <v>77</v>
      </c>
      <c r="D111" t="s">
        <v>78</v>
      </c>
      <c r="E111" t="s">
        <v>72</v>
      </c>
      <c r="F111" s="202">
        <v>0</v>
      </c>
      <c r="G111" s="202">
        <v>0</v>
      </c>
      <c r="H111" s="202">
        <v>0</v>
      </c>
      <c r="I111" s="202">
        <v>0</v>
      </c>
      <c r="J111" s="202">
        <v>0</v>
      </c>
      <c r="K111" s="202">
        <v>0</v>
      </c>
      <c r="L111" s="202">
        <v>0</v>
      </c>
      <c r="M111" s="200" t="s">
        <v>79</v>
      </c>
    </row>
    <row r="112" spans="1:13">
      <c r="A112" t="s">
        <v>103</v>
      </c>
      <c r="B112" t="s">
        <v>89</v>
      </c>
      <c r="C112" t="s">
        <v>81</v>
      </c>
      <c r="D112" t="s">
        <v>78</v>
      </c>
      <c r="E112" t="s">
        <v>72</v>
      </c>
      <c r="F112" s="202">
        <v>0.187781</v>
      </c>
      <c r="G112" s="202">
        <v>0.70255299999999998</v>
      </c>
      <c r="H112" s="200" t="s">
        <v>79</v>
      </c>
      <c r="I112" s="200" t="s">
        <v>79</v>
      </c>
      <c r="J112" s="200" t="s">
        <v>79</v>
      </c>
      <c r="K112" s="200" t="s">
        <v>79</v>
      </c>
      <c r="L112" s="200" t="s">
        <v>79</v>
      </c>
      <c r="M112" s="200" t="s">
        <v>79</v>
      </c>
    </row>
    <row r="113" spans="1:13">
      <c r="A113" t="s">
        <v>103</v>
      </c>
      <c r="B113" t="s">
        <v>90</v>
      </c>
      <c r="C113" t="s">
        <v>81</v>
      </c>
      <c r="D113" t="s">
        <v>78</v>
      </c>
      <c r="E113" t="s">
        <v>72</v>
      </c>
      <c r="F113" s="202">
        <v>0</v>
      </c>
      <c r="G113" s="202">
        <v>0</v>
      </c>
      <c r="H113" s="202">
        <v>0</v>
      </c>
      <c r="I113" s="202">
        <v>0</v>
      </c>
      <c r="J113" s="202">
        <v>0</v>
      </c>
      <c r="K113" s="202">
        <v>0</v>
      </c>
      <c r="L113" s="202">
        <v>0</v>
      </c>
      <c r="M113" s="200" t="s">
        <v>79</v>
      </c>
    </row>
    <row r="114" spans="1:13">
      <c r="A114" t="s">
        <v>103</v>
      </c>
      <c r="B114" t="s">
        <v>91</v>
      </c>
      <c r="C114" t="s">
        <v>83</v>
      </c>
      <c r="D114" t="s">
        <v>78</v>
      </c>
      <c r="E114" t="s">
        <v>72</v>
      </c>
      <c r="F114" s="202">
        <v>0.187781</v>
      </c>
      <c r="G114" s="202">
        <v>0.73588399999999998</v>
      </c>
      <c r="H114" s="200" t="s">
        <v>79</v>
      </c>
      <c r="I114" s="200" t="s">
        <v>79</v>
      </c>
      <c r="J114" s="200" t="s">
        <v>79</v>
      </c>
      <c r="K114" s="200" t="s">
        <v>79</v>
      </c>
      <c r="L114" s="200" t="s">
        <v>79</v>
      </c>
      <c r="M114" s="200" t="s">
        <v>79</v>
      </c>
    </row>
    <row r="115" spans="1:13">
      <c r="A115" t="s">
        <v>103</v>
      </c>
      <c r="B115" t="s">
        <v>92</v>
      </c>
      <c r="C115" t="s">
        <v>83</v>
      </c>
      <c r="D115" t="s">
        <v>78</v>
      </c>
      <c r="E115" t="s">
        <v>72</v>
      </c>
      <c r="F115" s="202">
        <v>0</v>
      </c>
      <c r="G115" s="202">
        <v>0</v>
      </c>
      <c r="H115" s="202">
        <v>0</v>
      </c>
      <c r="I115" s="202">
        <v>0</v>
      </c>
      <c r="J115" s="202">
        <v>0</v>
      </c>
      <c r="K115" s="202">
        <v>0</v>
      </c>
      <c r="L115" s="202">
        <v>0</v>
      </c>
      <c r="M115" s="200" t="s">
        <v>79</v>
      </c>
    </row>
    <row r="116" spans="1:13">
      <c r="A116" t="s">
        <v>103</v>
      </c>
      <c r="B116" t="s">
        <v>93</v>
      </c>
      <c r="C116" t="s">
        <v>94</v>
      </c>
      <c r="D116" t="s">
        <v>78</v>
      </c>
      <c r="E116" t="s">
        <v>72</v>
      </c>
      <c r="F116" s="200" t="s">
        <v>79</v>
      </c>
      <c r="G116" s="200" t="s">
        <v>79</v>
      </c>
      <c r="H116" s="200" t="s">
        <v>79</v>
      </c>
      <c r="I116" s="200" t="s">
        <v>79</v>
      </c>
      <c r="J116" s="200" t="s">
        <v>79</v>
      </c>
      <c r="K116" s="200" t="s">
        <v>79</v>
      </c>
      <c r="L116" s="200" t="s">
        <v>79</v>
      </c>
      <c r="M116" s="202">
        <v>3717.8809591462623</v>
      </c>
    </row>
    <row r="117" spans="1:13">
      <c r="A117" t="s">
        <v>104</v>
      </c>
      <c r="B117" t="s">
        <v>76</v>
      </c>
      <c r="C117" t="s">
        <v>77</v>
      </c>
      <c r="D117" t="s">
        <v>78</v>
      </c>
      <c r="E117" t="s">
        <v>72</v>
      </c>
      <c r="F117" s="202">
        <v>6.0634172634172631E-2</v>
      </c>
      <c r="G117" s="202">
        <v>0.51600000000000001</v>
      </c>
      <c r="H117" s="202">
        <v>1.0758399999999999</v>
      </c>
      <c r="I117" s="202">
        <v>1.012864</v>
      </c>
      <c r="J117" s="202">
        <v>0.75781120000000002</v>
      </c>
      <c r="K117" s="202">
        <v>0</v>
      </c>
      <c r="L117" s="202">
        <v>0</v>
      </c>
      <c r="M117" s="200" t="s">
        <v>79</v>
      </c>
    </row>
    <row r="118" spans="1:13">
      <c r="A118" t="s">
        <v>104</v>
      </c>
      <c r="B118" t="s">
        <v>80</v>
      </c>
      <c r="C118" t="s">
        <v>81</v>
      </c>
      <c r="D118" t="s">
        <v>78</v>
      </c>
      <c r="E118" t="s">
        <v>72</v>
      </c>
      <c r="F118" s="202">
        <v>0</v>
      </c>
      <c r="G118" s="202">
        <v>0</v>
      </c>
      <c r="H118" s="202">
        <v>1.0978816</v>
      </c>
      <c r="I118" s="202">
        <v>0.93200000000000005</v>
      </c>
      <c r="J118" s="202">
        <v>9.4464000000000006E-2</v>
      </c>
      <c r="K118" s="202">
        <v>9.4E-2</v>
      </c>
      <c r="L118" s="202">
        <v>9.4E-2</v>
      </c>
      <c r="M118" s="200" t="s">
        <v>79</v>
      </c>
    </row>
    <row r="119" spans="1:13">
      <c r="A119" t="s">
        <v>104</v>
      </c>
      <c r="B119" t="s">
        <v>82</v>
      </c>
      <c r="C119" t="s">
        <v>83</v>
      </c>
      <c r="D119" t="s">
        <v>78</v>
      </c>
      <c r="E119" t="s">
        <v>72</v>
      </c>
      <c r="F119" s="202">
        <v>6.0634172634172631E-2</v>
      </c>
      <c r="G119" s="202">
        <v>0.51600000000000001</v>
      </c>
      <c r="H119" s="202">
        <v>2.1737215999999999</v>
      </c>
      <c r="I119" s="202">
        <v>1.9448639999999999</v>
      </c>
      <c r="J119" s="202">
        <v>0.85227520000000001</v>
      </c>
      <c r="K119" s="202">
        <v>9.4E-2</v>
      </c>
      <c r="L119" s="202">
        <v>9.4E-2</v>
      </c>
      <c r="M119" s="200" t="s">
        <v>79</v>
      </c>
    </row>
    <row r="120" spans="1:13">
      <c r="A120" t="s">
        <v>104</v>
      </c>
      <c r="B120" t="s">
        <v>84</v>
      </c>
      <c r="C120" t="s">
        <v>85</v>
      </c>
      <c r="D120" t="s">
        <v>86</v>
      </c>
      <c r="E120" t="s">
        <v>72</v>
      </c>
      <c r="F120" s="202">
        <v>5966.8530000000001</v>
      </c>
      <c r="G120" s="202">
        <v>5946.8819999999996</v>
      </c>
      <c r="H120" s="202">
        <v>5969.9725020951646</v>
      </c>
      <c r="I120" s="202">
        <v>5992.907411968441</v>
      </c>
      <c r="J120" s="202">
        <v>6019.89099514606</v>
      </c>
      <c r="K120" s="202">
        <v>6032.3946522192846</v>
      </c>
      <c r="L120" s="202">
        <v>6044.499924989088</v>
      </c>
      <c r="M120" s="200" t="s">
        <v>79</v>
      </c>
    </row>
    <row r="121" spans="1:13">
      <c r="A121" t="s">
        <v>104</v>
      </c>
      <c r="B121" t="s">
        <v>87</v>
      </c>
      <c r="C121" t="s">
        <v>77</v>
      </c>
      <c r="D121" t="s">
        <v>78</v>
      </c>
      <c r="E121" t="s">
        <v>72</v>
      </c>
      <c r="F121" s="202">
        <v>0</v>
      </c>
      <c r="G121" s="202">
        <v>0.41199999999999998</v>
      </c>
      <c r="H121" s="200" t="s">
        <v>79</v>
      </c>
      <c r="I121" s="200" t="s">
        <v>79</v>
      </c>
      <c r="J121" s="200" t="s">
        <v>79</v>
      </c>
      <c r="K121" s="200" t="s">
        <v>79</v>
      </c>
      <c r="L121" s="200" t="s">
        <v>79</v>
      </c>
      <c r="M121" s="200" t="s">
        <v>79</v>
      </c>
    </row>
    <row r="122" spans="1:13">
      <c r="A122" t="s">
        <v>104</v>
      </c>
      <c r="B122" t="s">
        <v>88</v>
      </c>
      <c r="C122" t="s">
        <v>77</v>
      </c>
      <c r="D122" t="s">
        <v>78</v>
      </c>
      <c r="E122" t="s">
        <v>72</v>
      </c>
      <c r="F122" s="202">
        <v>0</v>
      </c>
      <c r="G122" s="202">
        <v>0</v>
      </c>
      <c r="H122" s="202">
        <v>0</v>
      </c>
      <c r="I122" s="202">
        <v>0</v>
      </c>
      <c r="J122" s="202">
        <v>0</v>
      </c>
      <c r="K122" s="202">
        <v>0</v>
      </c>
      <c r="L122" s="202">
        <v>0</v>
      </c>
      <c r="M122" s="200" t="s">
        <v>79</v>
      </c>
    </row>
    <row r="123" spans="1:13">
      <c r="A123" t="s">
        <v>104</v>
      </c>
      <c r="B123" t="s">
        <v>89</v>
      </c>
      <c r="C123" t="s">
        <v>81</v>
      </c>
      <c r="D123" t="s">
        <v>78</v>
      </c>
      <c r="E123" t="s">
        <v>72</v>
      </c>
      <c r="F123" s="202">
        <v>0</v>
      </c>
      <c r="G123" s="202">
        <v>0</v>
      </c>
      <c r="H123" s="200" t="s">
        <v>79</v>
      </c>
      <c r="I123" s="200" t="s">
        <v>79</v>
      </c>
      <c r="J123" s="200" t="s">
        <v>79</v>
      </c>
      <c r="K123" s="200" t="s">
        <v>79</v>
      </c>
      <c r="L123" s="200" t="s">
        <v>79</v>
      </c>
      <c r="M123" s="200" t="s">
        <v>79</v>
      </c>
    </row>
    <row r="124" spans="1:13">
      <c r="A124" t="s">
        <v>104</v>
      </c>
      <c r="B124" t="s">
        <v>90</v>
      </c>
      <c r="C124" t="s">
        <v>81</v>
      </c>
      <c r="D124" t="s">
        <v>78</v>
      </c>
      <c r="E124" t="s">
        <v>72</v>
      </c>
      <c r="F124" s="202">
        <v>0</v>
      </c>
      <c r="G124" s="202">
        <v>0</v>
      </c>
      <c r="H124" s="202">
        <v>0</v>
      </c>
      <c r="I124" s="202">
        <v>0</v>
      </c>
      <c r="J124" s="202">
        <v>0</v>
      </c>
      <c r="K124" s="202">
        <v>0</v>
      </c>
      <c r="L124" s="202">
        <v>0</v>
      </c>
      <c r="M124" s="200" t="s">
        <v>79</v>
      </c>
    </row>
    <row r="125" spans="1:13">
      <c r="A125" t="s">
        <v>104</v>
      </c>
      <c r="B125" t="s">
        <v>91</v>
      </c>
      <c r="C125" t="s">
        <v>83</v>
      </c>
      <c r="D125" t="s">
        <v>78</v>
      </c>
      <c r="E125" t="s">
        <v>72</v>
      </c>
      <c r="F125" s="202">
        <v>0</v>
      </c>
      <c r="G125" s="202">
        <v>0.41199999999999998</v>
      </c>
      <c r="H125" s="200" t="s">
        <v>79</v>
      </c>
      <c r="I125" s="200" t="s">
        <v>79</v>
      </c>
      <c r="J125" s="200" t="s">
        <v>79</v>
      </c>
      <c r="K125" s="200" t="s">
        <v>79</v>
      </c>
      <c r="L125" s="200" t="s">
        <v>79</v>
      </c>
      <c r="M125" s="200" t="s">
        <v>79</v>
      </c>
    </row>
    <row r="126" spans="1:13">
      <c r="A126" t="s">
        <v>104</v>
      </c>
      <c r="B126" t="s">
        <v>92</v>
      </c>
      <c r="C126" t="s">
        <v>83</v>
      </c>
      <c r="D126" t="s">
        <v>78</v>
      </c>
      <c r="E126" t="s">
        <v>72</v>
      </c>
      <c r="F126" s="202">
        <v>0</v>
      </c>
      <c r="G126" s="202">
        <v>0</v>
      </c>
      <c r="H126" s="202">
        <v>0</v>
      </c>
      <c r="I126" s="202">
        <v>0</v>
      </c>
      <c r="J126" s="202">
        <v>0</v>
      </c>
      <c r="K126" s="202">
        <v>0</v>
      </c>
      <c r="L126" s="202">
        <v>0</v>
      </c>
      <c r="M126" s="200" t="s">
        <v>79</v>
      </c>
    </row>
    <row r="127" spans="1:13">
      <c r="A127" t="s">
        <v>104</v>
      </c>
      <c r="B127" t="s">
        <v>93</v>
      </c>
      <c r="C127" t="s">
        <v>94</v>
      </c>
      <c r="D127" t="s">
        <v>78</v>
      </c>
      <c r="E127" t="s">
        <v>72</v>
      </c>
      <c r="F127" s="200" t="s">
        <v>79</v>
      </c>
      <c r="G127" s="200" t="s">
        <v>79</v>
      </c>
      <c r="H127" s="200" t="s">
        <v>79</v>
      </c>
      <c r="I127" s="200" t="s">
        <v>79</v>
      </c>
      <c r="J127" s="200" t="s">
        <v>79</v>
      </c>
      <c r="K127" s="200" t="s">
        <v>79</v>
      </c>
      <c r="L127" s="200" t="s">
        <v>79</v>
      </c>
      <c r="M127" s="202">
        <v>4605.5684455095561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2C99-124D-4113-A816-6B21A56E2625}">
  <sheetPr>
    <tabColor rgb="FFFFDB8E"/>
  </sheetPr>
  <dimension ref="A1:U128"/>
  <sheetViews>
    <sheetView zoomScale="80" zoomScaleNormal="80" workbookViewId="0"/>
  </sheetViews>
  <sheetFormatPr defaultColWidth="9" defaultRowHeight="12.75"/>
  <cols>
    <col min="1" max="1" width="9" style="118"/>
    <col min="2" max="2" width="41.28515625" style="118" customWidth="1"/>
    <col min="3" max="3" width="193.42578125" style="118" bestFit="1" customWidth="1"/>
    <col min="4" max="4" width="9" style="118"/>
    <col min="5" max="5" width="17" style="118" bestFit="1" customWidth="1"/>
    <col min="6" max="12" width="16" style="118" customWidth="1"/>
    <col min="13" max="13" width="11" style="118" customWidth="1"/>
    <col min="14" max="20" width="15.5703125" style="118" customWidth="1"/>
    <col min="21" max="21" width="10" style="118" bestFit="1" customWidth="1"/>
    <col min="22" max="16384" width="9" style="118"/>
  </cols>
  <sheetData>
    <row r="1" spans="1:21" ht="31.5">
      <c r="A1" s="1" t="str">
        <f ca="1" xml:space="preserve"> RIGHT(CELL("filename", $A$1), LEN(CELL("filename", $A$1)) - SEARCH("]", CELL("filename", $A$1)))</f>
        <v>F_Inputs_adjusted</v>
      </c>
      <c r="B1" s="1"/>
      <c r="C1" s="1"/>
    </row>
    <row r="2" spans="1:21">
      <c r="A2" s="118">
        <f>F_Inputs!A1</f>
        <v>0</v>
      </c>
      <c r="C2" s="119" t="s">
        <v>57</v>
      </c>
      <c r="E2" s="214">
        <v>45540.401817129627</v>
      </c>
    </row>
    <row r="3" spans="1:21">
      <c r="A3" s="120" t="s">
        <v>59</v>
      </c>
      <c r="B3" s="120" t="s">
        <v>60</v>
      </c>
      <c r="C3" s="120" t="s">
        <v>61</v>
      </c>
      <c r="D3" s="120" t="s">
        <v>62</v>
      </c>
      <c r="E3" s="120" t="s">
        <v>63</v>
      </c>
      <c r="F3" s="120" t="s">
        <v>64</v>
      </c>
      <c r="G3" s="120" t="s">
        <v>65</v>
      </c>
      <c r="H3" s="120" t="s">
        <v>66</v>
      </c>
      <c r="I3" s="120" t="s">
        <v>67</v>
      </c>
      <c r="J3" s="120" t="s">
        <v>68</v>
      </c>
      <c r="K3" s="120" t="s">
        <v>69</v>
      </c>
      <c r="L3" s="120" t="s">
        <v>70</v>
      </c>
      <c r="N3" s="120" t="s">
        <v>64</v>
      </c>
      <c r="O3" s="120" t="s">
        <v>65</v>
      </c>
      <c r="P3" s="120" t="s">
        <v>66</v>
      </c>
      <c r="Q3" s="120" t="s">
        <v>67</v>
      </c>
      <c r="R3" s="120" t="s">
        <v>68</v>
      </c>
      <c r="S3" s="120" t="s">
        <v>69</v>
      </c>
      <c r="T3" s="120" t="s">
        <v>70</v>
      </c>
      <c r="U3" s="118" t="s">
        <v>105</v>
      </c>
    </row>
    <row r="5" spans="1:21">
      <c r="F5" s="120" t="s">
        <v>72</v>
      </c>
      <c r="G5" s="120" t="s">
        <v>72</v>
      </c>
      <c r="H5" s="120" t="s">
        <v>72</v>
      </c>
      <c r="I5" s="120" t="s">
        <v>72</v>
      </c>
      <c r="J5" s="120" t="s">
        <v>72</v>
      </c>
      <c r="K5" s="120" t="s">
        <v>72</v>
      </c>
      <c r="L5" s="120" t="s">
        <v>72</v>
      </c>
      <c r="N5" s="120" t="s">
        <v>72</v>
      </c>
      <c r="O5" s="120" t="s">
        <v>72</v>
      </c>
      <c r="P5" s="120" t="s">
        <v>72</v>
      </c>
      <c r="Q5" s="120" t="s">
        <v>72</v>
      </c>
      <c r="R5" s="120" t="s">
        <v>72</v>
      </c>
      <c r="S5" s="120" t="s">
        <v>72</v>
      </c>
      <c r="T5" s="120" t="s">
        <v>72</v>
      </c>
    </row>
    <row r="6" spans="1:21">
      <c r="F6" s="120" t="s">
        <v>73</v>
      </c>
      <c r="G6" s="120" t="s">
        <v>73</v>
      </c>
      <c r="H6" s="120" t="s">
        <v>73</v>
      </c>
      <c r="I6" s="120" t="s">
        <v>73</v>
      </c>
      <c r="J6" s="120" t="s">
        <v>73</v>
      </c>
      <c r="K6" s="120" t="s">
        <v>73</v>
      </c>
      <c r="L6" s="120" t="s">
        <v>73</v>
      </c>
      <c r="N6" s="120" t="s">
        <v>73</v>
      </c>
      <c r="O6" s="120" t="s">
        <v>73</v>
      </c>
      <c r="P6" s="120" t="s">
        <v>73</v>
      </c>
      <c r="Q6" s="120" t="s">
        <v>73</v>
      </c>
      <c r="R6" s="120" t="s">
        <v>73</v>
      </c>
      <c r="S6" s="120" t="s">
        <v>73</v>
      </c>
      <c r="T6" s="120" t="s">
        <v>73</v>
      </c>
    </row>
    <row r="7" spans="1:21">
      <c r="F7" s="120" t="s">
        <v>74</v>
      </c>
      <c r="G7" s="120" t="s">
        <v>74</v>
      </c>
      <c r="H7" s="120" t="s">
        <v>74</v>
      </c>
      <c r="I7" s="120" t="s">
        <v>74</v>
      </c>
      <c r="J7" s="120" t="s">
        <v>74</v>
      </c>
      <c r="K7" s="120" t="s">
        <v>74</v>
      </c>
      <c r="L7" s="120" t="s">
        <v>74</v>
      </c>
      <c r="N7" s="120" t="s">
        <v>74</v>
      </c>
      <c r="O7" s="120" t="s">
        <v>74</v>
      </c>
      <c r="P7" s="120" t="s">
        <v>74</v>
      </c>
      <c r="Q7" s="120" t="s">
        <v>74</v>
      </c>
      <c r="R7" s="120" t="s">
        <v>74</v>
      </c>
      <c r="S7" s="120" t="s">
        <v>74</v>
      </c>
      <c r="T7" s="120" t="s">
        <v>74</v>
      </c>
    </row>
    <row r="8" spans="1:21">
      <c r="A8" s="118" t="str">
        <f>F_Inputs!A7</f>
        <v>ANH</v>
      </c>
      <c r="B8" s="118" t="str">
        <f>F_Inputs!B7</f>
        <v>CWW3_052TOT_PR24</v>
      </c>
      <c r="C8" s="118" t="str">
        <f>F_Inputs!C7</f>
        <v>EA/NRW environmental programme wastewater (WINEP/NEP) - Chemicals and emerging contaminants monitoring, investigations, options appraisals; (WINEP/NEP) wastewater capex - Total</v>
      </c>
      <c r="D8" s="118" t="str">
        <f>F_Inputs!D7</f>
        <v>£m</v>
      </c>
      <c r="E8" s="118" t="str">
        <f>F_Inputs!E7</f>
        <v>Price Review 2024</v>
      </c>
      <c r="F8" s="118">
        <f>F_Inputs!F7</f>
        <v>5.6846919917864494E-3</v>
      </c>
      <c r="G8" s="118">
        <f>F_Inputs!G7</f>
        <v>1.8000000000000019E-2</v>
      </c>
      <c r="H8" s="118">
        <f>F_Inputs!H7</f>
        <v>4.6470000000000002</v>
      </c>
      <c r="I8" s="118">
        <f>F_Inputs!I7</f>
        <v>6.5570000000000004</v>
      </c>
      <c r="J8" s="118">
        <f>F_Inputs!J7</f>
        <v>4.6680000000000001</v>
      </c>
      <c r="K8" s="118">
        <f>F_Inputs!K7</f>
        <v>4.6769999999999996</v>
      </c>
      <c r="L8" s="118">
        <f>F_Inputs!L7</f>
        <v>5.0309999999999997</v>
      </c>
      <c r="M8" s="118" t="str">
        <f t="shared" ref="M8:M39" si="0">LEFT(B8,6)</f>
        <v>CWW3_0</v>
      </c>
      <c r="N8" s="117">
        <f>IF(OR($M8="CWW12_",$M8= "CWW17_",$M8= "CWW20A",$M8="BN1603"),F8,0)</f>
        <v>0</v>
      </c>
      <c r="O8" s="117">
        <f>IF(OR($M8="CWW12_",$M8= "CWW17_",$M8= "CWW20A",$M8="BN1603"),G8,0)</f>
        <v>0</v>
      </c>
      <c r="P8" s="117">
        <f>IF(OR($M8="CWW3_0",$M8="BN1603"),H8,0)</f>
        <v>4.6470000000000002</v>
      </c>
      <c r="Q8" s="117">
        <f t="shared" ref="Q8:T8" si="1">IF(OR($M8="CWW3_0",$M8="CWW3_1", $M8= "CWW20_",$M8="CWW1A_",$M8="BN1603"),I8,0)</f>
        <v>6.5570000000000004</v>
      </c>
      <c r="R8" s="117">
        <f t="shared" si="1"/>
        <v>4.6680000000000001</v>
      </c>
      <c r="S8" s="117">
        <f t="shared" si="1"/>
        <v>4.6769999999999996</v>
      </c>
      <c r="T8" s="117">
        <f t="shared" si="1"/>
        <v>5.0309999999999997</v>
      </c>
      <c r="U8" s="207">
        <f>SUM(N8:T8)</f>
        <v>25.58</v>
      </c>
    </row>
    <row r="9" spans="1:21">
      <c r="A9" s="118" t="str">
        <f>F_Inputs!A8</f>
        <v>ANH</v>
      </c>
      <c r="B9" s="118" t="str">
        <f>F_Inputs!B8</f>
        <v>CWW3_053TOT_PR24</v>
      </c>
      <c r="C9" s="118" t="str">
        <f>F_Inputs!C8</f>
        <v>EA/NRW environmental programme wastewater (WINEP/NEP) - Chemicals and emerging contaminants monitoring, investigations, options appraisals; (WINEP/NEP) wastewater opex - Total</v>
      </c>
      <c r="D9" s="118" t="str">
        <f>F_Inputs!D8</f>
        <v>£m</v>
      </c>
      <c r="E9" s="118" t="str">
        <f>F_Inputs!E8</f>
        <v>Price Review 2024</v>
      </c>
      <c r="F9" s="118">
        <f>F_Inputs!F8</f>
        <v>0</v>
      </c>
      <c r="G9" s="118">
        <f>F_Inputs!G8</f>
        <v>0</v>
      </c>
      <c r="H9" s="118">
        <f>F_Inputs!H8</f>
        <v>0</v>
      </c>
      <c r="I9" s="118">
        <f>F_Inputs!I8</f>
        <v>0</v>
      </c>
      <c r="J9" s="118">
        <f>F_Inputs!J8</f>
        <v>0</v>
      </c>
      <c r="K9" s="118">
        <f>F_Inputs!K8</f>
        <v>0</v>
      </c>
      <c r="L9" s="118">
        <f>F_Inputs!L8</f>
        <v>0</v>
      </c>
      <c r="M9" s="118" t="str">
        <f t="shared" si="0"/>
        <v>CWW3_0</v>
      </c>
      <c r="N9" s="117">
        <f t="shared" ref="N9:N72" si="2">IF(OR($M9="CWW12_",$M9= "CWW17_",$M9= "CWW20A",$M9="BN1603"),F9,0)</f>
        <v>0</v>
      </c>
      <c r="O9" s="117">
        <f t="shared" ref="O9:O72" si="3">IF(OR($M9="CWW12_",$M9= "CWW17_",$M9= "CWW20A",$M9="BN1603"),G9,0)</f>
        <v>0</v>
      </c>
      <c r="P9" s="117">
        <f t="shared" ref="P9:P72" si="4">IF(OR($M9="CWW3_0",$M9="BN1603"),H9,0)</f>
        <v>0</v>
      </c>
      <c r="Q9" s="117">
        <f t="shared" ref="Q9:Q72" si="5">IF(OR($M9="CWW3_0",$M9="CWW3_1", $M9= "CWW20_",$M9="CWW1A_",$M9="BN1603"),I9,0)</f>
        <v>0</v>
      </c>
      <c r="R9" s="117">
        <f t="shared" ref="R9:R72" si="6">IF(OR($M9="CWW3_0",$M9="CWW3_1", $M9= "CWW20_",$M9="CWW1A_",$M9="BN1603"),J9,0)</f>
        <v>0</v>
      </c>
      <c r="S9" s="117">
        <f t="shared" ref="S9:S72" si="7">IF(OR($M9="CWW3_0",$M9="CWW3_1", $M9= "CWW20_",$M9="CWW1A_",$M9="BN1603"),K9,0)</f>
        <v>0</v>
      </c>
      <c r="T9" s="117">
        <f t="shared" ref="T9:T72" si="8">IF(OR($M9="CWW3_0",$M9="CWW3_1", $M9= "CWW20_",$M9="CWW1A_",$M9="BN1603"),L9,0)</f>
        <v>0</v>
      </c>
      <c r="U9" s="207">
        <f t="shared" ref="U9:U72" si="9">SUM(N9:T9)</f>
        <v>0</v>
      </c>
    </row>
    <row r="10" spans="1:21">
      <c r="A10" s="118" t="str">
        <f>F_Inputs!A9</f>
        <v>ANH</v>
      </c>
      <c r="B10" s="118" t="str">
        <f>F_Inputs!B9</f>
        <v>CWW3_054TOT_PR24</v>
      </c>
      <c r="C10" s="118" t="str">
        <f>F_Inputs!C9</f>
        <v>EA/NRW environmental programme wastewater (WINEP/NEP) - Chemicals and emerging contaminants monitoring, investigations, options appraisals; (WINEP/NEP) wastewater totex - Total</v>
      </c>
      <c r="D10" s="118" t="str">
        <f>F_Inputs!D9</f>
        <v>£m</v>
      </c>
      <c r="E10" s="118" t="str">
        <f>F_Inputs!E9</f>
        <v>Price Review 2024</v>
      </c>
      <c r="F10" s="118">
        <f>F_Inputs!F9</f>
        <v>5.6846919917864494E-3</v>
      </c>
      <c r="G10" s="118">
        <f>F_Inputs!G9</f>
        <v>1.8000000000000019E-2</v>
      </c>
      <c r="H10" s="118">
        <f>F_Inputs!H9</f>
        <v>4.6470000000000002</v>
      </c>
      <c r="I10" s="118">
        <f>F_Inputs!I9</f>
        <v>6.5570000000000004</v>
      </c>
      <c r="J10" s="118">
        <f>F_Inputs!J9</f>
        <v>4.6680000000000001</v>
      </c>
      <c r="K10" s="118">
        <f>F_Inputs!K9</f>
        <v>4.6769999999999996</v>
      </c>
      <c r="L10" s="118">
        <f>F_Inputs!L9</f>
        <v>5.0309999999999997</v>
      </c>
      <c r="M10" s="118" t="str">
        <f t="shared" si="0"/>
        <v>CWW3_0</v>
      </c>
      <c r="N10" s="117">
        <f t="shared" si="2"/>
        <v>0</v>
      </c>
      <c r="O10" s="117">
        <f t="shared" si="3"/>
        <v>0</v>
      </c>
      <c r="P10" s="117">
        <f t="shared" si="4"/>
        <v>4.6470000000000002</v>
      </c>
      <c r="Q10" s="117">
        <f t="shared" si="5"/>
        <v>6.5570000000000004</v>
      </c>
      <c r="R10" s="117">
        <f t="shared" si="6"/>
        <v>4.6680000000000001</v>
      </c>
      <c r="S10" s="117">
        <f t="shared" si="7"/>
        <v>4.6769999999999996</v>
      </c>
      <c r="T10" s="117">
        <f t="shared" si="8"/>
        <v>5.0309999999999997</v>
      </c>
      <c r="U10" s="207">
        <f t="shared" si="9"/>
        <v>25.58</v>
      </c>
    </row>
    <row r="11" spans="1:21">
      <c r="A11" s="118" t="str">
        <f>F_Inputs!A10</f>
        <v>ANH</v>
      </c>
      <c r="B11" s="118" t="str">
        <f>F_Inputs!B10</f>
        <v>BN1603_PR24</v>
      </c>
      <c r="C11" s="118" t="str">
        <f>F_Inputs!C10</f>
        <v>Sewage treatment data - Current population equivalent served by STWs</v>
      </c>
      <c r="D11" s="118" t="str">
        <f>F_Inputs!D10</f>
        <v>000s</v>
      </c>
      <c r="E11" s="118" t="str">
        <f>F_Inputs!E10</f>
        <v>Price Review 2024</v>
      </c>
      <c r="F11" s="118">
        <f>F_Inputs!F10</f>
        <v>7392.8429999999998</v>
      </c>
      <c r="G11" s="118">
        <f>F_Inputs!G10</f>
        <v>7446.8497140252593</v>
      </c>
      <c r="H11" s="118">
        <f>F_Inputs!H10</f>
        <v>7499.9863531482497</v>
      </c>
      <c r="I11" s="118">
        <f>F_Inputs!I10</f>
        <v>7549.3772645502286</v>
      </c>
      <c r="J11" s="118">
        <f>F_Inputs!J10</f>
        <v>7593.0960781989497</v>
      </c>
      <c r="K11" s="118">
        <f>F_Inputs!K10</f>
        <v>7630.0911036135394</v>
      </c>
      <c r="L11" s="118">
        <f>F_Inputs!L10</f>
        <v>7661.2581846204494</v>
      </c>
      <c r="M11" s="118" t="str">
        <f t="shared" si="0"/>
        <v>BN1603</v>
      </c>
      <c r="N11" s="117">
        <f t="shared" si="2"/>
        <v>7392.8429999999998</v>
      </c>
      <c r="O11" s="117">
        <f t="shared" si="3"/>
        <v>7446.8497140252593</v>
      </c>
      <c r="P11" s="117">
        <f t="shared" si="4"/>
        <v>7499.9863531482497</v>
      </c>
      <c r="Q11" s="117">
        <f t="shared" si="5"/>
        <v>7549.3772645502286</v>
      </c>
      <c r="R11" s="117">
        <f t="shared" si="6"/>
        <v>7593.0960781989497</v>
      </c>
      <c r="S11" s="117">
        <f t="shared" si="7"/>
        <v>7630.0911036135394</v>
      </c>
      <c r="T11" s="117">
        <f t="shared" si="8"/>
        <v>7661.2581846204494</v>
      </c>
      <c r="U11" s="207">
        <f t="shared" si="9"/>
        <v>52773.501698156673</v>
      </c>
    </row>
    <row r="12" spans="1:21">
      <c r="A12" s="118" t="str">
        <f>F_Inputs!A11</f>
        <v>ANH</v>
      </c>
      <c r="B12" s="118" t="str">
        <f>F_Inputs!B11</f>
        <v>CWW12_052TOT_PR24</v>
      </c>
      <c r="C12" s="118" t="str">
        <f>F_Inputs!C11</f>
        <v>EA/NRW environmental programme wastewater (WINEP/NEP) - Chemicals and emerging contaminants monitoring, investigations, options appraisals; (WINEP/NEP) wastewater capex - Total</v>
      </c>
      <c r="D12" s="118" t="str">
        <f>F_Inputs!D11</f>
        <v>£m</v>
      </c>
      <c r="E12" s="118" t="str">
        <f>F_Inputs!E11</f>
        <v>Price Review 2024</v>
      </c>
      <c r="F12" s="118">
        <f>F_Inputs!F11</f>
        <v>1.9E-2</v>
      </c>
      <c r="G12" s="118">
        <f>F_Inputs!G11</f>
        <v>1.7999999999999999E-2</v>
      </c>
      <c r="H12" s="118" t="str">
        <f>F_Inputs!H11</f>
        <v/>
      </c>
      <c r="I12" s="118" t="str">
        <f>F_Inputs!I11</f>
        <v/>
      </c>
      <c r="J12" s="118" t="str">
        <f>F_Inputs!J11</f>
        <v/>
      </c>
      <c r="K12" s="118" t="str">
        <f>F_Inputs!K11</f>
        <v/>
      </c>
      <c r="L12" s="118" t="str">
        <f>F_Inputs!L11</f>
        <v/>
      </c>
      <c r="M12" s="118" t="str">
        <f t="shared" si="0"/>
        <v>CWW12_</v>
      </c>
      <c r="N12" s="117">
        <f t="shared" si="2"/>
        <v>1.9E-2</v>
      </c>
      <c r="O12" s="117">
        <f t="shared" si="3"/>
        <v>1.7999999999999999E-2</v>
      </c>
      <c r="P12" s="117">
        <f t="shared" si="4"/>
        <v>0</v>
      </c>
      <c r="Q12" s="117">
        <f t="shared" si="5"/>
        <v>0</v>
      </c>
      <c r="R12" s="117">
        <f t="shared" si="6"/>
        <v>0</v>
      </c>
      <c r="S12" s="117">
        <f t="shared" si="7"/>
        <v>0</v>
      </c>
      <c r="T12" s="117">
        <f t="shared" si="8"/>
        <v>0</v>
      </c>
      <c r="U12" s="207">
        <f t="shared" si="9"/>
        <v>3.6999999999999998E-2</v>
      </c>
    </row>
    <row r="13" spans="1:21">
      <c r="A13" s="118" t="str">
        <f>F_Inputs!A12</f>
        <v>ANH</v>
      </c>
      <c r="B13" s="118" t="str">
        <f>F_Inputs!B12</f>
        <v>CWW17_052TOT_PR24</v>
      </c>
      <c r="C13" s="118" t="str">
        <f>F_Inputs!C12</f>
        <v>EA/NRW environmental programme wastewater (WINEP/NEP) - Chemicals and emerging contaminants monitoring, investigations, options appraisals; (WINEP/NEP) wastewater capex - Total</v>
      </c>
      <c r="D13" s="118" t="str">
        <f>F_Inputs!D12</f>
        <v>£m</v>
      </c>
      <c r="E13" s="118" t="str">
        <f>F_Inputs!E12</f>
        <v>Price Review 2024</v>
      </c>
      <c r="F13" s="118">
        <f>F_Inputs!F12</f>
        <v>0</v>
      </c>
      <c r="G13" s="118">
        <f>F_Inputs!G12</f>
        <v>0</v>
      </c>
      <c r="H13" s="118">
        <f>F_Inputs!H12</f>
        <v>0</v>
      </c>
      <c r="I13" s="118">
        <f>F_Inputs!I12</f>
        <v>0</v>
      </c>
      <c r="J13" s="118">
        <f>F_Inputs!J12</f>
        <v>0</v>
      </c>
      <c r="K13" s="118">
        <f>F_Inputs!K12</f>
        <v>0</v>
      </c>
      <c r="L13" s="118">
        <f>F_Inputs!L12</f>
        <v>0</v>
      </c>
      <c r="M13" s="118" t="str">
        <f t="shared" si="0"/>
        <v>CWW17_</v>
      </c>
      <c r="N13" s="117">
        <f t="shared" si="2"/>
        <v>0</v>
      </c>
      <c r="O13" s="117">
        <f t="shared" si="3"/>
        <v>0</v>
      </c>
      <c r="P13" s="117">
        <f t="shared" si="4"/>
        <v>0</v>
      </c>
      <c r="Q13" s="117">
        <f t="shared" si="5"/>
        <v>0</v>
      </c>
      <c r="R13" s="117">
        <f t="shared" si="6"/>
        <v>0</v>
      </c>
      <c r="S13" s="117">
        <f t="shared" si="7"/>
        <v>0</v>
      </c>
      <c r="T13" s="117">
        <f t="shared" si="8"/>
        <v>0</v>
      </c>
      <c r="U13" s="207">
        <f t="shared" si="9"/>
        <v>0</v>
      </c>
    </row>
    <row r="14" spans="1:21">
      <c r="A14" s="118" t="str">
        <f>F_Inputs!A13</f>
        <v>ANH</v>
      </c>
      <c r="B14" s="118" t="str">
        <f>F_Inputs!B13</f>
        <v>CWW12_053TOT_PR24</v>
      </c>
      <c r="C14" s="118" t="str">
        <f>F_Inputs!C13</f>
        <v>EA/NRW environmental programme wastewater (WINEP/NEP) - Chemicals and emerging contaminants monitoring, investigations, options appraisals; (WINEP/NEP) wastewater opex - Total</v>
      </c>
      <c r="D14" s="118" t="str">
        <f>F_Inputs!D13</f>
        <v>£m</v>
      </c>
      <c r="E14" s="118" t="str">
        <f>F_Inputs!E13</f>
        <v>Price Review 2024</v>
      </c>
      <c r="F14" s="118">
        <f>F_Inputs!F13</f>
        <v>0</v>
      </c>
      <c r="G14" s="118">
        <f>F_Inputs!G13</f>
        <v>0</v>
      </c>
      <c r="H14" s="118" t="str">
        <f>F_Inputs!H13</f>
        <v/>
      </c>
      <c r="I14" s="118" t="str">
        <f>F_Inputs!I13</f>
        <v/>
      </c>
      <c r="J14" s="118" t="str">
        <f>F_Inputs!J13</f>
        <v/>
      </c>
      <c r="K14" s="118" t="str">
        <f>F_Inputs!K13</f>
        <v/>
      </c>
      <c r="L14" s="118" t="str">
        <f>F_Inputs!L13</f>
        <v/>
      </c>
      <c r="M14" s="118" t="str">
        <f t="shared" si="0"/>
        <v>CWW12_</v>
      </c>
      <c r="N14" s="117">
        <f t="shared" si="2"/>
        <v>0</v>
      </c>
      <c r="O14" s="117">
        <f t="shared" si="3"/>
        <v>0</v>
      </c>
      <c r="P14" s="117">
        <f t="shared" si="4"/>
        <v>0</v>
      </c>
      <c r="Q14" s="117">
        <f t="shared" si="5"/>
        <v>0</v>
      </c>
      <c r="R14" s="117">
        <f t="shared" si="6"/>
        <v>0</v>
      </c>
      <c r="S14" s="117">
        <f t="shared" si="7"/>
        <v>0</v>
      </c>
      <c r="T14" s="117">
        <f t="shared" si="8"/>
        <v>0</v>
      </c>
      <c r="U14" s="207">
        <f t="shared" si="9"/>
        <v>0</v>
      </c>
    </row>
    <row r="15" spans="1:21">
      <c r="A15" s="118" t="str">
        <f>F_Inputs!A14</f>
        <v>ANH</v>
      </c>
      <c r="B15" s="118" t="str">
        <f>F_Inputs!B14</f>
        <v>CWW17_053TOT_PR24</v>
      </c>
      <c r="C15" s="118" t="str">
        <f>F_Inputs!C14</f>
        <v>EA/NRW environmental programme wastewater (WINEP/NEP) - Chemicals and emerging contaminants monitoring, investigations, options appraisals; (WINEP/NEP) wastewater opex - Total</v>
      </c>
      <c r="D15" s="118" t="str">
        <f>F_Inputs!D14</f>
        <v>£m</v>
      </c>
      <c r="E15" s="118" t="str">
        <f>F_Inputs!E14</f>
        <v>Price Review 2024</v>
      </c>
      <c r="F15" s="118">
        <f>F_Inputs!F14</f>
        <v>0</v>
      </c>
      <c r="G15" s="118">
        <f>F_Inputs!G14</f>
        <v>0</v>
      </c>
      <c r="H15" s="118">
        <f>F_Inputs!H14</f>
        <v>0</v>
      </c>
      <c r="I15" s="118">
        <f>F_Inputs!I14</f>
        <v>0</v>
      </c>
      <c r="J15" s="118">
        <f>F_Inputs!J14</f>
        <v>0</v>
      </c>
      <c r="K15" s="118">
        <f>F_Inputs!K14</f>
        <v>0</v>
      </c>
      <c r="L15" s="118">
        <f>F_Inputs!L14</f>
        <v>0</v>
      </c>
      <c r="M15" s="118" t="str">
        <f t="shared" si="0"/>
        <v>CWW17_</v>
      </c>
      <c r="N15" s="117">
        <f t="shared" si="2"/>
        <v>0</v>
      </c>
      <c r="O15" s="117">
        <f t="shared" si="3"/>
        <v>0</v>
      </c>
      <c r="P15" s="117">
        <f t="shared" si="4"/>
        <v>0</v>
      </c>
      <c r="Q15" s="117">
        <f t="shared" si="5"/>
        <v>0</v>
      </c>
      <c r="R15" s="117">
        <f t="shared" si="6"/>
        <v>0</v>
      </c>
      <c r="S15" s="117">
        <f t="shared" si="7"/>
        <v>0</v>
      </c>
      <c r="T15" s="117">
        <f t="shared" si="8"/>
        <v>0</v>
      </c>
      <c r="U15" s="207">
        <f t="shared" si="9"/>
        <v>0</v>
      </c>
    </row>
    <row r="16" spans="1:21">
      <c r="A16" s="118" t="str">
        <f>F_Inputs!A15</f>
        <v>ANH</v>
      </c>
      <c r="B16" s="118" t="str">
        <f>F_Inputs!B15</f>
        <v>CWW12_054TOT_PR24</v>
      </c>
      <c r="C16" s="118" t="str">
        <f>F_Inputs!C15</f>
        <v>EA/NRW environmental programme wastewater (WINEP/NEP) - Chemicals and emerging contaminants monitoring, investigations, options appraisals; (WINEP/NEP) wastewater totex - Total</v>
      </c>
      <c r="D16" s="118" t="str">
        <f>F_Inputs!D15</f>
        <v>£m</v>
      </c>
      <c r="E16" s="118" t="str">
        <f>F_Inputs!E15</f>
        <v>Price Review 2024</v>
      </c>
      <c r="F16" s="118">
        <f>F_Inputs!F15</f>
        <v>1.9E-2</v>
      </c>
      <c r="G16" s="118">
        <f>F_Inputs!G15</f>
        <v>1.7999999999999999E-2</v>
      </c>
      <c r="H16" s="118" t="str">
        <f>F_Inputs!H15</f>
        <v/>
      </c>
      <c r="I16" s="118" t="str">
        <f>F_Inputs!I15</f>
        <v/>
      </c>
      <c r="J16" s="118" t="str">
        <f>F_Inputs!J15</f>
        <v/>
      </c>
      <c r="K16" s="118" t="str">
        <f>F_Inputs!K15</f>
        <v/>
      </c>
      <c r="L16" s="118" t="str">
        <f>F_Inputs!L15</f>
        <v/>
      </c>
      <c r="M16" s="118" t="str">
        <f t="shared" si="0"/>
        <v>CWW12_</v>
      </c>
      <c r="N16" s="117">
        <f t="shared" si="2"/>
        <v>1.9E-2</v>
      </c>
      <c r="O16" s="117">
        <f t="shared" si="3"/>
        <v>1.7999999999999999E-2</v>
      </c>
      <c r="P16" s="117">
        <f t="shared" si="4"/>
        <v>0</v>
      </c>
      <c r="Q16" s="117">
        <f t="shared" si="5"/>
        <v>0</v>
      </c>
      <c r="R16" s="117">
        <f t="shared" si="6"/>
        <v>0</v>
      </c>
      <c r="S16" s="117">
        <f t="shared" si="7"/>
        <v>0</v>
      </c>
      <c r="T16" s="117">
        <f t="shared" si="8"/>
        <v>0</v>
      </c>
      <c r="U16" s="207">
        <f t="shared" si="9"/>
        <v>3.6999999999999998E-2</v>
      </c>
    </row>
    <row r="17" spans="1:21">
      <c r="A17" s="118" t="str">
        <f>F_Inputs!A16</f>
        <v>ANH</v>
      </c>
      <c r="B17" s="118" t="str">
        <f>F_Inputs!B16</f>
        <v>CWW17_054TOT_PR24</v>
      </c>
      <c r="C17" s="118" t="str">
        <f>F_Inputs!C16</f>
        <v>EA/NRW environmental programme wastewater (WINEP/NEP) - Chemicals and emerging contaminants monitoring, investigations, options appraisals; (WINEP/NEP) wastewater totex - Total</v>
      </c>
      <c r="D17" s="118" t="str">
        <f>F_Inputs!D16</f>
        <v>£m</v>
      </c>
      <c r="E17" s="118" t="str">
        <f>F_Inputs!E16</f>
        <v>Price Review 2024</v>
      </c>
      <c r="F17" s="118">
        <f>F_Inputs!F16</f>
        <v>0</v>
      </c>
      <c r="G17" s="118">
        <f>F_Inputs!G16</f>
        <v>0</v>
      </c>
      <c r="H17" s="118">
        <f>F_Inputs!H16</f>
        <v>0</v>
      </c>
      <c r="I17" s="118">
        <f>F_Inputs!I16</f>
        <v>0</v>
      </c>
      <c r="J17" s="118">
        <f>F_Inputs!J16</f>
        <v>0</v>
      </c>
      <c r="K17" s="118">
        <f>F_Inputs!K16</f>
        <v>0</v>
      </c>
      <c r="L17" s="118">
        <f>F_Inputs!L16</f>
        <v>0</v>
      </c>
      <c r="M17" s="118" t="str">
        <f t="shared" si="0"/>
        <v>CWW17_</v>
      </c>
      <c r="N17" s="117">
        <f t="shared" si="2"/>
        <v>0</v>
      </c>
      <c r="O17" s="117">
        <f t="shared" si="3"/>
        <v>0</v>
      </c>
      <c r="P17" s="117">
        <f t="shared" si="4"/>
        <v>0</v>
      </c>
      <c r="Q17" s="117">
        <f t="shared" si="5"/>
        <v>0</v>
      </c>
      <c r="R17" s="117">
        <f t="shared" si="6"/>
        <v>0</v>
      </c>
      <c r="S17" s="117">
        <f t="shared" si="7"/>
        <v>0</v>
      </c>
      <c r="T17" s="117">
        <f t="shared" si="8"/>
        <v>0</v>
      </c>
      <c r="U17" s="207">
        <f t="shared" si="9"/>
        <v>0</v>
      </c>
    </row>
    <row r="18" spans="1:21">
      <c r="A18" s="118" t="str">
        <f>F_Inputs!A17</f>
        <v>ANH</v>
      </c>
      <c r="B18" s="118" t="str">
        <f>F_Inputs!B17</f>
        <v>PR24_NETTOTEX_WASTE</v>
      </c>
      <c r="C18" s="118" t="str">
        <f>F_Inputs!C17</f>
        <v>PR24 BP Net totex - Total inc. accelerated &amp; transition costs</v>
      </c>
      <c r="D18" s="118" t="str">
        <f>F_Inputs!D17</f>
        <v>£m</v>
      </c>
      <c r="E18" s="118" t="str">
        <f>F_Inputs!E17</f>
        <v>Price Review 2024</v>
      </c>
      <c r="F18" s="118" t="str">
        <f>F_Inputs!F17</f>
        <v/>
      </c>
      <c r="G18" s="118" t="str">
        <f>F_Inputs!G17</f>
        <v/>
      </c>
      <c r="H18" s="118" t="str">
        <f>F_Inputs!H17</f>
        <v/>
      </c>
      <c r="I18" s="118" t="str">
        <f>F_Inputs!I17</f>
        <v/>
      </c>
      <c r="J18" s="118" t="str">
        <f>F_Inputs!J17</f>
        <v/>
      </c>
      <c r="K18" s="118" t="str">
        <f>F_Inputs!K17</f>
        <v/>
      </c>
      <c r="L18" s="118" t="str">
        <f>F_Inputs!L17</f>
        <v/>
      </c>
      <c r="M18" s="118" t="str">
        <f t="shared" si="0"/>
        <v>PR24_N</v>
      </c>
      <c r="N18" s="117">
        <f t="shared" si="2"/>
        <v>0</v>
      </c>
      <c r="O18" s="117">
        <f t="shared" si="3"/>
        <v>0</v>
      </c>
      <c r="P18" s="117">
        <f t="shared" si="4"/>
        <v>0</v>
      </c>
      <c r="Q18" s="117">
        <f t="shared" si="5"/>
        <v>0</v>
      </c>
      <c r="R18" s="117">
        <f t="shared" si="6"/>
        <v>0</v>
      </c>
      <c r="S18" s="117">
        <f t="shared" si="7"/>
        <v>0</v>
      </c>
      <c r="T18" s="117">
        <f t="shared" si="8"/>
        <v>0</v>
      </c>
      <c r="U18" s="207">
        <f t="shared" si="9"/>
        <v>0</v>
      </c>
    </row>
    <row r="19" spans="1:21">
      <c r="A19" s="118" t="str">
        <f>F_Inputs!A18</f>
        <v>WSH</v>
      </c>
      <c r="B19" s="118" t="str">
        <f>F_Inputs!B18</f>
        <v>CWW3_052TOT_PR24</v>
      </c>
      <c r="C19" s="118" t="str">
        <f>F_Inputs!C18</f>
        <v>EA/NRW environmental programme wastewater (WINEP/NEP) - Chemicals and emerging contaminants monitoring, investigations, options appraisals; (WINEP/NEP) wastewater capex - Total</v>
      </c>
      <c r="D19" s="118" t="str">
        <f>F_Inputs!D18</f>
        <v>£m</v>
      </c>
      <c r="E19" s="118" t="str">
        <f>F_Inputs!E18</f>
        <v>Price Review 2024</v>
      </c>
      <c r="F19" s="118">
        <f>F_Inputs!F18</f>
        <v>0.42350450513347032</v>
      </c>
      <c r="G19" s="118">
        <f>F_Inputs!G18</f>
        <v>0.33</v>
      </c>
      <c r="H19" s="118">
        <f>F_Inputs!H18</f>
        <v>1.544</v>
      </c>
      <c r="I19" s="118">
        <f>F_Inputs!I18</f>
        <v>1.5049999999999999</v>
      </c>
      <c r="J19" s="118">
        <f>F_Inputs!J18</f>
        <v>0</v>
      </c>
      <c r="K19" s="118">
        <f>F_Inputs!K18</f>
        <v>0</v>
      </c>
      <c r="L19" s="118">
        <f>F_Inputs!L18</f>
        <v>0</v>
      </c>
      <c r="M19" s="118" t="str">
        <f t="shared" si="0"/>
        <v>CWW3_0</v>
      </c>
      <c r="N19" s="117">
        <f t="shared" si="2"/>
        <v>0</v>
      </c>
      <c r="O19" s="117">
        <f t="shared" si="3"/>
        <v>0</v>
      </c>
      <c r="P19" s="117">
        <f t="shared" si="4"/>
        <v>1.544</v>
      </c>
      <c r="Q19" s="117">
        <f t="shared" si="5"/>
        <v>1.5049999999999999</v>
      </c>
      <c r="R19" s="117">
        <f t="shared" si="6"/>
        <v>0</v>
      </c>
      <c r="S19" s="117">
        <f t="shared" si="7"/>
        <v>0</v>
      </c>
      <c r="T19" s="117">
        <f t="shared" si="8"/>
        <v>0</v>
      </c>
      <c r="U19" s="207">
        <f t="shared" si="9"/>
        <v>3.0489999999999999</v>
      </c>
    </row>
    <row r="20" spans="1:21">
      <c r="A20" s="118" t="str">
        <f>F_Inputs!A19</f>
        <v>WSH</v>
      </c>
      <c r="B20" s="118" t="str">
        <f>F_Inputs!B19</f>
        <v>CWW3_053TOT_PR24</v>
      </c>
      <c r="C20" s="118" t="str">
        <f>F_Inputs!C19</f>
        <v>EA/NRW environmental programme wastewater (WINEP/NEP) - Chemicals and emerging contaminants monitoring, investigations, options appraisals; (WINEP/NEP) wastewater opex - Total</v>
      </c>
      <c r="D20" s="118" t="str">
        <f>F_Inputs!D19</f>
        <v>£m</v>
      </c>
      <c r="E20" s="118" t="str">
        <f>F_Inputs!E19</f>
        <v>Price Review 2024</v>
      </c>
      <c r="F20" s="118">
        <f>F_Inputs!F19</f>
        <v>0</v>
      </c>
      <c r="G20" s="118">
        <f>F_Inputs!G19</f>
        <v>0</v>
      </c>
      <c r="H20" s="118">
        <f>F_Inputs!H19</f>
        <v>0</v>
      </c>
      <c r="I20" s="118">
        <f>F_Inputs!I19</f>
        <v>0</v>
      </c>
      <c r="J20" s="118">
        <f>F_Inputs!J19</f>
        <v>0</v>
      </c>
      <c r="K20" s="118">
        <f>F_Inputs!K19</f>
        <v>0</v>
      </c>
      <c r="L20" s="118">
        <f>F_Inputs!L19</f>
        <v>0</v>
      </c>
      <c r="M20" s="118" t="str">
        <f t="shared" si="0"/>
        <v>CWW3_0</v>
      </c>
      <c r="N20" s="117">
        <f t="shared" si="2"/>
        <v>0</v>
      </c>
      <c r="O20" s="117">
        <f t="shared" si="3"/>
        <v>0</v>
      </c>
      <c r="P20" s="117">
        <f t="shared" si="4"/>
        <v>0</v>
      </c>
      <c r="Q20" s="117">
        <f t="shared" si="5"/>
        <v>0</v>
      </c>
      <c r="R20" s="117">
        <f t="shared" si="6"/>
        <v>0</v>
      </c>
      <c r="S20" s="117">
        <f t="shared" si="7"/>
        <v>0</v>
      </c>
      <c r="T20" s="117">
        <f t="shared" si="8"/>
        <v>0</v>
      </c>
      <c r="U20" s="207">
        <f t="shared" si="9"/>
        <v>0</v>
      </c>
    </row>
    <row r="21" spans="1:21">
      <c r="A21" s="118" t="str">
        <f>F_Inputs!A20</f>
        <v>WSH</v>
      </c>
      <c r="B21" s="118" t="str">
        <f>F_Inputs!B20</f>
        <v>CWW3_054TOT_PR24</v>
      </c>
      <c r="C21" s="118" t="str">
        <f>F_Inputs!C20</f>
        <v>EA/NRW environmental programme wastewater (WINEP/NEP) - Chemicals and emerging contaminants monitoring, investigations, options appraisals; (WINEP/NEP) wastewater totex - Total</v>
      </c>
      <c r="D21" s="118" t="str">
        <f>F_Inputs!D20</f>
        <v>£m</v>
      </c>
      <c r="E21" s="118" t="str">
        <f>F_Inputs!E20</f>
        <v>Price Review 2024</v>
      </c>
      <c r="F21" s="118">
        <f>F_Inputs!F20</f>
        <v>0.42350450513347032</v>
      </c>
      <c r="G21" s="118">
        <f>F_Inputs!G20</f>
        <v>0.33</v>
      </c>
      <c r="H21" s="118">
        <f>F_Inputs!H20</f>
        <v>1.544</v>
      </c>
      <c r="I21" s="118">
        <f>F_Inputs!I20</f>
        <v>1.5049999999999999</v>
      </c>
      <c r="J21" s="118">
        <f>F_Inputs!J20</f>
        <v>0</v>
      </c>
      <c r="K21" s="118">
        <f>F_Inputs!K20</f>
        <v>0</v>
      </c>
      <c r="L21" s="118">
        <f>F_Inputs!L20</f>
        <v>0</v>
      </c>
      <c r="M21" s="118" t="str">
        <f t="shared" si="0"/>
        <v>CWW3_0</v>
      </c>
      <c r="N21" s="117">
        <f t="shared" si="2"/>
        <v>0</v>
      </c>
      <c r="O21" s="117">
        <f t="shared" si="3"/>
        <v>0</v>
      </c>
      <c r="P21" s="117">
        <f t="shared" si="4"/>
        <v>1.544</v>
      </c>
      <c r="Q21" s="117">
        <f t="shared" si="5"/>
        <v>1.5049999999999999</v>
      </c>
      <c r="R21" s="117">
        <f t="shared" si="6"/>
        <v>0</v>
      </c>
      <c r="S21" s="117">
        <f t="shared" si="7"/>
        <v>0</v>
      </c>
      <c r="T21" s="117">
        <f t="shared" si="8"/>
        <v>0</v>
      </c>
      <c r="U21" s="207">
        <f t="shared" si="9"/>
        <v>3.0489999999999999</v>
      </c>
    </row>
    <row r="22" spans="1:21">
      <c r="A22" s="118" t="str">
        <f>F_Inputs!A21</f>
        <v>WSH</v>
      </c>
      <c r="B22" s="118" t="str">
        <f>F_Inputs!B21</f>
        <v>BN1603_PR24</v>
      </c>
      <c r="C22" s="118" t="str">
        <f>F_Inputs!C21</f>
        <v>Sewage treatment data - Current population equivalent served by STWs</v>
      </c>
      <c r="D22" s="118" t="str">
        <f>F_Inputs!D21</f>
        <v>000s</v>
      </c>
      <c r="E22" s="118" t="str">
        <f>F_Inputs!E21</f>
        <v>Price Review 2024</v>
      </c>
      <c r="F22" s="118">
        <f>F_Inputs!F21</f>
        <v>3946.3209999999999</v>
      </c>
      <c r="G22" s="118">
        <f>F_Inputs!G21</f>
        <v>3970.4409999999998</v>
      </c>
      <c r="H22" s="118">
        <f>F_Inputs!H21</f>
        <v>3994.5369999999998</v>
      </c>
      <c r="I22" s="118">
        <f>F_Inputs!I21</f>
        <v>4018.6320000000001</v>
      </c>
      <c r="J22" s="118">
        <f>F_Inputs!J21</f>
        <v>4042.5520000000001</v>
      </c>
      <c r="K22" s="118">
        <f>F_Inputs!K21</f>
        <v>4066.57</v>
      </c>
      <c r="L22" s="118">
        <f>F_Inputs!L21</f>
        <v>4090.5610000000001</v>
      </c>
      <c r="M22" s="118" t="str">
        <f t="shared" si="0"/>
        <v>BN1603</v>
      </c>
      <c r="N22" s="117">
        <f t="shared" si="2"/>
        <v>3946.3209999999999</v>
      </c>
      <c r="O22" s="117">
        <f t="shared" si="3"/>
        <v>3970.4409999999998</v>
      </c>
      <c r="P22" s="117">
        <f t="shared" si="4"/>
        <v>3994.5369999999998</v>
      </c>
      <c r="Q22" s="117">
        <f t="shared" si="5"/>
        <v>4018.6320000000001</v>
      </c>
      <c r="R22" s="117">
        <f t="shared" si="6"/>
        <v>4042.5520000000001</v>
      </c>
      <c r="S22" s="117">
        <f t="shared" si="7"/>
        <v>4066.57</v>
      </c>
      <c r="T22" s="117">
        <f t="shared" si="8"/>
        <v>4090.5610000000001</v>
      </c>
      <c r="U22" s="207">
        <f t="shared" si="9"/>
        <v>28129.614000000001</v>
      </c>
    </row>
    <row r="23" spans="1:21">
      <c r="A23" s="118" t="str">
        <f>F_Inputs!A22</f>
        <v>WSH</v>
      </c>
      <c r="B23" s="118" t="str">
        <f>F_Inputs!B22</f>
        <v>CWW12_052TOT_PR24</v>
      </c>
      <c r="C23" s="118" t="str">
        <f>F_Inputs!C22</f>
        <v>EA/NRW environmental programme wastewater (WINEP/NEP) - Chemicals and emerging contaminants monitoring, investigations, options appraisals; (WINEP/NEP) wastewater capex - Total</v>
      </c>
      <c r="D23" s="118" t="str">
        <f>F_Inputs!D22</f>
        <v>£m</v>
      </c>
      <c r="E23" s="118" t="str">
        <f>F_Inputs!E22</f>
        <v>Price Review 2024</v>
      </c>
      <c r="F23" s="118">
        <f>F_Inputs!F22</f>
        <v>0</v>
      </c>
      <c r="G23" s="118">
        <f>F_Inputs!G22</f>
        <v>0</v>
      </c>
      <c r="H23" s="118" t="str">
        <f>F_Inputs!H22</f>
        <v/>
      </c>
      <c r="I23" s="118" t="str">
        <f>F_Inputs!I22</f>
        <v/>
      </c>
      <c r="J23" s="118" t="str">
        <f>F_Inputs!J22</f>
        <v/>
      </c>
      <c r="K23" s="118" t="str">
        <f>F_Inputs!K22</f>
        <v/>
      </c>
      <c r="L23" s="118" t="str">
        <f>F_Inputs!L22</f>
        <v/>
      </c>
      <c r="M23" s="118" t="str">
        <f t="shared" si="0"/>
        <v>CWW12_</v>
      </c>
      <c r="N23" s="117">
        <f t="shared" si="2"/>
        <v>0</v>
      </c>
      <c r="O23" s="117">
        <f t="shared" si="3"/>
        <v>0</v>
      </c>
      <c r="P23" s="117">
        <f t="shared" si="4"/>
        <v>0</v>
      </c>
      <c r="Q23" s="117">
        <f t="shared" si="5"/>
        <v>0</v>
      </c>
      <c r="R23" s="117">
        <f t="shared" si="6"/>
        <v>0</v>
      </c>
      <c r="S23" s="117">
        <f t="shared" si="7"/>
        <v>0</v>
      </c>
      <c r="T23" s="117">
        <f t="shared" si="8"/>
        <v>0</v>
      </c>
      <c r="U23" s="207">
        <f t="shared" si="9"/>
        <v>0</v>
      </c>
    </row>
    <row r="24" spans="1:21">
      <c r="A24" s="118" t="str">
        <f>F_Inputs!A23</f>
        <v>WSH</v>
      </c>
      <c r="B24" s="118" t="str">
        <f>F_Inputs!B23</f>
        <v>CWW17_052TOT_PR24</v>
      </c>
      <c r="C24" s="118" t="str">
        <f>F_Inputs!C23</f>
        <v>EA/NRW environmental programme wastewater (WINEP/NEP) - Chemicals and emerging contaminants monitoring, investigations, options appraisals; (WINEP/NEP) wastewater capex - Total</v>
      </c>
      <c r="D24" s="118" t="str">
        <f>F_Inputs!D23</f>
        <v>£m</v>
      </c>
      <c r="E24" s="118" t="str">
        <f>F_Inputs!E23</f>
        <v>Price Review 2024</v>
      </c>
      <c r="F24" s="118">
        <f>F_Inputs!F23</f>
        <v>0</v>
      </c>
      <c r="G24" s="118">
        <f>F_Inputs!G23</f>
        <v>0</v>
      </c>
      <c r="H24" s="118">
        <f>F_Inputs!H23</f>
        <v>0</v>
      </c>
      <c r="I24" s="118">
        <f>F_Inputs!I23</f>
        <v>0</v>
      </c>
      <c r="J24" s="118">
        <f>F_Inputs!J23</f>
        <v>0</v>
      </c>
      <c r="K24" s="118">
        <f>F_Inputs!K23</f>
        <v>0</v>
      </c>
      <c r="L24" s="118">
        <f>F_Inputs!L23</f>
        <v>0</v>
      </c>
      <c r="M24" s="118" t="str">
        <f t="shared" si="0"/>
        <v>CWW17_</v>
      </c>
      <c r="N24" s="117">
        <f t="shared" si="2"/>
        <v>0</v>
      </c>
      <c r="O24" s="117">
        <f t="shared" si="3"/>
        <v>0</v>
      </c>
      <c r="P24" s="117">
        <f t="shared" si="4"/>
        <v>0</v>
      </c>
      <c r="Q24" s="117">
        <f t="shared" si="5"/>
        <v>0</v>
      </c>
      <c r="R24" s="117">
        <f t="shared" si="6"/>
        <v>0</v>
      </c>
      <c r="S24" s="117">
        <f t="shared" si="7"/>
        <v>0</v>
      </c>
      <c r="T24" s="117">
        <f t="shared" si="8"/>
        <v>0</v>
      </c>
      <c r="U24" s="207">
        <f t="shared" si="9"/>
        <v>0</v>
      </c>
    </row>
    <row r="25" spans="1:21">
      <c r="A25" s="118" t="str">
        <f>F_Inputs!A24</f>
        <v>WSH</v>
      </c>
      <c r="B25" s="118" t="str">
        <f>F_Inputs!B24</f>
        <v>CWW12_053TOT_PR24</v>
      </c>
      <c r="C25" s="118" t="str">
        <f>F_Inputs!C24</f>
        <v>EA/NRW environmental programme wastewater (WINEP/NEP) - Chemicals and emerging contaminants monitoring, investigations, options appraisals; (WINEP/NEP) wastewater opex - Total</v>
      </c>
      <c r="D25" s="118" t="str">
        <f>F_Inputs!D24</f>
        <v>£m</v>
      </c>
      <c r="E25" s="118" t="str">
        <f>F_Inputs!E24</f>
        <v>Price Review 2024</v>
      </c>
      <c r="F25" s="118">
        <f>F_Inputs!F24</f>
        <v>0</v>
      </c>
      <c r="G25" s="118">
        <f>F_Inputs!G24</f>
        <v>0</v>
      </c>
      <c r="H25" s="118" t="str">
        <f>F_Inputs!H24</f>
        <v/>
      </c>
      <c r="I25" s="118" t="str">
        <f>F_Inputs!I24</f>
        <v/>
      </c>
      <c r="J25" s="118" t="str">
        <f>F_Inputs!J24</f>
        <v/>
      </c>
      <c r="K25" s="118" t="str">
        <f>F_Inputs!K24</f>
        <v/>
      </c>
      <c r="L25" s="118" t="str">
        <f>F_Inputs!L24</f>
        <v/>
      </c>
      <c r="M25" s="118" t="str">
        <f t="shared" si="0"/>
        <v>CWW12_</v>
      </c>
      <c r="N25" s="117">
        <f t="shared" si="2"/>
        <v>0</v>
      </c>
      <c r="O25" s="117">
        <f t="shared" si="3"/>
        <v>0</v>
      </c>
      <c r="P25" s="117">
        <f t="shared" si="4"/>
        <v>0</v>
      </c>
      <c r="Q25" s="117">
        <f t="shared" si="5"/>
        <v>0</v>
      </c>
      <c r="R25" s="117">
        <f t="shared" si="6"/>
        <v>0</v>
      </c>
      <c r="S25" s="117">
        <f t="shared" si="7"/>
        <v>0</v>
      </c>
      <c r="T25" s="117">
        <f t="shared" si="8"/>
        <v>0</v>
      </c>
      <c r="U25" s="207">
        <f t="shared" si="9"/>
        <v>0</v>
      </c>
    </row>
    <row r="26" spans="1:21">
      <c r="A26" s="118" t="str">
        <f>F_Inputs!A25</f>
        <v>WSH</v>
      </c>
      <c r="B26" s="118" t="str">
        <f>F_Inputs!B25</f>
        <v>CWW17_053TOT_PR24</v>
      </c>
      <c r="C26" s="118" t="str">
        <f>F_Inputs!C25</f>
        <v>EA/NRW environmental programme wastewater (WINEP/NEP) - Chemicals and emerging contaminants monitoring, investigations, options appraisals; (WINEP/NEP) wastewater opex - Total</v>
      </c>
      <c r="D26" s="118" t="str">
        <f>F_Inputs!D25</f>
        <v>£m</v>
      </c>
      <c r="E26" s="118" t="str">
        <f>F_Inputs!E25</f>
        <v>Price Review 2024</v>
      </c>
      <c r="F26" s="118">
        <f>F_Inputs!F25</f>
        <v>0</v>
      </c>
      <c r="G26" s="118">
        <f>F_Inputs!G25</f>
        <v>0</v>
      </c>
      <c r="H26" s="118">
        <f>F_Inputs!H25</f>
        <v>0</v>
      </c>
      <c r="I26" s="118">
        <f>F_Inputs!I25</f>
        <v>0</v>
      </c>
      <c r="J26" s="118">
        <f>F_Inputs!J25</f>
        <v>0</v>
      </c>
      <c r="K26" s="118">
        <f>F_Inputs!K25</f>
        <v>0</v>
      </c>
      <c r="L26" s="118">
        <f>F_Inputs!L25</f>
        <v>0</v>
      </c>
      <c r="M26" s="118" t="str">
        <f t="shared" si="0"/>
        <v>CWW17_</v>
      </c>
      <c r="N26" s="117">
        <f t="shared" si="2"/>
        <v>0</v>
      </c>
      <c r="O26" s="117">
        <f t="shared" si="3"/>
        <v>0</v>
      </c>
      <c r="P26" s="117">
        <f t="shared" si="4"/>
        <v>0</v>
      </c>
      <c r="Q26" s="117">
        <f t="shared" si="5"/>
        <v>0</v>
      </c>
      <c r="R26" s="117">
        <f t="shared" si="6"/>
        <v>0</v>
      </c>
      <c r="S26" s="117">
        <f t="shared" si="7"/>
        <v>0</v>
      </c>
      <c r="T26" s="117">
        <f t="shared" si="8"/>
        <v>0</v>
      </c>
      <c r="U26" s="207">
        <f t="shared" si="9"/>
        <v>0</v>
      </c>
    </row>
    <row r="27" spans="1:21">
      <c r="A27" s="118" t="str">
        <f>F_Inputs!A26</f>
        <v>WSH</v>
      </c>
      <c r="B27" s="118" t="str">
        <f>F_Inputs!B26</f>
        <v>CWW12_054TOT_PR24</v>
      </c>
      <c r="C27" s="118" t="str">
        <f>F_Inputs!C26</f>
        <v>EA/NRW environmental programme wastewater (WINEP/NEP) - Chemicals and emerging contaminants monitoring, investigations, options appraisals; (WINEP/NEP) wastewater totex - Total</v>
      </c>
      <c r="D27" s="118" t="str">
        <f>F_Inputs!D26</f>
        <v>£m</v>
      </c>
      <c r="E27" s="118" t="str">
        <f>F_Inputs!E26</f>
        <v>Price Review 2024</v>
      </c>
      <c r="F27" s="118">
        <f>F_Inputs!F26</f>
        <v>0</v>
      </c>
      <c r="G27" s="118">
        <f>F_Inputs!G26</f>
        <v>0</v>
      </c>
      <c r="H27" s="118" t="str">
        <f>F_Inputs!H26</f>
        <v/>
      </c>
      <c r="I27" s="118" t="str">
        <f>F_Inputs!I26</f>
        <v/>
      </c>
      <c r="J27" s="118" t="str">
        <f>F_Inputs!J26</f>
        <v/>
      </c>
      <c r="K27" s="118" t="str">
        <f>F_Inputs!K26</f>
        <v/>
      </c>
      <c r="L27" s="118" t="str">
        <f>F_Inputs!L26</f>
        <v/>
      </c>
      <c r="M27" s="118" t="str">
        <f t="shared" si="0"/>
        <v>CWW12_</v>
      </c>
      <c r="N27" s="117">
        <f t="shared" si="2"/>
        <v>0</v>
      </c>
      <c r="O27" s="117">
        <f t="shared" si="3"/>
        <v>0</v>
      </c>
      <c r="P27" s="117">
        <f t="shared" si="4"/>
        <v>0</v>
      </c>
      <c r="Q27" s="117">
        <f t="shared" si="5"/>
        <v>0</v>
      </c>
      <c r="R27" s="117">
        <f t="shared" si="6"/>
        <v>0</v>
      </c>
      <c r="S27" s="117">
        <f t="shared" si="7"/>
        <v>0</v>
      </c>
      <c r="T27" s="117">
        <f t="shared" si="8"/>
        <v>0</v>
      </c>
      <c r="U27" s="207">
        <f t="shared" si="9"/>
        <v>0</v>
      </c>
    </row>
    <row r="28" spans="1:21">
      <c r="A28" s="118" t="str">
        <f>F_Inputs!A27</f>
        <v>WSH</v>
      </c>
      <c r="B28" s="118" t="str">
        <f>F_Inputs!B27</f>
        <v>CWW17_054TOT_PR24</v>
      </c>
      <c r="C28" s="118" t="str">
        <f>F_Inputs!C27</f>
        <v>EA/NRW environmental programme wastewater (WINEP/NEP) - Chemicals and emerging contaminants monitoring, investigations, options appraisals; (WINEP/NEP) wastewater totex - Total</v>
      </c>
      <c r="D28" s="118" t="str">
        <f>F_Inputs!D27</f>
        <v>£m</v>
      </c>
      <c r="E28" s="118" t="str">
        <f>F_Inputs!E27</f>
        <v>Price Review 2024</v>
      </c>
      <c r="F28" s="118">
        <f>F_Inputs!F27</f>
        <v>0</v>
      </c>
      <c r="G28" s="118">
        <f>F_Inputs!G27</f>
        <v>0</v>
      </c>
      <c r="H28" s="118">
        <f>F_Inputs!H27</f>
        <v>0</v>
      </c>
      <c r="I28" s="118">
        <f>F_Inputs!I27</f>
        <v>0</v>
      </c>
      <c r="J28" s="118">
        <f>F_Inputs!J27</f>
        <v>0</v>
      </c>
      <c r="K28" s="118">
        <f>F_Inputs!K27</f>
        <v>0</v>
      </c>
      <c r="L28" s="118">
        <f>F_Inputs!L27</f>
        <v>0</v>
      </c>
      <c r="M28" s="118" t="str">
        <f t="shared" si="0"/>
        <v>CWW17_</v>
      </c>
      <c r="N28" s="117">
        <f t="shared" si="2"/>
        <v>0</v>
      </c>
      <c r="O28" s="117">
        <f t="shared" si="3"/>
        <v>0</v>
      </c>
      <c r="P28" s="117">
        <f t="shared" si="4"/>
        <v>0</v>
      </c>
      <c r="Q28" s="117">
        <f t="shared" si="5"/>
        <v>0</v>
      </c>
      <c r="R28" s="117">
        <f t="shared" si="6"/>
        <v>0</v>
      </c>
      <c r="S28" s="117">
        <f t="shared" si="7"/>
        <v>0</v>
      </c>
      <c r="T28" s="117">
        <f t="shared" si="8"/>
        <v>0</v>
      </c>
      <c r="U28" s="207">
        <f t="shared" si="9"/>
        <v>0</v>
      </c>
    </row>
    <row r="29" spans="1:21">
      <c r="A29" s="118" t="str">
        <f>F_Inputs!A28</f>
        <v>WSH</v>
      </c>
      <c r="B29" s="118" t="str">
        <f>F_Inputs!B28</f>
        <v>PR24_NETTOTEX_WASTE</v>
      </c>
      <c r="C29" s="118" t="str">
        <f>F_Inputs!C28</f>
        <v>PR24 BP Net totex - Total inc. accelerated &amp; transition costs</v>
      </c>
      <c r="D29" s="118" t="str">
        <f>F_Inputs!D28</f>
        <v>£m</v>
      </c>
      <c r="E29" s="118" t="str">
        <f>F_Inputs!E28</f>
        <v>Price Review 2024</v>
      </c>
      <c r="F29" s="118" t="str">
        <f>F_Inputs!F28</f>
        <v/>
      </c>
      <c r="G29" s="118" t="str">
        <f>F_Inputs!G28</f>
        <v/>
      </c>
      <c r="H29" s="118" t="str">
        <f>F_Inputs!H28</f>
        <v/>
      </c>
      <c r="I29" s="118" t="str">
        <f>F_Inputs!I28</f>
        <v/>
      </c>
      <c r="J29" s="118" t="str">
        <f>F_Inputs!J28</f>
        <v/>
      </c>
      <c r="K29" s="118" t="str">
        <f>F_Inputs!K28</f>
        <v/>
      </c>
      <c r="L29" s="118" t="str">
        <f>F_Inputs!L28</f>
        <v/>
      </c>
      <c r="M29" s="118" t="str">
        <f t="shared" si="0"/>
        <v>PR24_N</v>
      </c>
      <c r="N29" s="117">
        <f t="shared" si="2"/>
        <v>0</v>
      </c>
      <c r="O29" s="117">
        <f t="shared" si="3"/>
        <v>0</v>
      </c>
      <c r="P29" s="117">
        <f t="shared" si="4"/>
        <v>0</v>
      </c>
      <c r="Q29" s="117">
        <f t="shared" si="5"/>
        <v>0</v>
      </c>
      <c r="R29" s="117">
        <f t="shared" si="6"/>
        <v>0</v>
      </c>
      <c r="S29" s="117">
        <f t="shared" si="7"/>
        <v>0</v>
      </c>
      <c r="T29" s="117">
        <f t="shared" si="8"/>
        <v>0</v>
      </c>
      <c r="U29" s="207">
        <f t="shared" si="9"/>
        <v>0</v>
      </c>
    </row>
    <row r="30" spans="1:21">
      <c r="A30" s="118" t="str">
        <f>F_Inputs!A29</f>
        <v>HDD</v>
      </c>
      <c r="B30" s="118" t="str">
        <f>F_Inputs!B29</f>
        <v>CWW3_052TOT_PR24</v>
      </c>
      <c r="C30" s="118" t="str">
        <f>F_Inputs!C29</f>
        <v>EA/NRW environmental programme wastewater (WINEP/NEP) - Chemicals and emerging contaminants monitoring, investigations, options appraisals; (WINEP/NEP) wastewater capex - Total</v>
      </c>
      <c r="D30" s="118" t="str">
        <f>F_Inputs!D29</f>
        <v>£m</v>
      </c>
      <c r="E30" s="118" t="str">
        <f>F_Inputs!E29</f>
        <v>Price Review 2024</v>
      </c>
      <c r="F30" s="118">
        <f>F_Inputs!F29</f>
        <v>0</v>
      </c>
      <c r="G30" s="118">
        <f>F_Inputs!G29</f>
        <v>0</v>
      </c>
      <c r="H30" s="118">
        <f>F_Inputs!H29</f>
        <v>0</v>
      </c>
      <c r="I30" s="118">
        <f>F_Inputs!I29</f>
        <v>0</v>
      </c>
      <c r="J30" s="118">
        <f>F_Inputs!J29</f>
        <v>0</v>
      </c>
      <c r="K30" s="118">
        <f>F_Inputs!K29</f>
        <v>0</v>
      </c>
      <c r="L30" s="118">
        <f>F_Inputs!L29</f>
        <v>0</v>
      </c>
      <c r="M30" s="118" t="str">
        <f t="shared" si="0"/>
        <v>CWW3_0</v>
      </c>
      <c r="N30" s="117">
        <f t="shared" si="2"/>
        <v>0</v>
      </c>
      <c r="O30" s="117">
        <f t="shared" si="3"/>
        <v>0</v>
      </c>
      <c r="P30" s="117">
        <f t="shared" si="4"/>
        <v>0</v>
      </c>
      <c r="Q30" s="117">
        <f t="shared" si="5"/>
        <v>0</v>
      </c>
      <c r="R30" s="117">
        <f t="shared" si="6"/>
        <v>0</v>
      </c>
      <c r="S30" s="117">
        <f t="shared" si="7"/>
        <v>0</v>
      </c>
      <c r="T30" s="117">
        <f t="shared" si="8"/>
        <v>0</v>
      </c>
      <c r="U30" s="207">
        <f t="shared" si="9"/>
        <v>0</v>
      </c>
    </row>
    <row r="31" spans="1:21">
      <c r="A31" s="118" t="str">
        <f>F_Inputs!A30</f>
        <v>HDD</v>
      </c>
      <c r="B31" s="118" t="str">
        <f>F_Inputs!B30</f>
        <v>CWW3_053TOT_PR24</v>
      </c>
      <c r="C31" s="118" t="str">
        <f>F_Inputs!C30</f>
        <v>EA/NRW environmental programme wastewater (WINEP/NEP) - Chemicals and emerging contaminants monitoring, investigations, options appraisals; (WINEP/NEP) wastewater opex - Total</v>
      </c>
      <c r="D31" s="118" t="str">
        <f>F_Inputs!D30</f>
        <v>£m</v>
      </c>
      <c r="E31" s="118" t="str">
        <f>F_Inputs!E30</f>
        <v>Price Review 2024</v>
      </c>
      <c r="F31" s="118">
        <f>F_Inputs!F30</f>
        <v>0</v>
      </c>
      <c r="G31" s="118">
        <f>F_Inputs!G30</f>
        <v>0</v>
      </c>
      <c r="H31" s="118">
        <f>F_Inputs!H30</f>
        <v>0</v>
      </c>
      <c r="I31" s="118">
        <f>F_Inputs!I30</f>
        <v>0</v>
      </c>
      <c r="J31" s="118">
        <f>F_Inputs!J30</f>
        <v>0</v>
      </c>
      <c r="K31" s="118">
        <f>F_Inputs!K30</f>
        <v>0</v>
      </c>
      <c r="L31" s="118">
        <f>F_Inputs!L30</f>
        <v>0</v>
      </c>
      <c r="M31" s="118" t="str">
        <f t="shared" si="0"/>
        <v>CWW3_0</v>
      </c>
      <c r="N31" s="117">
        <f t="shared" si="2"/>
        <v>0</v>
      </c>
      <c r="O31" s="117">
        <f t="shared" si="3"/>
        <v>0</v>
      </c>
      <c r="P31" s="117">
        <f t="shared" si="4"/>
        <v>0</v>
      </c>
      <c r="Q31" s="117">
        <f t="shared" si="5"/>
        <v>0</v>
      </c>
      <c r="R31" s="117">
        <f t="shared" si="6"/>
        <v>0</v>
      </c>
      <c r="S31" s="117">
        <f t="shared" si="7"/>
        <v>0</v>
      </c>
      <c r="T31" s="117">
        <f t="shared" si="8"/>
        <v>0</v>
      </c>
      <c r="U31" s="207">
        <f t="shared" si="9"/>
        <v>0</v>
      </c>
    </row>
    <row r="32" spans="1:21">
      <c r="A32" s="118" t="str">
        <f>F_Inputs!A31</f>
        <v>HDD</v>
      </c>
      <c r="B32" s="118" t="str">
        <f>F_Inputs!B31</f>
        <v>CWW3_054TOT_PR24</v>
      </c>
      <c r="C32" s="118" t="str">
        <f>F_Inputs!C31</f>
        <v>EA/NRW environmental programme wastewater (WINEP/NEP) - Chemicals and emerging contaminants monitoring, investigations, options appraisals; (WINEP/NEP) wastewater totex - Total</v>
      </c>
      <c r="D32" s="118" t="str">
        <f>F_Inputs!D31</f>
        <v>£m</v>
      </c>
      <c r="E32" s="118" t="str">
        <f>F_Inputs!E31</f>
        <v>Price Review 2024</v>
      </c>
      <c r="F32" s="118">
        <f>F_Inputs!F31</f>
        <v>0</v>
      </c>
      <c r="G32" s="118">
        <f>F_Inputs!G31</f>
        <v>0</v>
      </c>
      <c r="H32" s="118">
        <f>F_Inputs!H31</f>
        <v>0</v>
      </c>
      <c r="I32" s="118">
        <f>F_Inputs!I31</f>
        <v>0</v>
      </c>
      <c r="J32" s="118">
        <f>F_Inputs!J31</f>
        <v>0</v>
      </c>
      <c r="K32" s="118">
        <f>F_Inputs!K31</f>
        <v>0</v>
      </c>
      <c r="L32" s="118">
        <f>F_Inputs!L31</f>
        <v>0</v>
      </c>
      <c r="M32" s="118" t="str">
        <f t="shared" si="0"/>
        <v>CWW3_0</v>
      </c>
      <c r="N32" s="117">
        <f t="shared" si="2"/>
        <v>0</v>
      </c>
      <c r="O32" s="117">
        <f t="shared" si="3"/>
        <v>0</v>
      </c>
      <c r="P32" s="117">
        <f t="shared" si="4"/>
        <v>0</v>
      </c>
      <c r="Q32" s="117">
        <f t="shared" si="5"/>
        <v>0</v>
      </c>
      <c r="R32" s="117">
        <f t="shared" si="6"/>
        <v>0</v>
      </c>
      <c r="S32" s="117">
        <f t="shared" si="7"/>
        <v>0</v>
      </c>
      <c r="T32" s="117">
        <f t="shared" si="8"/>
        <v>0</v>
      </c>
      <c r="U32" s="207">
        <f t="shared" si="9"/>
        <v>0</v>
      </c>
    </row>
    <row r="33" spans="1:21">
      <c r="A33" s="118" t="str">
        <f>F_Inputs!A32</f>
        <v>HDD</v>
      </c>
      <c r="B33" s="118" t="str">
        <f>F_Inputs!B32</f>
        <v>BN1603_PR24</v>
      </c>
      <c r="C33" s="118" t="str">
        <f>F_Inputs!C32</f>
        <v>Sewage treatment data - Current population equivalent served by STWs</v>
      </c>
      <c r="D33" s="118" t="str">
        <f>F_Inputs!D32</f>
        <v>000s</v>
      </c>
      <c r="E33" s="118" t="str">
        <f>F_Inputs!E32</f>
        <v>Price Review 2024</v>
      </c>
      <c r="F33" s="118">
        <f>F_Inputs!F32</f>
        <v>44.999000000000002</v>
      </c>
      <c r="G33" s="118">
        <f>F_Inputs!G32</f>
        <v>44.225853655244187</v>
      </c>
      <c r="H33" s="118">
        <f>F_Inputs!H32</f>
        <v>44.676414318998333</v>
      </c>
      <c r="I33" s="118">
        <f>F_Inputs!I32</f>
        <v>45.117056899328233</v>
      </c>
      <c r="J33" s="118">
        <f>F_Inputs!J32</f>
        <v>45.547841835992948</v>
      </c>
      <c r="K33" s="118">
        <f>F_Inputs!K32</f>
        <v>45.995621426845148</v>
      </c>
      <c r="L33" s="118">
        <f>F_Inputs!L32</f>
        <v>46.407751999142697</v>
      </c>
      <c r="M33" s="118" t="str">
        <f t="shared" si="0"/>
        <v>BN1603</v>
      </c>
      <c r="N33" s="117">
        <f t="shared" si="2"/>
        <v>44.999000000000002</v>
      </c>
      <c r="O33" s="117">
        <f t="shared" si="3"/>
        <v>44.225853655244187</v>
      </c>
      <c r="P33" s="117">
        <f t="shared" si="4"/>
        <v>44.676414318998333</v>
      </c>
      <c r="Q33" s="117">
        <f t="shared" si="5"/>
        <v>45.117056899328233</v>
      </c>
      <c r="R33" s="117">
        <f t="shared" si="6"/>
        <v>45.547841835992948</v>
      </c>
      <c r="S33" s="117">
        <f t="shared" si="7"/>
        <v>45.995621426845148</v>
      </c>
      <c r="T33" s="117">
        <f t="shared" si="8"/>
        <v>46.407751999142697</v>
      </c>
      <c r="U33" s="207">
        <f t="shared" si="9"/>
        <v>316.96954013555154</v>
      </c>
    </row>
    <row r="34" spans="1:21">
      <c r="A34" s="118" t="str">
        <f>F_Inputs!A33</f>
        <v>HDD</v>
      </c>
      <c r="B34" s="118" t="str">
        <f>F_Inputs!B33</f>
        <v>CWW12_052TOT_PR24</v>
      </c>
      <c r="C34" s="118" t="str">
        <f>F_Inputs!C33</f>
        <v>EA/NRW environmental programme wastewater (WINEP/NEP) - Chemicals and emerging contaminants monitoring, investigations, options appraisals; (WINEP/NEP) wastewater capex - Total</v>
      </c>
      <c r="D34" s="118" t="str">
        <f>F_Inputs!D33</f>
        <v>£m</v>
      </c>
      <c r="E34" s="118" t="str">
        <f>F_Inputs!E33</f>
        <v>Price Review 2024</v>
      </c>
      <c r="F34" s="118">
        <f>F_Inputs!F33</f>
        <v>0</v>
      </c>
      <c r="G34" s="118">
        <f>F_Inputs!G33</f>
        <v>0</v>
      </c>
      <c r="H34" s="118" t="str">
        <f>F_Inputs!H33</f>
        <v/>
      </c>
      <c r="I34" s="118" t="str">
        <f>F_Inputs!I33</f>
        <v/>
      </c>
      <c r="J34" s="118" t="str">
        <f>F_Inputs!J33</f>
        <v/>
      </c>
      <c r="K34" s="118" t="str">
        <f>F_Inputs!K33</f>
        <v/>
      </c>
      <c r="L34" s="118" t="str">
        <f>F_Inputs!L33</f>
        <v/>
      </c>
      <c r="M34" s="118" t="str">
        <f t="shared" si="0"/>
        <v>CWW12_</v>
      </c>
      <c r="N34" s="117">
        <f t="shared" si="2"/>
        <v>0</v>
      </c>
      <c r="O34" s="117">
        <f t="shared" si="3"/>
        <v>0</v>
      </c>
      <c r="P34" s="117">
        <f t="shared" si="4"/>
        <v>0</v>
      </c>
      <c r="Q34" s="117">
        <f t="shared" si="5"/>
        <v>0</v>
      </c>
      <c r="R34" s="117">
        <f t="shared" si="6"/>
        <v>0</v>
      </c>
      <c r="S34" s="117">
        <f t="shared" si="7"/>
        <v>0</v>
      </c>
      <c r="T34" s="117">
        <f t="shared" si="8"/>
        <v>0</v>
      </c>
      <c r="U34" s="207">
        <f t="shared" si="9"/>
        <v>0</v>
      </c>
    </row>
    <row r="35" spans="1:21">
      <c r="A35" s="118" t="str">
        <f>F_Inputs!A34</f>
        <v>HDD</v>
      </c>
      <c r="B35" s="118" t="str">
        <f>F_Inputs!B34</f>
        <v>CWW17_052TOT_PR24</v>
      </c>
      <c r="C35" s="118" t="str">
        <f>F_Inputs!C34</f>
        <v>EA/NRW environmental programme wastewater (WINEP/NEP) - Chemicals and emerging contaminants monitoring, investigations, options appraisals; (WINEP/NEP) wastewater capex - Total</v>
      </c>
      <c r="D35" s="118" t="str">
        <f>F_Inputs!D34</f>
        <v>£m</v>
      </c>
      <c r="E35" s="118" t="str">
        <f>F_Inputs!E34</f>
        <v>Price Review 2024</v>
      </c>
      <c r="F35" s="118">
        <f>F_Inputs!F34</f>
        <v>0</v>
      </c>
      <c r="G35" s="118">
        <f>F_Inputs!G34</f>
        <v>0</v>
      </c>
      <c r="H35" s="118">
        <f>F_Inputs!H34</f>
        <v>0</v>
      </c>
      <c r="I35" s="118">
        <f>F_Inputs!I34</f>
        <v>0</v>
      </c>
      <c r="J35" s="118">
        <f>F_Inputs!J34</f>
        <v>0</v>
      </c>
      <c r="K35" s="118">
        <f>F_Inputs!K34</f>
        <v>0</v>
      </c>
      <c r="L35" s="118">
        <f>F_Inputs!L34</f>
        <v>0</v>
      </c>
      <c r="M35" s="118" t="str">
        <f t="shared" si="0"/>
        <v>CWW17_</v>
      </c>
      <c r="N35" s="117">
        <f t="shared" si="2"/>
        <v>0</v>
      </c>
      <c r="O35" s="117">
        <f t="shared" si="3"/>
        <v>0</v>
      </c>
      <c r="P35" s="117">
        <f t="shared" si="4"/>
        <v>0</v>
      </c>
      <c r="Q35" s="117">
        <f t="shared" si="5"/>
        <v>0</v>
      </c>
      <c r="R35" s="117">
        <f t="shared" si="6"/>
        <v>0</v>
      </c>
      <c r="S35" s="117">
        <f t="shared" si="7"/>
        <v>0</v>
      </c>
      <c r="T35" s="117">
        <f t="shared" si="8"/>
        <v>0</v>
      </c>
      <c r="U35" s="207">
        <f t="shared" si="9"/>
        <v>0</v>
      </c>
    </row>
    <row r="36" spans="1:21">
      <c r="A36" s="118" t="str">
        <f>F_Inputs!A35</f>
        <v>HDD</v>
      </c>
      <c r="B36" s="118" t="str">
        <f>F_Inputs!B35</f>
        <v>CWW12_053TOT_PR24</v>
      </c>
      <c r="C36" s="118" t="str">
        <f>F_Inputs!C35</f>
        <v>EA/NRW environmental programme wastewater (WINEP/NEP) - Chemicals and emerging contaminants monitoring, investigations, options appraisals; (WINEP/NEP) wastewater opex - Total</v>
      </c>
      <c r="D36" s="118" t="str">
        <f>F_Inputs!D35</f>
        <v>£m</v>
      </c>
      <c r="E36" s="118" t="str">
        <f>F_Inputs!E35</f>
        <v>Price Review 2024</v>
      </c>
      <c r="F36" s="118">
        <f>F_Inputs!F35</f>
        <v>0</v>
      </c>
      <c r="G36" s="118">
        <f>F_Inputs!G35</f>
        <v>0</v>
      </c>
      <c r="H36" s="118" t="str">
        <f>F_Inputs!H35</f>
        <v/>
      </c>
      <c r="I36" s="118" t="str">
        <f>F_Inputs!I35</f>
        <v/>
      </c>
      <c r="J36" s="118" t="str">
        <f>F_Inputs!J35</f>
        <v/>
      </c>
      <c r="K36" s="118" t="str">
        <f>F_Inputs!K35</f>
        <v/>
      </c>
      <c r="L36" s="118" t="str">
        <f>F_Inputs!L35</f>
        <v/>
      </c>
      <c r="M36" s="118" t="str">
        <f t="shared" si="0"/>
        <v>CWW12_</v>
      </c>
      <c r="N36" s="117">
        <f t="shared" si="2"/>
        <v>0</v>
      </c>
      <c r="O36" s="117">
        <f t="shared" si="3"/>
        <v>0</v>
      </c>
      <c r="P36" s="117">
        <f t="shared" si="4"/>
        <v>0</v>
      </c>
      <c r="Q36" s="117">
        <f t="shared" si="5"/>
        <v>0</v>
      </c>
      <c r="R36" s="117">
        <f t="shared" si="6"/>
        <v>0</v>
      </c>
      <c r="S36" s="117">
        <f t="shared" si="7"/>
        <v>0</v>
      </c>
      <c r="T36" s="117">
        <f t="shared" si="8"/>
        <v>0</v>
      </c>
      <c r="U36" s="207">
        <f t="shared" si="9"/>
        <v>0</v>
      </c>
    </row>
    <row r="37" spans="1:21">
      <c r="A37" s="118" t="str">
        <f>F_Inputs!A36</f>
        <v>HDD</v>
      </c>
      <c r="B37" s="118" t="str">
        <f>F_Inputs!B36</f>
        <v>CWW17_053TOT_PR24</v>
      </c>
      <c r="C37" s="118" t="str">
        <f>F_Inputs!C36</f>
        <v>EA/NRW environmental programme wastewater (WINEP/NEP) - Chemicals and emerging contaminants monitoring, investigations, options appraisals; (WINEP/NEP) wastewater opex - Total</v>
      </c>
      <c r="D37" s="118" t="str">
        <f>F_Inputs!D36</f>
        <v>£m</v>
      </c>
      <c r="E37" s="118" t="str">
        <f>F_Inputs!E36</f>
        <v>Price Review 2024</v>
      </c>
      <c r="F37" s="118">
        <f>F_Inputs!F36</f>
        <v>0</v>
      </c>
      <c r="G37" s="118">
        <f>F_Inputs!G36</f>
        <v>0</v>
      </c>
      <c r="H37" s="118">
        <f>F_Inputs!H36</f>
        <v>0</v>
      </c>
      <c r="I37" s="118">
        <f>F_Inputs!I36</f>
        <v>0</v>
      </c>
      <c r="J37" s="118">
        <f>F_Inputs!J36</f>
        <v>0</v>
      </c>
      <c r="K37" s="118">
        <f>F_Inputs!K36</f>
        <v>0</v>
      </c>
      <c r="L37" s="118">
        <f>F_Inputs!L36</f>
        <v>0</v>
      </c>
      <c r="M37" s="118" t="str">
        <f t="shared" si="0"/>
        <v>CWW17_</v>
      </c>
      <c r="N37" s="117">
        <f t="shared" si="2"/>
        <v>0</v>
      </c>
      <c r="O37" s="117">
        <f t="shared" si="3"/>
        <v>0</v>
      </c>
      <c r="P37" s="117">
        <f t="shared" si="4"/>
        <v>0</v>
      </c>
      <c r="Q37" s="117">
        <f t="shared" si="5"/>
        <v>0</v>
      </c>
      <c r="R37" s="117">
        <f t="shared" si="6"/>
        <v>0</v>
      </c>
      <c r="S37" s="117">
        <f t="shared" si="7"/>
        <v>0</v>
      </c>
      <c r="T37" s="117">
        <f t="shared" si="8"/>
        <v>0</v>
      </c>
      <c r="U37" s="207">
        <f t="shared" si="9"/>
        <v>0</v>
      </c>
    </row>
    <row r="38" spans="1:21">
      <c r="A38" s="118" t="str">
        <f>F_Inputs!A37</f>
        <v>HDD</v>
      </c>
      <c r="B38" s="118" t="str">
        <f>F_Inputs!B37</f>
        <v>CWW12_054TOT_PR24</v>
      </c>
      <c r="C38" s="118" t="str">
        <f>F_Inputs!C37</f>
        <v>EA/NRW environmental programme wastewater (WINEP/NEP) - Chemicals and emerging contaminants monitoring, investigations, options appraisals; (WINEP/NEP) wastewater totex - Total</v>
      </c>
      <c r="D38" s="118" t="str">
        <f>F_Inputs!D37</f>
        <v>£m</v>
      </c>
      <c r="E38" s="118" t="str">
        <f>F_Inputs!E37</f>
        <v>Price Review 2024</v>
      </c>
      <c r="F38" s="118">
        <f>F_Inputs!F37</f>
        <v>0</v>
      </c>
      <c r="G38" s="118">
        <f>F_Inputs!G37</f>
        <v>0</v>
      </c>
      <c r="H38" s="118" t="str">
        <f>F_Inputs!H37</f>
        <v/>
      </c>
      <c r="I38" s="118" t="str">
        <f>F_Inputs!I37</f>
        <v/>
      </c>
      <c r="J38" s="118" t="str">
        <f>F_Inputs!J37</f>
        <v/>
      </c>
      <c r="K38" s="118" t="str">
        <f>F_Inputs!K37</f>
        <v/>
      </c>
      <c r="L38" s="118" t="str">
        <f>F_Inputs!L37</f>
        <v/>
      </c>
      <c r="M38" s="118" t="str">
        <f t="shared" si="0"/>
        <v>CWW12_</v>
      </c>
      <c r="N38" s="117">
        <f t="shared" si="2"/>
        <v>0</v>
      </c>
      <c r="O38" s="117">
        <f t="shared" si="3"/>
        <v>0</v>
      </c>
      <c r="P38" s="117">
        <f t="shared" si="4"/>
        <v>0</v>
      </c>
      <c r="Q38" s="117">
        <f t="shared" si="5"/>
        <v>0</v>
      </c>
      <c r="R38" s="117">
        <f t="shared" si="6"/>
        <v>0</v>
      </c>
      <c r="S38" s="117">
        <f t="shared" si="7"/>
        <v>0</v>
      </c>
      <c r="T38" s="117">
        <f t="shared" si="8"/>
        <v>0</v>
      </c>
      <c r="U38" s="207">
        <f t="shared" si="9"/>
        <v>0</v>
      </c>
    </row>
    <row r="39" spans="1:21">
      <c r="A39" s="118" t="str">
        <f>F_Inputs!A38</f>
        <v>HDD</v>
      </c>
      <c r="B39" s="118" t="str">
        <f>F_Inputs!B38</f>
        <v>CWW17_054TOT_PR24</v>
      </c>
      <c r="C39" s="118" t="str">
        <f>F_Inputs!C38</f>
        <v>EA/NRW environmental programme wastewater (WINEP/NEP) - Chemicals and emerging contaminants monitoring, investigations, options appraisals; (WINEP/NEP) wastewater totex - Total</v>
      </c>
      <c r="D39" s="118" t="str">
        <f>F_Inputs!D38</f>
        <v>£m</v>
      </c>
      <c r="E39" s="118" t="str">
        <f>F_Inputs!E38</f>
        <v>Price Review 2024</v>
      </c>
      <c r="F39" s="118">
        <f>F_Inputs!F38</f>
        <v>0</v>
      </c>
      <c r="G39" s="118">
        <f>F_Inputs!G38</f>
        <v>0</v>
      </c>
      <c r="H39" s="118">
        <f>F_Inputs!H38</f>
        <v>0</v>
      </c>
      <c r="I39" s="118">
        <f>F_Inputs!I38</f>
        <v>0</v>
      </c>
      <c r="J39" s="118">
        <f>F_Inputs!J38</f>
        <v>0</v>
      </c>
      <c r="K39" s="118">
        <f>F_Inputs!K38</f>
        <v>0</v>
      </c>
      <c r="L39" s="118">
        <f>F_Inputs!L38</f>
        <v>0</v>
      </c>
      <c r="M39" s="118" t="str">
        <f t="shared" si="0"/>
        <v>CWW17_</v>
      </c>
      <c r="N39" s="117">
        <f t="shared" si="2"/>
        <v>0</v>
      </c>
      <c r="O39" s="117">
        <f t="shared" si="3"/>
        <v>0</v>
      </c>
      <c r="P39" s="117">
        <f t="shared" si="4"/>
        <v>0</v>
      </c>
      <c r="Q39" s="117">
        <f t="shared" si="5"/>
        <v>0</v>
      </c>
      <c r="R39" s="117">
        <f t="shared" si="6"/>
        <v>0</v>
      </c>
      <c r="S39" s="117">
        <f t="shared" si="7"/>
        <v>0</v>
      </c>
      <c r="T39" s="117">
        <f t="shared" si="8"/>
        <v>0</v>
      </c>
      <c r="U39" s="207">
        <f t="shared" si="9"/>
        <v>0</v>
      </c>
    </row>
    <row r="40" spans="1:21">
      <c r="A40" s="118" t="str">
        <f>F_Inputs!A39</f>
        <v>HDD</v>
      </c>
      <c r="B40" s="118" t="str">
        <f>F_Inputs!B39</f>
        <v>PR24_NETTOTEX_WASTE</v>
      </c>
      <c r="C40" s="118" t="str">
        <f>F_Inputs!C39</f>
        <v>PR24 BP Net totex - Total inc. accelerated &amp; transition costs</v>
      </c>
      <c r="D40" s="118" t="str">
        <f>F_Inputs!D39</f>
        <v>£m</v>
      </c>
      <c r="E40" s="118" t="str">
        <f>F_Inputs!E39</f>
        <v>Price Review 2024</v>
      </c>
      <c r="F40" s="118" t="str">
        <f>F_Inputs!F39</f>
        <v/>
      </c>
      <c r="G40" s="118" t="str">
        <f>F_Inputs!G39</f>
        <v/>
      </c>
      <c r="H40" s="118" t="str">
        <f>F_Inputs!H39</f>
        <v/>
      </c>
      <c r="I40" s="118" t="str">
        <f>F_Inputs!I39</f>
        <v/>
      </c>
      <c r="J40" s="118" t="str">
        <f>F_Inputs!J39</f>
        <v/>
      </c>
      <c r="K40" s="118" t="str">
        <f>F_Inputs!K39</f>
        <v/>
      </c>
      <c r="L40" s="118" t="str">
        <f>F_Inputs!L39</f>
        <v/>
      </c>
      <c r="M40" s="118" t="str">
        <f t="shared" ref="M40:M71" si="10">LEFT(B40,6)</f>
        <v>PR24_N</v>
      </c>
      <c r="N40" s="117">
        <f t="shared" si="2"/>
        <v>0</v>
      </c>
      <c r="O40" s="117">
        <f t="shared" si="3"/>
        <v>0</v>
      </c>
      <c r="P40" s="117">
        <f t="shared" si="4"/>
        <v>0</v>
      </c>
      <c r="Q40" s="117">
        <f t="shared" si="5"/>
        <v>0</v>
      </c>
      <c r="R40" s="117">
        <f t="shared" si="6"/>
        <v>0</v>
      </c>
      <c r="S40" s="117">
        <f t="shared" si="7"/>
        <v>0</v>
      </c>
      <c r="T40" s="117">
        <f t="shared" si="8"/>
        <v>0</v>
      </c>
      <c r="U40" s="207">
        <f t="shared" si="9"/>
        <v>0</v>
      </c>
    </row>
    <row r="41" spans="1:21">
      <c r="A41" s="118" t="str">
        <f>F_Inputs!A40</f>
        <v>NES</v>
      </c>
      <c r="B41" s="118" t="str">
        <f>F_Inputs!B40</f>
        <v>CWW3_052TOT_PR24</v>
      </c>
      <c r="C41" s="118" t="str">
        <f>F_Inputs!C40</f>
        <v>EA/NRW environmental programme wastewater (WINEP/NEP) - Chemicals and emerging contaminants monitoring, investigations, options appraisals; (WINEP/NEP) wastewater capex - Total</v>
      </c>
      <c r="D41" s="118" t="str">
        <f>F_Inputs!D40</f>
        <v>£m</v>
      </c>
      <c r="E41" s="118" t="str">
        <f>F_Inputs!E40</f>
        <v>Price Review 2024</v>
      </c>
      <c r="F41" s="118">
        <f>F_Inputs!F40</f>
        <v>2.1000000000000001E-2</v>
      </c>
      <c r="G41" s="118">
        <f>F_Inputs!G40</f>
        <v>0.03</v>
      </c>
      <c r="H41" s="118">
        <f>F_Inputs!H40</f>
        <v>2.6019999999999999</v>
      </c>
      <c r="I41" s="118">
        <f>F_Inputs!I40</f>
        <v>2.6019999999999999</v>
      </c>
      <c r="J41" s="118">
        <f>F_Inputs!J40</f>
        <v>0</v>
      </c>
      <c r="K41" s="118">
        <f>F_Inputs!K40</f>
        <v>0</v>
      </c>
      <c r="L41" s="118">
        <f>F_Inputs!L40</f>
        <v>0</v>
      </c>
      <c r="M41" s="118" t="str">
        <f t="shared" si="10"/>
        <v>CWW3_0</v>
      </c>
      <c r="N41" s="117">
        <f t="shared" si="2"/>
        <v>0</v>
      </c>
      <c r="O41" s="117">
        <f t="shared" si="3"/>
        <v>0</v>
      </c>
      <c r="P41" s="117">
        <f t="shared" si="4"/>
        <v>2.6019999999999999</v>
      </c>
      <c r="Q41" s="117">
        <f t="shared" si="5"/>
        <v>2.6019999999999999</v>
      </c>
      <c r="R41" s="117">
        <f t="shared" si="6"/>
        <v>0</v>
      </c>
      <c r="S41" s="117">
        <f t="shared" si="7"/>
        <v>0</v>
      </c>
      <c r="T41" s="117">
        <f t="shared" si="8"/>
        <v>0</v>
      </c>
      <c r="U41" s="207">
        <f t="shared" si="9"/>
        <v>5.2039999999999997</v>
      </c>
    </row>
    <row r="42" spans="1:21">
      <c r="A42" s="118" t="str">
        <f>F_Inputs!A41</f>
        <v>NES</v>
      </c>
      <c r="B42" s="118" t="str">
        <f>F_Inputs!B41</f>
        <v>CWW3_053TOT_PR24</v>
      </c>
      <c r="C42" s="118" t="str">
        <f>F_Inputs!C41</f>
        <v>EA/NRW environmental programme wastewater (WINEP/NEP) - Chemicals and emerging contaminants monitoring, investigations, options appraisals; (WINEP/NEP) wastewater opex - Total</v>
      </c>
      <c r="D42" s="118" t="str">
        <f>F_Inputs!D41</f>
        <v>£m</v>
      </c>
      <c r="E42" s="118" t="str">
        <f>F_Inputs!E41</f>
        <v>Price Review 2024</v>
      </c>
      <c r="F42" s="118">
        <f>F_Inputs!F41</f>
        <v>0.16700000000000001</v>
      </c>
      <c r="G42" s="118">
        <f>F_Inputs!G41</f>
        <v>0</v>
      </c>
      <c r="H42" s="118">
        <f>F_Inputs!H41</f>
        <v>0</v>
      </c>
      <c r="I42" s="118">
        <f>F_Inputs!I41</f>
        <v>0</v>
      </c>
      <c r="J42" s="118">
        <f>F_Inputs!J41</f>
        <v>0</v>
      </c>
      <c r="K42" s="118">
        <f>F_Inputs!K41</f>
        <v>0</v>
      </c>
      <c r="L42" s="118">
        <f>F_Inputs!L41</f>
        <v>0</v>
      </c>
      <c r="M42" s="118" t="str">
        <f t="shared" si="10"/>
        <v>CWW3_0</v>
      </c>
      <c r="N42" s="117">
        <f t="shared" si="2"/>
        <v>0</v>
      </c>
      <c r="O42" s="117">
        <f t="shared" si="3"/>
        <v>0</v>
      </c>
      <c r="P42" s="117">
        <f t="shared" si="4"/>
        <v>0</v>
      </c>
      <c r="Q42" s="117">
        <f t="shared" si="5"/>
        <v>0</v>
      </c>
      <c r="R42" s="117">
        <f t="shared" si="6"/>
        <v>0</v>
      </c>
      <c r="S42" s="117">
        <f t="shared" si="7"/>
        <v>0</v>
      </c>
      <c r="T42" s="117">
        <f t="shared" si="8"/>
        <v>0</v>
      </c>
      <c r="U42" s="207">
        <f t="shared" si="9"/>
        <v>0</v>
      </c>
    </row>
    <row r="43" spans="1:21">
      <c r="A43" s="118" t="str">
        <f>F_Inputs!A42</f>
        <v>NES</v>
      </c>
      <c r="B43" s="118" t="str">
        <f>F_Inputs!B42</f>
        <v>CWW3_054TOT_PR24</v>
      </c>
      <c r="C43" s="118" t="str">
        <f>F_Inputs!C42</f>
        <v>EA/NRW environmental programme wastewater (WINEP/NEP) - Chemicals and emerging contaminants monitoring, investigations, options appraisals; (WINEP/NEP) wastewater totex - Total</v>
      </c>
      <c r="D43" s="118" t="str">
        <f>F_Inputs!D42</f>
        <v>£m</v>
      </c>
      <c r="E43" s="118" t="str">
        <f>F_Inputs!E42</f>
        <v>Price Review 2024</v>
      </c>
      <c r="F43" s="118">
        <f>F_Inputs!F42</f>
        <v>0.188</v>
      </c>
      <c r="G43" s="118">
        <f>F_Inputs!G42</f>
        <v>0.03</v>
      </c>
      <c r="H43" s="118">
        <f>F_Inputs!H42</f>
        <v>2.6019999999999999</v>
      </c>
      <c r="I43" s="118">
        <f>F_Inputs!I42</f>
        <v>2.6019999999999999</v>
      </c>
      <c r="J43" s="118">
        <f>F_Inputs!J42</f>
        <v>0</v>
      </c>
      <c r="K43" s="118">
        <f>F_Inputs!K42</f>
        <v>0</v>
      </c>
      <c r="L43" s="118">
        <f>F_Inputs!L42</f>
        <v>0</v>
      </c>
      <c r="M43" s="118" t="str">
        <f t="shared" si="10"/>
        <v>CWW3_0</v>
      </c>
      <c r="N43" s="117">
        <f t="shared" si="2"/>
        <v>0</v>
      </c>
      <c r="O43" s="117">
        <f t="shared" si="3"/>
        <v>0</v>
      </c>
      <c r="P43" s="117">
        <f t="shared" si="4"/>
        <v>2.6019999999999999</v>
      </c>
      <c r="Q43" s="117">
        <f t="shared" si="5"/>
        <v>2.6019999999999999</v>
      </c>
      <c r="R43" s="117">
        <f t="shared" si="6"/>
        <v>0</v>
      </c>
      <c r="S43" s="117">
        <f t="shared" si="7"/>
        <v>0</v>
      </c>
      <c r="T43" s="117">
        <f t="shared" si="8"/>
        <v>0</v>
      </c>
      <c r="U43" s="207">
        <f t="shared" si="9"/>
        <v>5.2039999999999997</v>
      </c>
    </row>
    <row r="44" spans="1:21">
      <c r="A44" s="118" t="str">
        <f>F_Inputs!A43</f>
        <v>NES</v>
      </c>
      <c r="B44" s="118" t="str">
        <f>F_Inputs!B43</f>
        <v>BN1603_PR24</v>
      </c>
      <c r="C44" s="118" t="str">
        <f>F_Inputs!C43</f>
        <v>Sewage treatment data - Current population equivalent served by STWs</v>
      </c>
      <c r="D44" s="118" t="str">
        <f>F_Inputs!D43</f>
        <v>000s</v>
      </c>
      <c r="E44" s="118" t="str">
        <f>F_Inputs!E43</f>
        <v>Price Review 2024</v>
      </c>
      <c r="F44" s="118">
        <f>F_Inputs!F43</f>
        <v>2832.5329999999999</v>
      </c>
      <c r="G44" s="118">
        <f>F_Inputs!G43</f>
        <v>2911.4040393</v>
      </c>
      <c r="H44" s="118">
        <f>F_Inputs!H43</f>
        <v>2937.2584393100001</v>
      </c>
      <c r="I44" s="118">
        <f>F_Inputs!I43</f>
        <v>2961.0601993199998</v>
      </c>
      <c r="J44" s="118">
        <f>F_Inputs!J43</f>
        <v>2984.86195933</v>
      </c>
      <c r="K44" s="118">
        <f>F_Inputs!K43</f>
        <v>3008.6637193400002</v>
      </c>
      <c r="L44" s="118">
        <f>F_Inputs!L43</f>
        <v>3032.4654793499999</v>
      </c>
      <c r="M44" s="118" t="str">
        <f t="shared" si="10"/>
        <v>BN1603</v>
      </c>
      <c r="N44" s="117">
        <f t="shared" si="2"/>
        <v>2832.5329999999999</v>
      </c>
      <c r="O44" s="117">
        <f t="shared" si="3"/>
        <v>2911.4040393</v>
      </c>
      <c r="P44" s="117">
        <f t="shared" si="4"/>
        <v>2937.2584393100001</v>
      </c>
      <c r="Q44" s="117">
        <f t="shared" si="5"/>
        <v>2961.0601993199998</v>
      </c>
      <c r="R44" s="117">
        <f t="shared" si="6"/>
        <v>2984.86195933</v>
      </c>
      <c r="S44" s="117">
        <f t="shared" si="7"/>
        <v>3008.6637193400002</v>
      </c>
      <c r="T44" s="117">
        <f t="shared" si="8"/>
        <v>3032.4654793499999</v>
      </c>
      <c r="U44" s="207">
        <f t="shared" si="9"/>
        <v>20668.246835949998</v>
      </c>
    </row>
    <row r="45" spans="1:21">
      <c r="A45" s="118" t="str">
        <f>F_Inputs!A44</f>
        <v>NES</v>
      </c>
      <c r="B45" s="118" t="str">
        <f>F_Inputs!B44</f>
        <v>CWW12_052TOT_PR24</v>
      </c>
      <c r="C45" s="118" t="str">
        <f>F_Inputs!C44</f>
        <v>EA/NRW environmental programme wastewater (WINEP/NEP) - Chemicals and emerging contaminants monitoring, investigations, options appraisals; (WINEP/NEP) wastewater capex - Total</v>
      </c>
      <c r="D45" s="118" t="str">
        <f>F_Inputs!D44</f>
        <v>£m</v>
      </c>
      <c r="E45" s="118" t="str">
        <f>F_Inputs!E44</f>
        <v>Price Review 2024</v>
      </c>
      <c r="F45" s="118">
        <f>F_Inputs!F44</f>
        <v>0.03</v>
      </c>
      <c r="G45" s="118">
        <f>F_Inputs!G44</f>
        <v>0.03</v>
      </c>
      <c r="H45" s="118" t="str">
        <f>F_Inputs!H44</f>
        <v/>
      </c>
      <c r="I45" s="118" t="str">
        <f>F_Inputs!I44</f>
        <v/>
      </c>
      <c r="J45" s="118" t="str">
        <f>F_Inputs!J44</f>
        <v/>
      </c>
      <c r="K45" s="118" t="str">
        <f>F_Inputs!K44</f>
        <v/>
      </c>
      <c r="L45" s="118" t="str">
        <f>F_Inputs!L44</f>
        <v/>
      </c>
      <c r="M45" s="118" t="str">
        <f t="shared" si="10"/>
        <v>CWW12_</v>
      </c>
      <c r="N45" s="117">
        <f t="shared" si="2"/>
        <v>0.03</v>
      </c>
      <c r="O45" s="117">
        <f t="shared" si="3"/>
        <v>0.03</v>
      </c>
      <c r="P45" s="117">
        <f t="shared" si="4"/>
        <v>0</v>
      </c>
      <c r="Q45" s="117">
        <f t="shared" si="5"/>
        <v>0</v>
      </c>
      <c r="R45" s="117">
        <f t="shared" si="6"/>
        <v>0</v>
      </c>
      <c r="S45" s="117">
        <f t="shared" si="7"/>
        <v>0</v>
      </c>
      <c r="T45" s="117">
        <f t="shared" si="8"/>
        <v>0</v>
      </c>
      <c r="U45" s="207">
        <f t="shared" si="9"/>
        <v>0.06</v>
      </c>
    </row>
    <row r="46" spans="1:21">
      <c r="A46" s="118" t="str">
        <f>F_Inputs!A45</f>
        <v>NES</v>
      </c>
      <c r="B46" s="118" t="str">
        <f>F_Inputs!B45</f>
        <v>CWW17_052TOT_PR24</v>
      </c>
      <c r="C46" s="118" t="str">
        <f>F_Inputs!C45</f>
        <v>EA/NRW environmental programme wastewater (WINEP/NEP) - Chemicals and emerging contaminants monitoring, investigations, options appraisals; (WINEP/NEP) wastewater capex - Total</v>
      </c>
      <c r="D46" s="118" t="str">
        <f>F_Inputs!D45</f>
        <v>£m</v>
      </c>
      <c r="E46" s="118" t="str">
        <f>F_Inputs!E45</f>
        <v>Price Review 2024</v>
      </c>
      <c r="F46" s="118">
        <f>F_Inputs!F45</f>
        <v>0</v>
      </c>
      <c r="G46" s="118">
        <f>F_Inputs!G45</f>
        <v>0</v>
      </c>
      <c r="H46" s="118">
        <f>F_Inputs!H45</f>
        <v>0</v>
      </c>
      <c r="I46" s="118">
        <f>F_Inputs!I45</f>
        <v>0</v>
      </c>
      <c r="J46" s="118">
        <f>F_Inputs!J45</f>
        <v>0</v>
      </c>
      <c r="K46" s="118">
        <f>F_Inputs!K45</f>
        <v>0</v>
      </c>
      <c r="L46" s="118">
        <f>F_Inputs!L45</f>
        <v>0</v>
      </c>
      <c r="M46" s="118" t="str">
        <f t="shared" si="10"/>
        <v>CWW17_</v>
      </c>
      <c r="N46" s="117">
        <f t="shared" si="2"/>
        <v>0</v>
      </c>
      <c r="O46" s="117">
        <f t="shared" si="3"/>
        <v>0</v>
      </c>
      <c r="P46" s="117">
        <f t="shared" si="4"/>
        <v>0</v>
      </c>
      <c r="Q46" s="117">
        <f t="shared" si="5"/>
        <v>0</v>
      </c>
      <c r="R46" s="117">
        <f t="shared" si="6"/>
        <v>0</v>
      </c>
      <c r="S46" s="117">
        <f t="shared" si="7"/>
        <v>0</v>
      </c>
      <c r="T46" s="117">
        <f t="shared" si="8"/>
        <v>0</v>
      </c>
      <c r="U46" s="207">
        <f t="shared" si="9"/>
        <v>0</v>
      </c>
    </row>
    <row r="47" spans="1:21">
      <c r="A47" s="118" t="str">
        <f>F_Inputs!A46</f>
        <v>NES</v>
      </c>
      <c r="B47" s="118" t="str">
        <f>F_Inputs!B46</f>
        <v>CWW12_053TOT_PR24</v>
      </c>
      <c r="C47" s="118" t="str">
        <f>F_Inputs!C46</f>
        <v>EA/NRW environmental programme wastewater (WINEP/NEP) - Chemicals and emerging contaminants monitoring, investigations, options appraisals; (WINEP/NEP) wastewater opex - Total</v>
      </c>
      <c r="D47" s="118" t="str">
        <f>F_Inputs!D46</f>
        <v>£m</v>
      </c>
      <c r="E47" s="118" t="str">
        <f>F_Inputs!E46</f>
        <v>Price Review 2024</v>
      </c>
      <c r="F47" s="118">
        <f>F_Inputs!F46</f>
        <v>0</v>
      </c>
      <c r="G47" s="118">
        <f>F_Inputs!G46</f>
        <v>0</v>
      </c>
      <c r="H47" s="118" t="str">
        <f>F_Inputs!H46</f>
        <v/>
      </c>
      <c r="I47" s="118" t="str">
        <f>F_Inputs!I46</f>
        <v/>
      </c>
      <c r="J47" s="118" t="str">
        <f>F_Inputs!J46</f>
        <v/>
      </c>
      <c r="K47" s="118" t="str">
        <f>F_Inputs!K46</f>
        <v/>
      </c>
      <c r="L47" s="118" t="str">
        <f>F_Inputs!L46</f>
        <v/>
      </c>
      <c r="M47" s="118" t="str">
        <f t="shared" si="10"/>
        <v>CWW12_</v>
      </c>
      <c r="N47" s="117">
        <f t="shared" si="2"/>
        <v>0</v>
      </c>
      <c r="O47" s="117">
        <f t="shared" si="3"/>
        <v>0</v>
      </c>
      <c r="P47" s="117">
        <f t="shared" si="4"/>
        <v>0</v>
      </c>
      <c r="Q47" s="117">
        <f t="shared" si="5"/>
        <v>0</v>
      </c>
      <c r="R47" s="117">
        <f t="shared" si="6"/>
        <v>0</v>
      </c>
      <c r="S47" s="117">
        <f t="shared" si="7"/>
        <v>0</v>
      </c>
      <c r="T47" s="117">
        <f t="shared" si="8"/>
        <v>0</v>
      </c>
      <c r="U47" s="207">
        <f t="shared" si="9"/>
        <v>0</v>
      </c>
    </row>
    <row r="48" spans="1:21">
      <c r="A48" s="118" t="str">
        <f>F_Inputs!A47</f>
        <v>NES</v>
      </c>
      <c r="B48" s="118" t="str">
        <f>F_Inputs!B47</f>
        <v>CWW17_053TOT_PR24</v>
      </c>
      <c r="C48" s="118" t="str">
        <f>F_Inputs!C47</f>
        <v>EA/NRW environmental programme wastewater (WINEP/NEP) - Chemicals and emerging contaminants monitoring, investigations, options appraisals; (WINEP/NEP) wastewater opex - Total</v>
      </c>
      <c r="D48" s="118" t="str">
        <f>F_Inputs!D47</f>
        <v>£m</v>
      </c>
      <c r="E48" s="118" t="str">
        <f>F_Inputs!E47</f>
        <v>Price Review 2024</v>
      </c>
      <c r="F48" s="118">
        <f>F_Inputs!F47</f>
        <v>0</v>
      </c>
      <c r="G48" s="118">
        <f>F_Inputs!G47</f>
        <v>0</v>
      </c>
      <c r="H48" s="118">
        <f>F_Inputs!H47</f>
        <v>0</v>
      </c>
      <c r="I48" s="118">
        <f>F_Inputs!I47</f>
        <v>0</v>
      </c>
      <c r="J48" s="118">
        <f>F_Inputs!J47</f>
        <v>0</v>
      </c>
      <c r="K48" s="118">
        <f>F_Inputs!K47</f>
        <v>0</v>
      </c>
      <c r="L48" s="118">
        <f>F_Inputs!L47</f>
        <v>0</v>
      </c>
      <c r="M48" s="118" t="str">
        <f t="shared" si="10"/>
        <v>CWW17_</v>
      </c>
      <c r="N48" s="117">
        <f t="shared" si="2"/>
        <v>0</v>
      </c>
      <c r="O48" s="117">
        <f t="shared" si="3"/>
        <v>0</v>
      </c>
      <c r="P48" s="117">
        <f t="shared" si="4"/>
        <v>0</v>
      </c>
      <c r="Q48" s="117">
        <f t="shared" si="5"/>
        <v>0</v>
      </c>
      <c r="R48" s="117">
        <f t="shared" si="6"/>
        <v>0</v>
      </c>
      <c r="S48" s="117">
        <f t="shared" si="7"/>
        <v>0</v>
      </c>
      <c r="T48" s="117">
        <f t="shared" si="8"/>
        <v>0</v>
      </c>
      <c r="U48" s="207">
        <f t="shared" si="9"/>
        <v>0</v>
      </c>
    </row>
    <row r="49" spans="1:21">
      <c r="A49" s="118" t="str">
        <f>F_Inputs!A48</f>
        <v>NES</v>
      </c>
      <c r="B49" s="118" t="str">
        <f>F_Inputs!B48</f>
        <v>CWW12_054TOT_PR24</v>
      </c>
      <c r="C49" s="118" t="str">
        <f>F_Inputs!C48</f>
        <v>EA/NRW environmental programme wastewater (WINEP/NEP) - Chemicals and emerging contaminants monitoring, investigations, options appraisals; (WINEP/NEP) wastewater totex - Total</v>
      </c>
      <c r="D49" s="118" t="str">
        <f>F_Inputs!D48</f>
        <v>£m</v>
      </c>
      <c r="E49" s="118" t="str">
        <f>F_Inputs!E48</f>
        <v>Price Review 2024</v>
      </c>
      <c r="F49" s="118">
        <f>F_Inputs!F48</f>
        <v>0.03</v>
      </c>
      <c r="G49" s="118">
        <f>F_Inputs!G48</f>
        <v>0.03</v>
      </c>
      <c r="H49" s="118" t="str">
        <f>F_Inputs!H48</f>
        <v/>
      </c>
      <c r="I49" s="118" t="str">
        <f>F_Inputs!I48</f>
        <v/>
      </c>
      <c r="J49" s="118" t="str">
        <f>F_Inputs!J48</f>
        <v/>
      </c>
      <c r="K49" s="118" t="str">
        <f>F_Inputs!K48</f>
        <v/>
      </c>
      <c r="L49" s="118" t="str">
        <f>F_Inputs!L48</f>
        <v/>
      </c>
      <c r="M49" s="118" t="str">
        <f t="shared" si="10"/>
        <v>CWW12_</v>
      </c>
      <c r="N49" s="117">
        <f t="shared" si="2"/>
        <v>0.03</v>
      </c>
      <c r="O49" s="117">
        <f t="shared" si="3"/>
        <v>0.03</v>
      </c>
      <c r="P49" s="117">
        <f t="shared" si="4"/>
        <v>0</v>
      </c>
      <c r="Q49" s="117">
        <f t="shared" si="5"/>
        <v>0</v>
      </c>
      <c r="R49" s="117">
        <f t="shared" si="6"/>
        <v>0</v>
      </c>
      <c r="S49" s="117">
        <f t="shared" si="7"/>
        <v>0</v>
      </c>
      <c r="T49" s="117">
        <f t="shared" si="8"/>
        <v>0</v>
      </c>
      <c r="U49" s="207">
        <f t="shared" si="9"/>
        <v>0.06</v>
      </c>
    </row>
    <row r="50" spans="1:21">
      <c r="A50" s="118" t="str">
        <f>F_Inputs!A49</f>
        <v>NES</v>
      </c>
      <c r="B50" s="118" t="str">
        <f>F_Inputs!B49</f>
        <v>CWW17_054TOT_PR24</v>
      </c>
      <c r="C50" s="118" t="str">
        <f>F_Inputs!C49</f>
        <v>EA/NRW environmental programme wastewater (WINEP/NEP) - Chemicals and emerging contaminants monitoring, investigations, options appraisals; (WINEP/NEP) wastewater totex - Total</v>
      </c>
      <c r="D50" s="118" t="str">
        <f>F_Inputs!D49</f>
        <v>£m</v>
      </c>
      <c r="E50" s="118" t="str">
        <f>F_Inputs!E49</f>
        <v>Price Review 2024</v>
      </c>
      <c r="F50" s="118">
        <f>F_Inputs!F49</f>
        <v>0</v>
      </c>
      <c r="G50" s="118">
        <f>F_Inputs!G49</f>
        <v>0</v>
      </c>
      <c r="H50" s="118">
        <f>F_Inputs!H49</f>
        <v>0</v>
      </c>
      <c r="I50" s="118">
        <f>F_Inputs!I49</f>
        <v>0</v>
      </c>
      <c r="J50" s="118">
        <f>F_Inputs!J49</f>
        <v>0</v>
      </c>
      <c r="K50" s="118">
        <f>F_Inputs!K49</f>
        <v>0</v>
      </c>
      <c r="L50" s="118">
        <f>F_Inputs!L49</f>
        <v>0</v>
      </c>
      <c r="M50" s="118" t="str">
        <f t="shared" si="10"/>
        <v>CWW17_</v>
      </c>
      <c r="N50" s="117">
        <f t="shared" si="2"/>
        <v>0</v>
      </c>
      <c r="O50" s="117">
        <f t="shared" si="3"/>
        <v>0</v>
      </c>
      <c r="P50" s="117">
        <f t="shared" si="4"/>
        <v>0</v>
      </c>
      <c r="Q50" s="117">
        <f t="shared" si="5"/>
        <v>0</v>
      </c>
      <c r="R50" s="117">
        <f t="shared" si="6"/>
        <v>0</v>
      </c>
      <c r="S50" s="117">
        <f t="shared" si="7"/>
        <v>0</v>
      </c>
      <c r="T50" s="117">
        <f t="shared" si="8"/>
        <v>0</v>
      </c>
      <c r="U50" s="207">
        <f t="shared" si="9"/>
        <v>0</v>
      </c>
    </row>
    <row r="51" spans="1:21">
      <c r="A51" s="118" t="str">
        <f>F_Inputs!A50</f>
        <v>NES</v>
      </c>
      <c r="B51" s="118" t="str">
        <f>F_Inputs!B50</f>
        <v>PR24_NETTOTEX_WASTE</v>
      </c>
      <c r="C51" s="118" t="str">
        <f>F_Inputs!C50</f>
        <v>PR24 BP Net totex - Total inc. accelerated &amp; transition costs</v>
      </c>
      <c r="D51" s="118" t="str">
        <f>F_Inputs!D50</f>
        <v>£m</v>
      </c>
      <c r="E51" s="118" t="str">
        <f>F_Inputs!E50</f>
        <v>Price Review 2024</v>
      </c>
      <c r="F51" s="118" t="str">
        <f>F_Inputs!F50</f>
        <v/>
      </c>
      <c r="G51" s="118" t="str">
        <f>F_Inputs!G50</f>
        <v/>
      </c>
      <c r="H51" s="118" t="str">
        <f>F_Inputs!H50</f>
        <v/>
      </c>
      <c r="I51" s="118" t="str">
        <f>F_Inputs!I50</f>
        <v/>
      </c>
      <c r="J51" s="118" t="str">
        <f>F_Inputs!J50</f>
        <v/>
      </c>
      <c r="K51" s="118" t="str">
        <f>F_Inputs!K50</f>
        <v/>
      </c>
      <c r="L51" s="118" t="str">
        <f>F_Inputs!L50</f>
        <v/>
      </c>
      <c r="M51" s="118" t="str">
        <f t="shared" si="10"/>
        <v>PR24_N</v>
      </c>
      <c r="N51" s="117">
        <f t="shared" si="2"/>
        <v>0</v>
      </c>
      <c r="O51" s="117">
        <f t="shared" si="3"/>
        <v>0</v>
      </c>
      <c r="P51" s="117">
        <f t="shared" si="4"/>
        <v>0</v>
      </c>
      <c r="Q51" s="117">
        <f t="shared" si="5"/>
        <v>0</v>
      </c>
      <c r="R51" s="117">
        <f t="shared" si="6"/>
        <v>0</v>
      </c>
      <c r="S51" s="117">
        <f t="shared" si="7"/>
        <v>0</v>
      </c>
      <c r="T51" s="117">
        <f t="shared" si="8"/>
        <v>0</v>
      </c>
      <c r="U51" s="207">
        <f t="shared" si="9"/>
        <v>0</v>
      </c>
    </row>
    <row r="52" spans="1:21">
      <c r="A52" s="118" t="str">
        <f>F_Inputs!A51</f>
        <v>SVE</v>
      </c>
      <c r="B52" s="118" t="str">
        <f>F_Inputs!B51</f>
        <v>CWW3_052TOT_PR24</v>
      </c>
      <c r="C52" s="118" t="str">
        <f>F_Inputs!C51</f>
        <v>EA/NRW environmental programme wastewater (WINEP/NEP) - Chemicals and emerging contaminants monitoring, investigations, options appraisals; (WINEP/NEP) wastewater capex - Total</v>
      </c>
      <c r="D52" s="118" t="str">
        <f>F_Inputs!D51</f>
        <v>£m</v>
      </c>
      <c r="E52" s="118" t="str">
        <f>F_Inputs!E51</f>
        <v>Price Review 2024</v>
      </c>
      <c r="F52" s="118">
        <f>F_Inputs!F51</f>
        <v>0.433</v>
      </c>
      <c r="G52" s="118">
        <f>F_Inputs!G51</f>
        <v>1.9317451020150891</v>
      </c>
      <c r="H52" s="118">
        <f>F_Inputs!H51</f>
        <v>1.0951869413392581</v>
      </c>
      <c r="I52" s="118">
        <f>F_Inputs!I51</f>
        <v>2.62753219832075</v>
      </c>
      <c r="J52" s="118">
        <f>F_Inputs!J51</f>
        <v>0.18554710569434299</v>
      </c>
      <c r="K52" s="118">
        <f>F_Inputs!K51</f>
        <v>0.186676871668983</v>
      </c>
      <c r="L52" s="118">
        <f>F_Inputs!L51</f>
        <v>0.188</v>
      </c>
      <c r="M52" s="118" t="str">
        <f t="shared" si="10"/>
        <v>CWW3_0</v>
      </c>
      <c r="N52" s="117">
        <f t="shared" si="2"/>
        <v>0</v>
      </c>
      <c r="O52" s="117">
        <f t="shared" si="3"/>
        <v>0</v>
      </c>
      <c r="P52" s="117">
        <f t="shared" si="4"/>
        <v>1.0951869413392581</v>
      </c>
      <c r="Q52" s="117">
        <f t="shared" si="5"/>
        <v>2.62753219832075</v>
      </c>
      <c r="R52" s="117">
        <f t="shared" si="6"/>
        <v>0.18554710569434299</v>
      </c>
      <c r="S52" s="117">
        <f t="shared" si="7"/>
        <v>0.186676871668983</v>
      </c>
      <c r="T52" s="117">
        <f t="shared" si="8"/>
        <v>0.188</v>
      </c>
      <c r="U52" s="207">
        <f t="shared" si="9"/>
        <v>4.2829431170233336</v>
      </c>
    </row>
    <row r="53" spans="1:21">
      <c r="A53" s="118" t="str">
        <f>F_Inputs!A52</f>
        <v>SVE</v>
      </c>
      <c r="B53" s="118" t="str">
        <f>F_Inputs!B52</f>
        <v>CWW3_053TOT_PR24</v>
      </c>
      <c r="C53" s="118" t="str">
        <f>F_Inputs!C52</f>
        <v>EA/NRW environmental programme wastewater (WINEP/NEP) - Chemicals and emerging contaminants monitoring, investigations, options appraisals; (WINEP/NEP) wastewater opex - Total</v>
      </c>
      <c r="D53" s="118" t="str">
        <f>F_Inputs!D52</f>
        <v>£m</v>
      </c>
      <c r="E53" s="118" t="str">
        <f>F_Inputs!E52</f>
        <v>Price Review 2024</v>
      </c>
      <c r="F53" s="118">
        <f>F_Inputs!F52</f>
        <v>0</v>
      </c>
      <c r="G53" s="118">
        <f>F_Inputs!G52</f>
        <v>0</v>
      </c>
      <c r="H53" s="118">
        <f>F_Inputs!H52</f>
        <v>0</v>
      </c>
      <c r="I53" s="118">
        <f>F_Inputs!I52</f>
        <v>0</v>
      </c>
      <c r="J53" s="118">
        <f>F_Inputs!J52</f>
        <v>0</v>
      </c>
      <c r="K53" s="118">
        <f>F_Inputs!K52</f>
        <v>0</v>
      </c>
      <c r="L53" s="118">
        <f>F_Inputs!L52</f>
        <v>0</v>
      </c>
      <c r="M53" s="118" t="str">
        <f t="shared" si="10"/>
        <v>CWW3_0</v>
      </c>
      <c r="N53" s="117">
        <f t="shared" si="2"/>
        <v>0</v>
      </c>
      <c r="O53" s="117">
        <f t="shared" si="3"/>
        <v>0</v>
      </c>
      <c r="P53" s="117">
        <f t="shared" si="4"/>
        <v>0</v>
      </c>
      <c r="Q53" s="117">
        <f t="shared" si="5"/>
        <v>0</v>
      </c>
      <c r="R53" s="117">
        <f t="shared" si="6"/>
        <v>0</v>
      </c>
      <c r="S53" s="117">
        <f t="shared" si="7"/>
        <v>0</v>
      </c>
      <c r="T53" s="117">
        <f t="shared" si="8"/>
        <v>0</v>
      </c>
      <c r="U53" s="207">
        <f t="shared" si="9"/>
        <v>0</v>
      </c>
    </row>
    <row r="54" spans="1:21">
      <c r="A54" s="118" t="str">
        <f>F_Inputs!A53</f>
        <v>SVE</v>
      </c>
      <c r="B54" s="118" t="str">
        <f>F_Inputs!B53</f>
        <v>CWW3_054TOT_PR24</v>
      </c>
      <c r="C54" s="118" t="str">
        <f>F_Inputs!C53</f>
        <v>EA/NRW environmental programme wastewater (WINEP/NEP) - Chemicals and emerging contaminants monitoring, investigations, options appraisals; (WINEP/NEP) wastewater totex - Total</v>
      </c>
      <c r="D54" s="118" t="str">
        <f>F_Inputs!D53</f>
        <v>£m</v>
      </c>
      <c r="E54" s="118" t="str">
        <f>F_Inputs!E53</f>
        <v>Price Review 2024</v>
      </c>
      <c r="F54" s="118">
        <f>F_Inputs!F53</f>
        <v>0.433</v>
      </c>
      <c r="G54" s="118">
        <f>F_Inputs!G53</f>
        <v>1.9317451020150891</v>
      </c>
      <c r="H54" s="118">
        <f>F_Inputs!H53</f>
        <v>1.0951869413392581</v>
      </c>
      <c r="I54" s="118">
        <f>F_Inputs!I53</f>
        <v>2.62753219832075</v>
      </c>
      <c r="J54" s="118">
        <f>F_Inputs!J53</f>
        <v>0.18554710569434299</v>
      </c>
      <c r="K54" s="118">
        <f>F_Inputs!K53</f>
        <v>0.186676871668983</v>
      </c>
      <c r="L54" s="118">
        <f>F_Inputs!L53</f>
        <v>0.188</v>
      </c>
      <c r="M54" s="118" t="str">
        <f t="shared" si="10"/>
        <v>CWW3_0</v>
      </c>
      <c r="N54" s="117">
        <f t="shared" si="2"/>
        <v>0</v>
      </c>
      <c r="O54" s="117">
        <f t="shared" si="3"/>
        <v>0</v>
      </c>
      <c r="P54" s="117">
        <f t="shared" si="4"/>
        <v>1.0951869413392581</v>
      </c>
      <c r="Q54" s="117">
        <f t="shared" si="5"/>
        <v>2.62753219832075</v>
      </c>
      <c r="R54" s="117">
        <f t="shared" si="6"/>
        <v>0.18554710569434299</v>
      </c>
      <c r="S54" s="117">
        <f t="shared" si="7"/>
        <v>0.186676871668983</v>
      </c>
      <c r="T54" s="117">
        <f t="shared" si="8"/>
        <v>0.188</v>
      </c>
      <c r="U54" s="207">
        <f t="shared" si="9"/>
        <v>4.2829431170233336</v>
      </c>
    </row>
    <row r="55" spans="1:21">
      <c r="A55" s="118" t="str">
        <f>F_Inputs!A54</f>
        <v>SVE</v>
      </c>
      <c r="B55" s="118" t="str">
        <f>F_Inputs!B54</f>
        <v>BN1603_PR24</v>
      </c>
      <c r="C55" s="118" t="str">
        <f>F_Inputs!C54</f>
        <v>Sewage treatment data - Current population equivalent served by STWs</v>
      </c>
      <c r="D55" s="118" t="str">
        <f>F_Inputs!D54</f>
        <v>000s</v>
      </c>
      <c r="E55" s="118" t="str">
        <f>F_Inputs!E54</f>
        <v>Price Review 2024</v>
      </c>
      <c r="F55" s="118">
        <f>F_Inputs!F54</f>
        <v>10610.32</v>
      </c>
      <c r="G55" s="118">
        <f>F_Inputs!G54</f>
        <v>10468.344897887</v>
      </c>
      <c r="H55" s="118">
        <f>F_Inputs!H54</f>
        <v>10540.49547222977</v>
      </c>
      <c r="I55" s="118">
        <f>F_Inputs!I54</f>
        <v>10601.77377574383</v>
      </c>
      <c r="J55" s="118">
        <f>F_Inputs!J54</f>
        <v>10661.29669568924</v>
      </c>
      <c r="K55" s="118">
        <f>F_Inputs!K54</f>
        <v>10826.83120593638</v>
      </c>
      <c r="L55" s="118">
        <f>F_Inputs!L54</f>
        <v>10884.84595566423</v>
      </c>
      <c r="M55" s="118" t="str">
        <f t="shared" si="10"/>
        <v>BN1603</v>
      </c>
      <c r="N55" s="117">
        <f t="shared" si="2"/>
        <v>10610.32</v>
      </c>
      <c r="O55" s="117">
        <f t="shared" si="3"/>
        <v>10468.344897887</v>
      </c>
      <c r="P55" s="117">
        <f t="shared" si="4"/>
        <v>10540.49547222977</v>
      </c>
      <c r="Q55" s="117">
        <f t="shared" si="5"/>
        <v>10601.77377574383</v>
      </c>
      <c r="R55" s="117">
        <f t="shared" si="6"/>
        <v>10661.29669568924</v>
      </c>
      <c r="S55" s="117">
        <f t="shared" si="7"/>
        <v>10826.83120593638</v>
      </c>
      <c r="T55" s="117">
        <f t="shared" si="8"/>
        <v>10884.84595566423</v>
      </c>
      <c r="U55" s="207">
        <f t="shared" si="9"/>
        <v>74593.908003150456</v>
      </c>
    </row>
    <row r="56" spans="1:21">
      <c r="A56" s="118" t="str">
        <f>F_Inputs!A55</f>
        <v>SVE</v>
      </c>
      <c r="B56" s="118" t="str">
        <f>F_Inputs!B55</f>
        <v>CWW12_052TOT_PR24</v>
      </c>
      <c r="C56" s="118" t="str">
        <f>F_Inputs!C55</f>
        <v>EA/NRW environmental programme wastewater (WINEP/NEP) - Chemicals and emerging contaminants monitoring, investigations, options appraisals; (WINEP/NEP) wastewater capex - Total</v>
      </c>
      <c r="D56" s="118" t="str">
        <f>F_Inputs!D55</f>
        <v>£m</v>
      </c>
      <c r="E56" s="118" t="str">
        <f>F_Inputs!E55</f>
        <v>Price Review 2024</v>
      </c>
      <c r="F56" s="118">
        <f>F_Inputs!F55</f>
        <v>0</v>
      </c>
      <c r="G56" s="118">
        <f>F_Inputs!G55</f>
        <v>1.5077451020150889</v>
      </c>
      <c r="H56" s="118" t="str">
        <f>F_Inputs!H55</f>
        <v/>
      </c>
      <c r="I56" s="118" t="str">
        <f>F_Inputs!I55</f>
        <v/>
      </c>
      <c r="J56" s="118" t="str">
        <f>F_Inputs!J55</f>
        <v/>
      </c>
      <c r="K56" s="118" t="str">
        <f>F_Inputs!K55</f>
        <v/>
      </c>
      <c r="L56" s="118" t="str">
        <f>F_Inputs!L55</f>
        <v/>
      </c>
      <c r="M56" s="118" t="str">
        <f t="shared" si="10"/>
        <v>CWW12_</v>
      </c>
      <c r="N56" s="117">
        <f t="shared" si="2"/>
        <v>0</v>
      </c>
      <c r="O56" s="117">
        <f t="shared" si="3"/>
        <v>1.5077451020150889</v>
      </c>
      <c r="P56" s="117">
        <f t="shared" si="4"/>
        <v>0</v>
      </c>
      <c r="Q56" s="117">
        <f t="shared" si="5"/>
        <v>0</v>
      </c>
      <c r="R56" s="117">
        <f t="shared" si="6"/>
        <v>0</v>
      </c>
      <c r="S56" s="117">
        <f t="shared" si="7"/>
        <v>0</v>
      </c>
      <c r="T56" s="117">
        <f t="shared" si="8"/>
        <v>0</v>
      </c>
      <c r="U56" s="207">
        <f t="shared" si="9"/>
        <v>1.5077451020150889</v>
      </c>
    </row>
    <row r="57" spans="1:21">
      <c r="A57" s="118" t="str">
        <f>F_Inputs!A56</f>
        <v>SVE</v>
      </c>
      <c r="B57" s="118" t="str">
        <f>F_Inputs!B56</f>
        <v>CWW17_052TOT_PR24</v>
      </c>
      <c r="C57" s="118" t="str">
        <f>F_Inputs!C56</f>
        <v>EA/NRW environmental programme wastewater (WINEP/NEP) - Chemicals and emerging contaminants monitoring, investigations, options appraisals; (WINEP/NEP) wastewater capex - Total</v>
      </c>
      <c r="D57" s="118" t="str">
        <f>F_Inputs!D56</f>
        <v>£m</v>
      </c>
      <c r="E57" s="118" t="str">
        <f>F_Inputs!E56</f>
        <v>Price Review 2024</v>
      </c>
      <c r="F57" s="118">
        <f>F_Inputs!F56</f>
        <v>0</v>
      </c>
      <c r="G57" s="118">
        <f>F_Inputs!G56</f>
        <v>0</v>
      </c>
      <c r="H57" s="118">
        <f>F_Inputs!H56</f>
        <v>0</v>
      </c>
      <c r="I57" s="118">
        <f>F_Inputs!I56</f>
        <v>0</v>
      </c>
      <c r="J57" s="118">
        <f>F_Inputs!J56</f>
        <v>0</v>
      </c>
      <c r="K57" s="118">
        <f>F_Inputs!K56</f>
        <v>0</v>
      </c>
      <c r="L57" s="118">
        <f>F_Inputs!L56</f>
        <v>0</v>
      </c>
      <c r="M57" s="118" t="str">
        <f t="shared" si="10"/>
        <v>CWW17_</v>
      </c>
      <c r="N57" s="117">
        <f t="shared" si="2"/>
        <v>0</v>
      </c>
      <c r="O57" s="117">
        <f t="shared" si="3"/>
        <v>0</v>
      </c>
      <c r="P57" s="117">
        <f t="shared" si="4"/>
        <v>0</v>
      </c>
      <c r="Q57" s="117">
        <f t="shared" si="5"/>
        <v>0</v>
      </c>
      <c r="R57" s="117">
        <f t="shared" si="6"/>
        <v>0</v>
      </c>
      <c r="S57" s="117">
        <f t="shared" si="7"/>
        <v>0</v>
      </c>
      <c r="T57" s="117">
        <f t="shared" si="8"/>
        <v>0</v>
      </c>
      <c r="U57" s="207">
        <f t="shared" si="9"/>
        <v>0</v>
      </c>
    </row>
    <row r="58" spans="1:21">
      <c r="A58" s="118" t="str">
        <f>F_Inputs!A57</f>
        <v>SVE</v>
      </c>
      <c r="B58" s="118" t="str">
        <f>F_Inputs!B57</f>
        <v>CWW12_053TOT_PR24</v>
      </c>
      <c r="C58" s="118" t="str">
        <f>F_Inputs!C57</f>
        <v>EA/NRW environmental programme wastewater (WINEP/NEP) - Chemicals and emerging contaminants monitoring, investigations, options appraisals; (WINEP/NEP) wastewater opex - Total</v>
      </c>
      <c r="D58" s="118" t="str">
        <f>F_Inputs!D57</f>
        <v>£m</v>
      </c>
      <c r="E58" s="118" t="str">
        <f>F_Inputs!E57</f>
        <v>Price Review 2024</v>
      </c>
      <c r="F58" s="118">
        <f>F_Inputs!F57</f>
        <v>0</v>
      </c>
      <c r="G58" s="118">
        <f>F_Inputs!G57</f>
        <v>0</v>
      </c>
      <c r="H58" s="118" t="str">
        <f>F_Inputs!H57</f>
        <v/>
      </c>
      <c r="I58" s="118" t="str">
        <f>F_Inputs!I57</f>
        <v/>
      </c>
      <c r="J58" s="118" t="str">
        <f>F_Inputs!J57</f>
        <v/>
      </c>
      <c r="K58" s="118" t="str">
        <f>F_Inputs!K57</f>
        <v/>
      </c>
      <c r="L58" s="118" t="str">
        <f>F_Inputs!L57</f>
        <v/>
      </c>
      <c r="M58" s="118" t="str">
        <f t="shared" si="10"/>
        <v>CWW12_</v>
      </c>
      <c r="N58" s="117">
        <f t="shared" si="2"/>
        <v>0</v>
      </c>
      <c r="O58" s="117">
        <f t="shared" si="3"/>
        <v>0</v>
      </c>
      <c r="P58" s="117">
        <f t="shared" si="4"/>
        <v>0</v>
      </c>
      <c r="Q58" s="117">
        <f t="shared" si="5"/>
        <v>0</v>
      </c>
      <c r="R58" s="117">
        <f t="shared" si="6"/>
        <v>0</v>
      </c>
      <c r="S58" s="117">
        <f t="shared" si="7"/>
        <v>0</v>
      </c>
      <c r="T58" s="117">
        <f t="shared" si="8"/>
        <v>0</v>
      </c>
      <c r="U58" s="207">
        <f t="shared" si="9"/>
        <v>0</v>
      </c>
    </row>
    <row r="59" spans="1:21">
      <c r="A59" s="118" t="str">
        <f>F_Inputs!A58</f>
        <v>SVE</v>
      </c>
      <c r="B59" s="118" t="str">
        <f>F_Inputs!B58</f>
        <v>CWW17_053TOT_PR24</v>
      </c>
      <c r="C59" s="118" t="str">
        <f>F_Inputs!C58</f>
        <v>EA/NRW environmental programme wastewater (WINEP/NEP) - Chemicals and emerging contaminants monitoring, investigations, options appraisals; (WINEP/NEP) wastewater opex - Total</v>
      </c>
      <c r="D59" s="118" t="str">
        <f>F_Inputs!D58</f>
        <v>£m</v>
      </c>
      <c r="E59" s="118" t="str">
        <f>F_Inputs!E58</f>
        <v>Price Review 2024</v>
      </c>
      <c r="F59" s="118">
        <f>F_Inputs!F58</f>
        <v>0</v>
      </c>
      <c r="G59" s="118">
        <f>F_Inputs!G58</f>
        <v>0</v>
      </c>
      <c r="H59" s="118">
        <f>F_Inputs!H58</f>
        <v>0</v>
      </c>
      <c r="I59" s="118">
        <f>F_Inputs!I58</f>
        <v>0</v>
      </c>
      <c r="J59" s="118">
        <f>F_Inputs!J58</f>
        <v>0</v>
      </c>
      <c r="K59" s="118">
        <f>F_Inputs!K58</f>
        <v>0</v>
      </c>
      <c r="L59" s="118">
        <f>F_Inputs!L58</f>
        <v>0</v>
      </c>
      <c r="M59" s="118" t="str">
        <f t="shared" si="10"/>
        <v>CWW17_</v>
      </c>
      <c r="N59" s="117">
        <f t="shared" si="2"/>
        <v>0</v>
      </c>
      <c r="O59" s="117">
        <f t="shared" si="3"/>
        <v>0</v>
      </c>
      <c r="P59" s="117">
        <f t="shared" si="4"/>
        <v>0</v>
      </c>
      <c r="Q59" s="117">
        <f t="shared" si="5"/>
        <v>0</v>
      </c>
      <c r="R59" s="117">
        <f t="shared" si="6"/>
        <v>0</v>
      </c>
      <c r="S59" s="117">
        <f t="shared" si="7"/>
        <v>0</v>
      </c>
      <c r="T59" s="117">
        <f t="shared" si="8"/>
        <v>0</v>
      </c>
      <c r="U59" s="207">
        <f t="shared" si="9"/>
        <v>0</v>
      </c>
    </row>
    <row r="60" spans="1:21">
      <c r="A60" s="118" t="str">
        <f>F_Inputs!A59</f>
        <v>SVE</v>
      </c>
      <c r="B60" s="118" t="str">
        <f>F_Inputs!B59</f>
        <v>CWW12_054TOT_PR24</v>
      </c>
      <c r="C60" s="118" t="str">
        <f>F_Inputs!C59</f>
        <v>EA/NRW environmental programme wastewater (WINEP/NEP) - Chemicals and emerging contaminants monitoring, investigations, options appraisals; (WINEP/NEP) wastewater totex - Total</v>
      </c>
      <c r="D60" s="118" t="str">
        <f>F_Inputs!D59</f>
        <v>£m</v>
      </c>
      <c r="E60" s="118" t="str">
        <f>F_Inputs!E59</f>
        <v>Price Review 2024</v>
      </c>
      <c r="F60" s="118">
        <f>F_Inputs!F59</f>
        <v>0</v>
      </c>
      <c r="G60" s="118">
        <f>F_Inputs!G59</f>
        <v>1.5077451020150889</v>
      </c>
      <c r="H60" s="118" t="str">
        <f>F_Inputs!H59</f>
        <v/>
      </c>
      <c r="I60" s="118" t="str">
        <f>F_Inputs!I59</f>
        <v/>
      </c>
      <c r="J60" s="118" t="str">
        <f>F_Inputs!J59</f>
        <v/>
      </c>
      <c r="K60" s="118" t="str">
        <f>F_Inputs!K59</f>
        <v/>
      </c>
      <c r="L60" s="118" t="str">
        <f>F_Inputs!L59</f>
        <v/>
      </c>
      <c r="M60" s="118" t="str">
        <f t="shared" si="10"/>
        <v>CWW12_</v>
      </c>
      <c r="N60" s="117">
        <f t="shared" si="2"/>
        <v>0</v>
      </c>
      <c r="O60" s="117">
        <f t="shared" si="3"/>
        <v>1.5077451020150889</v>
      </c>
      <c r="P60" s="117">
        <f t="shared" si="4"/>
        <v>0</v>
      </c>
      <c r="Q60" s="117">
        <f t="shared" si="5"/>
        <v>0</v>
      </c>
      <c r="R60" s="117">
        <f t="shared" si="6"/>
        <v>0</v>
      </c>
      <c r="S60" s="117">
        <f t="shared" si="7"/>
        <v>0</v>
      </c>
      <c r="T60" s="117">
        <f t="shared" si="8"/>
        <v>0</v>
      </c>
      <c r="U60" s="207">
        <f t="shared" si="9"/>
        <v>1.5077451020150889</v>
      </c>
    </row>
    <row r="61" spans="1:21">
      <c r="A61" s="118" t="str">
        <f>F_Inputs!A60</f>
        <v>SVE</v>
      </c>
      <c r="B61" s="118" t="str">
        <f>F_Inputs!B60</f>
        <v>CWW17_054TOT_PR24</v>
      </c>
      <c r="C61" s="118" t="str">
        <f>F_Inputs!C60</f>
        <v>EA/NRW environmental programme wastewater (WINEP/NEP) - Chemicals and emerging contaminants monitoring, investigations, options appraisals; (WINEP/NEP) wastewater totex - Total</v>
      </c>
      <c r="D61" s="118" t="str">
        <f>F_Inputs!D60</f>
        <v>£m</v>
      </c>
      <c r="E61" s="118" t="str">
        <f>F_Inputs!E60</f>
        <v>Price Review 2024</v>
      </c>
      <c r="F61" s="118">
        <f>F_Inputs!F60</f>
        <v>0</v>
      </c>
      <c r="G61" s="118">
        <f>F_Inputs!G60</f>
        <v>0</v>
      </c>
      <c r="H61" s="118">
        <f>F_Inputs!H60</f>
        <v>0</v>
      </c>
      <c r="I61" s="118">
        <f>F_Inputs!I60</f>
        <v>0</v>
      </c>
      <c r="J61" s="118">
        <f>F_Inputs!J60</f>
        <v>0</v>
      </c>
      <c r="K61" s="118">
        <f>F_Inputs!K60</f>
        <v>0</v>
      </c>
      <c r="L61" s="118">
        <f>F_Inputs!L60</f>
        <v>0</v>
      </c>
      <c r="M61" s="118" t="str">
        <f t="shared" si="10"/>
        <v>CWW17_</v>
      </c>
      <c r="N61" s="117">
        <f t="shared" si="2"/>
        <v>0</v>
      </c>
      <c r="O61" s="117">
        <f t="shared" si="3"/>
        <v>0</v>
      </c>
      <c r="P61" s="117">
        <f t="shared" si="4"/>
        <v>0</v>
      </c>
      <c r="Q61" s="117">
        <f t="shared" si="5"/>
        <v>0</v>
      </c>
      <c r="R61" s="117">
        <f t="shared" si="6"/>
        <v>0</v>
      </c>
      <c r="S61" s="117">
        <f t="shared" si="7"/>
        <v>0</v>
      </c>
      <c r="T61" s="117">
        <f t="shared" si="8"/>
        <v>0</v>
      </c>
      <c r="U61" s="207">
        <f t="shared" si="9"/>
        <v>0</v>
      </c>
    </row>
    <row r="62" spans="1:21">
      <c r="A62" s="118" t="str">
        <f>F_Inputs!A61</f>
        <v>SVE</v>
      </c>
      <c r="B62" s="118" t="str">
        <f>F_Inputs!B61</f>
        <v>PR24_NETTOTEX_WASTE</v>
      </c>
      <c r="C62" s="118" t="str">
        <f>F_Inputs!C61</f>
        <v>PR24 BP Net totex - Total inc. accelerated &amp; transition costs</v>
      </c>
      <c r="D62" s="118" t="str">
        <f>F_Inputs!D61</f>
        <v>£m</v>
      </c>
      <c r="E62" s="118" t="str">
        <f>F_Inputs!E61</f>
        <v>Price Review 2024</v>
      </c>
      <c r="F62" s="118" t="str">
        <f>F_Inputs!F61</f>
        <v/>
      </c>
      <c r="G62" s="118" t="str">
        <f>F_Inputs!G61</f>
        <v/>
      </c>
      <c r="H62" s="118" t="str">
        <f>F_Inputs!H61</f>
        <v/>
      </c>
      <c r="I62" s="118" t="str">
        <f>F_Inputs!I61</f>
        <v/>
      </c>
      <c r="J62" s="118" t="str">
        <f>F_Inputs!J61</f>
        <v/>
      </c>
      <c r="K62" s="118" t="str">
        <f>F_Inputs!K61</f>
        <v/>
      </c>
      <c r="L62" s="118" t="str">
        <f>F_Inputs!L61</f>
        <v/>
      </c>
      <c r="M62" s="118" t="str">
        <f t="shared" si="10"/>
        <v>PR24_N</v>
      </c>
      <c r="N62" s="117">
        <f t="shared" si="2"/>
        <v>0</v>
      </c>
      <c r="O62" s="117">
        <f t="shared" si="3"/>
        <v>0</v>
      </c>
      <c r="P62" s="117">
        <f t="shared" si="4"/>
        <v>0</v>
      </c>
      <c r="Q62" s="117">
        <f t="shared" si="5"/>
        <v>0</v>
      </c>
      <c r="R62" s="117">
        <f t="shared" si="6"/>
        <v>0</v>
      </c>
      <c r="S62" s="117">
        <f t="shared" si="7"/>
        <v>0</v>
      </c>
      <c r="T62" s="117">
        <f t="shared" si="8"/>
        <v>0</v>
      </c>
      <c r="U62" s="207">
        <f t="shared" si="9"/>
        <v>0</v>
      </c>
    </row>
    <row r="63" spans="1:21">
      <c r="A63" s="118" t="str">
        <f>F_Inputs!A62</f>
        <v>SWB</v>
      </c>
      <c r="B63" s="118" t="str">
        <f>F_Inputs!B62</f>
        <v>CWW3_052TOT_PR24</v>
      </c>
      <c r="C63" s="118" t="str">
        <f>F_Inputs!C62</f>
        <v>EA/NRW environmental programme wastewater (WINEP/NEP) - Chemicals and emerging contaminants monitoring, investigations, options appraisals; (WINEP/NEP) wastewater capex - Total</v>
      </c>
      <c r="D63" s="118" t="str">
        <f>F_Inputs!D62</f>
        <v>£m</v>
      </c>
      <c r="E63" s="118" t="str">
        <f>F_Inputs!E62</f>
        <v>Price Review 2024</v>
      </c>
      <c r="F63" s="118">
        <f>F_Inputs!F62</f>
        <v>0.15632860626283371</v>
      </c>
      <c r="G63" s="118">
        <f>F_Inputs!G62</f>
        <v>0.26400000000000001</v>
      </c>
      <c r="H63" s="118">
        <f>F_Inputs!H62</f>
        <v>0.56999999999999995</v>
      </c>
      <c r="I63" s="118">
        <f>F_Inputs!I62</f>
        <v>0.67200000000000004</v>
      </c>
      <c r="J63" s="118">
        <f>F_Inputs!J62</f>
        <v>0.70599999999999996</v>
      </c>
      <c r="K63" s="118">
        <f>F_Inputs!K62</f>
        <v>0.17</v>
      </c>
      <c r="L63" s="118">
        <f>F_Inputs!L62</f>
        <v>6.8000000000000005E-2</v>
      </c>
      <c r="M63" s="118" t="str">
        <f t="shared" si="10"/>
        <v>CWW3_0</v>
      </c>
      <c r="N63" s="117">
        <f t="shared" si="2"/>
        <v>0</v>
      </c>
      <c r="O63" s="117">
        <f t="shared" si="3"/>
        <v>0</v>
      </c>
      <c r="P63" s="117">
        <f t="shared" si="4"/>
        <v>0.56999999999999995</v>
      </c>
      <c r="Q63" s="117">
        <f t="shared" si="5"/>
        <v>0.67200000000000004</v>
      </c>
      <c r="R63" s="117">
        <f t="shared" si="6"/>
        <v>0.70599999999999996</v>
      </c>
      <c r="S63" s="117">
        <f t="shared" si="7"/>
        <v>0.17</v>
      </c>
      <c r="T63" s="117">
        <f t="shared" si="8"/>
        <v>6.8000000000000005E-2</v>
      </c>
      <c r="U63" s="207">
        <f t="shared" si="9"/>
        <v>2.1859999999999999</v>
      </c>
    </row>
    <row r="64" spans="1:21">
      <c r="A64" s="118" t="str">
        <f>F_Inputs!A63</f>
        <v>SWB</v>
      </c>
      <c r="B64" s="118" t="str">
        <f>F_Inputs!B63</f>
        <v>CWW3_053TOT_PR24</v>
      </c>
      <c r="C64" s="118" t="str">
        <f>F_Inputs!C63</f>
        <v>EA/NRW environmental programme wastewater (WINEP/NEP) - Chemicals and emerging contaminants monitoring, investigations, options appraisals; (WINEP/NEP) wastewater opex - Total</v>
      </c>
      <c r="D64" s="118" t="str">
        <f>F_Inputs!D63</f>
        <v>£m</v>
      </c>
      <c r="E64" s="118" t="str">
        <f>F_Inputs!E63</f>
        <v>Price Review 2024</v>
      </c>
      <c r="F64" s="118">
        <f>F_Inputs!F63</f>
        <v>0</v>
      </c>
      <c r="G64" s="118">
        <f>F_Inputs!G63</f>
        <v>0</v>
      </c>
      <c r="H64" s="118">
        <f>F_Inputs!H63</f>
        <v>0</v>
      </c>
      <c r="I64" s="118">
        <f>F_Inputs!I63</f>
        <v>0</v>
      </c>
      <c r="J64" s="118">
        <f>F_Inputs!J63</f>
        <v>0</v>
      </c>
      <c r="K64" s="118">
        <f>F_Inputs!K63</f>
        <v>0</v>
      </c>
      <c r="L64" s="118">
        <f>F_Inputs!L63</f>
        <v>0</v>
      </c>
      <c r="M64" s="118" t="str">
        <f t="shared" si="10"/>
        <v>CWW3_0</v>
      </c>
      <c r="N64" s="117">
        <f t="shared" si="2"/>
        <v>0</v>
      </c>
      <c r="O64" s="117">
        <f t="shared" si="3"/>
        <v>0</v>
      </c>
      <c r="P64" s="117">
        <f t="shared" si="4"/>
        <v>0</v>
      </c>
      <c r="Q64" s="117">
        <f t="shared" si="5"/>
        <v>0</v>
      </c>
      <c r="R64" s="117">
        <f t="shared" si="6"/>
        <v>0</v>
      </c>
      <c r="S64" s="117">
        <f t="shared" si="7"/>
        <v>0</v>
      </c>
      <c r="T64" s="117">
        <f t="shared" si="8"/>
        <v>0</v>
      </c>
      <c r="U64" s="207">
        <f t="shared" si="9"/>
        <v>0</v>
      </c>
    </row>
    <row r="65" spans="1:21">
      <c r="A65" s="118" t="str">
        <f>F_Inputs!A64</f>
        <v>SWB</v>
      </c>
      <c r="B65" s="118" t="str">
        <f>F_Inputs!B64</f>
        <v>CWW3_054TOT_PR24</v>
      </c>
      <c r="C65" s="118" t="str">
        <f>F_Inputs!C64</f>
        <v>EA/NRW environmental programme wastewater (WINEP/NEP) - Chemicals and emerging contaminants monitoring, investigations, options appraisals; (WINEP/NEP) wastewater totex - Total</v>
      </c>
      <c r="D65" s="118" t="str">
        <f>F_Inputs!D64</f>
        <v>£m</v>
      </c>
      <c r="E65" s="118" t="str">
        <f>F_Inputs!E64</f>
        <v>Price Review 2024</v>
      </c>
      <c r="F65" s="118">
        <f>F_Inputs!F64</f>
        <v>0.15632860626283371</v>
      </c>
      <c r="G65" s="118">
        <f>F_Inputs!G64</f>
        <v>0.26400000000000001</v>
      </c>
      <c r="H65" s="118">
        <f>F_Inputs!H64</f>
        <v>0.56999999999999995</v>
      </c>
      <c r="I65" s="118">
        <f>F_Inputs!I64</f>
        <v>0.67200000000000004</v>
      </c>
      <c r="J65" s="118">
        <f>F_Inputs!J64</f>
        <v>0.70599999999999996</v>
      </c>
      <c r="K65" s="118">
        <f>F_Inputs!K64</f>
        <v>0.17</v>
      </c>
      <c r="L65" s="118">
        <f>F_Inputs!L64</f>
        <v>6.8000000000000005E-2</v>
      </c>
      <c r="M65" s="118" t="str">
        <f t="shared" si="10"/>
        <v>CWW3_0</v>
      </c>
      <c r="N65" s="117">
        <f t="shared" si="2"/>
        <v>0</v>
      </c>
      <c r="O65" s="117">
        <f t="shared" si="3"/>
        <v>0</v>
      </c>
      <c r="P65" s="117">
        <f t="shared" si="4"/>
        <v>0.56999999999999995</v>
      </c>
      <c r="Q65" s="117">
        <f t="shared" si="5"/>
        <v>0.67200000000000004</v>
      </c>
      <c r="R65" s="117">
        <f t="shared" si="6"/>
        <v>0.70599999999999996</v>
      </c>
      <c r="S65" s="117">
        <f t="shared" si="7"/>
        <v>0.17</v>
      </c>
      <c r="T65" s="117">
        <f t="shared" si="8"/>
        <v>6.8000000000000005E-2</v>
      </c>
      <c r="U65" s="207">
        <f t="shared" si="9"/>
        <v>2.1859999999999999</v>
      </c>
    </row>
    <row r="66" spans="1:21">
      <c r="A66" s="118" t="str">
        <f>F_Inputs!A65</f>
        <v>SWB</v>
      </c>
      <c r="B66" s="118" t="str">
        <f>F_Inputs!B65</f>
        <v>BN1603_PR24</v>
      </c>
      <c r="C66" s="118" t="str">
        <f>F_Inputs!C65</f>
        <v>Sewage treatment data - Current population equivalent served by STWs</v>
      </c>
      <c r="D66" s="118" t="str">
        <f>F_Inputs!D65</f>
        <v>000s</v>
      </c>
      <c r="E66" s="118" t="str">
        <f>F_Inputs!E65</f>
        <v>Price Review 2024</v>
      </c>
      <c r="F66" s="118">
        <f>F_Inputs!F65</f>
        <v>1743.2239999999999</v>
      </c>
      <c r="G66" s="118">
        <f>F_Inputs!G65</f>
        <v>1751.7670000000001</v>
      </c>
      <c r="H66" s="118">
        <f>F_Inputs!H65</f>
        <v>1774.5709999999999</v>
      </c>
      <c r="I66" s="118">
        <f>F_Inputs!I65</f>
        <v>1796.923</v>
      </c>
      <c r="J66" s="118">
        <f>F_Inputs!J65</f>
        <v>1818.9839999999999</v>
      </c>
      <c r="K66" s="118">
        <f>F_Inputs!K65</f>
        <v>1840.02</v>
      </c>
      <c r="L66" s="118">
        <f>F_Inputs!L65</f>
        <v>1860.396</v>
      </c>
      <c r="M66" s="118" t="str">
        <f t="shared" si="10"/>
        <v>BN1603</v>
      </c>
      <c r="N66" s="117">
        <f t="shared" si="2"/>
        <v>1743.2239999999999</v>
      </c>
      <c r="O66" s="117">
        <f t="shared" si="3"/>
        <v>1751.7670000000001</v>
      </c>
      <c r="P66" s="117">
        <f t="shared" si="4"/>
        <v>1774.5709999999999</v>
      </c>
      <c r="Q66" s="117">
        <f t="shared" si="5"/>
        <v>1796.923</v>
      </c>
      <c r="R66" s="117">
        <f t="shared" si="6"/>
        <v>1818.9839999999999</v>
      </c>
      <c r="S66" s="117">
        <f t="shared" si="7"/>
        <v>1840.02</v>
      </c>
      <c r="T66" s="117">
        <f t="shared" si="8"/>
        <v>1860.396</v>
      </c>
      <c r="U66" s="207">
        <f t="shared" si="9"/>
        <v>12585.885</v>
      </c>
    </row>
    <row r="67" spans="1:21">
      <c r="A67" s="118" t="str">
        <f>F_Inputs!A66</f>
        <v>SWB</v>
      </c>
      <c r="B67" s="118" t="str">
        <f>F_Inputs!B66</f>
        <v>CWW12_052TOT_PR24</v>
      </c>
      <c r="C67" s="118" t="str">
        <f>F_Inputs!C66</f>
        <v>EA/NRW environmental programme wastewater (WINEP/NEP) - Chemicals and emerging contaminants monitoring, investigations, options appraisals; (WINEP/NEP) wastewater capex - Total</v>
      </c>
      <c r="D67" s="118" t="str">
        <f>F_Inputs!D66</f>
        <v>£m</v>
      </c>
      <c r="E67" s="118" t="str">
        <f>F_Inputs!E66</f>
        <v>Price Review 2024</v>
      </c>
      <c r="F67" s="118">
        <f>F_Inputs!F66</f>
        <v>0</v>
      </c>
      <c r="G67" s="118">
        <f>F_Inputs!G66</f>
        <v>0</v>
      </c>
      <c r="H67" s="118" t="str">
        <f>F_Inputs!H66</f>
        <v/>
      </c>
      <c r="I67" s="118" t="str">
        <f>F_Inputs!I66</f>
        <v/>
      </c>
      <c r="J67" s="118" t="str">
        <f>F_Inputs!J66</f>
        <v/>
      </c>
      <c r="K67" s="118" t="str">
        <f>F_Inputs!K66</f>
        <v/>
      </c>
      <c r="L67" s="118" t="str">
        <f>F_Inputs!L66</f>
        <v/>
      </c>
      <c r="M67" s="118" t="str">
        <f t="shared" si="10"/>
        <v>CWW12_</v>
      </c>
      <c r="N67" s="117">
        <f t="shared" si="2"/>
        <v>0</v>
      </c>
      <c r="O67" s="117">
        <f t="shared" si="3"/>
        <v>0</v>
      </c>
      <c r="P67" s="117">
        <f t="shared" si="4"/>
        <v>0</v>
      </c>
      <c r="Q67" s="117">
        <f t="shared" si="5"/>
        <v>0</v>
      </c>
      <c r="R67" s="117">
        <f t="shared" si="6"/>
        <v>0</v>
      </c>
      <c r="S67" s="117">
        <f t="shared" si="7"/>
        <v>0</v>
      </c>
      <c r="T67" s="117">
        <f t="shared" si="8"/>
        <v>0</v>
      </c>
      <c r="U67" s="207">
        <f t="shared" si="9"/>
        <v>0</v>
      </c>
    </row>
    <row r="68" spans="1:21">
      <c r="A68" s="118" t="str">
        <f>F_Inputs!A67</f>
        <v>SWB</v>
      </c>
      <c r="B68" s="118" t="str">
        <f>F_Inputs!B67</f>
        <v>CWW17_052TOT_PR24</v>
      </c>
      <c r="C68" s="118" t="str">
        <f>F_Inputs!C67</f>
        <v>EA/NRW environmental programme wastewater (WINEP/NEP) - Chemicals and emerging contaminants monitoring, investigations, options appraisals; (WINEP/NEP) wastewater capex - Total</v>
      </c>
      <c r="D68" s="118" t="str">
        <f>F_Inputs!D67</f>
        <v>£m</v>
      </c>
      <c r="E68" s="118" t="str">
        <f>F_Inputs!E67</f>
        <v>Price Review 2024</v>
      </c>
      <c r="F68" s="118">
        <f>F_Inputs!F67</f>
        <v>0</v>
      </c>
      <c r="G68" s="118">
        <f>F_Inputs!G67</f>
        <v>0</v>
      </c>
      <c r="H68" s="118">
        <f>F_Inputs!H67</f>
        <v>0</v>
      </c>
      <c r="I68" s="118">
        <f>F_Inputs!I67</f>
        <v>0</v>
      </c>
      <c r="J68" s="118">
        <f>F_Inputs!J67</f>
        <v>0</v>
      </c>
      <c r="K68" s="118">
        <f>F_Inputs!K67</f>
        <v>0</v>
      </c>
      <c r="L68" s="118">
        <f>F_Inputs!L67</f>
        <v>0</v>
      </c>
      <c r="M68" s="118" t="str">
        <f t="shared" si="10"/>
        <v>CWW17_</v>
      </c>
      <c r="N68" s="117">
        <f t="shared" si="2"/>
        <v>0</v>
      </c>
      <c r="O68" s="117">
        <f t="shared" si="3"/>
        <v>0</v>
      </c>
      <c r="P68" s="117">
        <f t="shared" si="4"/>
        <v>0</v>
      </c>
      <c r="Q68" s="117">
        <f t="shared" si="5"/>
        <v>0</v>
      </c>
      <c r="R68" s="117">
        <f t="shared" si="6"/>
        <v>0</v>
      </c>
      <c r="S68" s="117">
        <f t="shared" si="7"/>
        <v>0</v>
      </c>
      <c r="T68" s="117">
        <f t="shared" si="8"/>
        <v>0</v>
      </c>
      <c r="U68" s="207">
        <f t="shared" si="9"/>
        <v>0</v>
      </c>
    </row>
    <row r="69" spans="1:21">
      <c r="A69" s="118" t="str">
        <f>F_Inputs!A68</f>
        <v>SWB</v>
      </c>
      <c r="B69" s="118" t="str">
        <f>F_Inputs!B68</f>
        <v>CWW12_053TOT_PR24</v>
      </c>
      <c r="C69" s="118" t="str">
        <f>F_Inputs!C68</f>
        <v>EA/NRW environmental programme wastewater (WINEP/NEP) - Chemicals and emerging contaminants monitoring, investigations, options appraisals; (WINEP/NEP) wastewater opex - Total</v>
      </c>
      <c r="D69" s="118" t="str">
        <f>F_Inputs!D68</f>
        <v>£m</v>
      </c>
      <c r="E69" s="118" t="str">
        <f>F_Inputs!E68</f>
        <v>Price Review 2024</v>
      </c>
      <c r="F69" s="118">
        <f>F_Inputs!F68</f>
        <v>0</v>
      </c>
      <c r="G69" s="118">
        <f>F_Inputs!G68</f>
        <v>0</v>
      </c>
      <c r="H69" s="118" t="str">
        <f>F_Inputs!H68</f>
        <v/>
      </c>
      <c r="I69" s="118" t="str">
        <f>F_Inputs!I68</f>
        <v/>
      </c>
      <c r="J69" s="118" t="str">
        <f>F_Inputs!J68</f>
        <v/>
      </c>
      <c r="K69" s="118" t="str">
        <f>F_Inputs!K68</f>
        <v/>
      </c>
      <c r="L69" s="118" t="str">
        <f>F_Inputs!L68</f>
        <v/>
      </c>
      <c r="M69" s="118" t="str">
        <f t="shared" si="10"/>
        <v>CWW12_</v>
      </c>
      <c r="N69" s="117">
        <f t="shared" si="2"/>
        <v>0</v>
      </c>
      <c r="O69" s="117">
        <f t="shared" si="3"/>
        <v>0</v>
      </c>
      <c r="P69" s="117">
        <f t="shared" si="4"/>
        <v>0</v>
      </c>
      <c r="Q69" s="117">
        <f t="shared" si="5"/>
        <v>0</v>
      </c>
      <c r="R69" s="117">
        <f t="shared" si="6"/>
        <v>0</v>
      </c>
      <c r="S69" s="117">
        <f t="shared" si="7"/>
        <v>0</v>
      </c>
      <c r="T69" s="117">
        <f t="shared" si="8"/>
        <v>0</v>
      </c>
      <c r="U69" s="207">
        <f t="shared" si="9"/>
        <v>0</v>
      </c>
    </row>
    <row r="70" spans="1:21">
      <c r="A70" s="118" t="str">
        <f>F_Inputs!A69</f>
        <v>SWB</v>
      </c>
      <c r="B70" s="118" t="str">
        <f>F_Inputs!B69</f>
        <v>CWW17_053TOT_PR24</v>
      </c>
      <c r="C70" s="118" t="str">
        <f>F_Inputs!C69</f>
        <v>EA/NRW environmental programme wastewater (WINEP/NEP) - Chemicals and emerging contaminants monitoring, investigations, options appraisals; (WINEP/NEP) wastewater opex - Total</v>
      </c>
      <c r="D70" s="118" t="str">
        <f>F_Inputs!D69</f>
        <v>£m</v>
      </c>
      <c r="E70" s="118" t="str">
        <f>F_Inputs!E69</f>
        <v>Price Review 2024</v>
      </c>
      <c r="F70" s="118">
        <f>F_Inputs!F69</f>
        <v>0</v>
      </c>
      <c r="G70" s="118">
        <f>F_Inputs!G69</f>
        <v>0</v>
      </c>
      <c r="H70" s="118">
        <f>F_Inputs!H69</f>
        <v>0</v>
      </c>
      <c r="I70" s="118">
        <f>F_Inputs!I69</f>
        <v>0</v>
      </c>
      <c r="J70" s="118">
        <f>F_Inputs!J69</f>
        <v>0</v>
      </c>
      <c r="K70" s="118">
        <f>F_Inputs!K69</f>
        <v>0</v>
      </c>
      <c r="L70" s="118">
        <f>F_Inputs!L69</f>
        <v>0</v>
      </c>
      <c r="M70" s="118" t="str">
        <f t="shared" si="10"/>
        <v>CWW17_</v>
      </c>
      <c r="N70" s="117">
        <f t="shared" si="2"/>
        <v>0</v>
      </c>
      <c r="O70" s="117">
        <f t="shared" si="3"/>
        <v>0</v>
      </c>
      <c r="P70" s="117">
        <f t="shared" si="4"/>
        <v>0</v>
      </c>
      <c r="Q70" s="117">
        <f t="shared" si="5"/>
        <v>0</v>
      </c>
      <c r="R70" s="117">
        <f t="shared" si="6"/>
        <v>0</v>
      </c>
      <c r="S70" s="117">
        <f t="shared" si="7"/>
        <v>0</v>
      </c>
      <c r="T70" s="117">
        <f t="shared" si="8"/>
        <v>0</v>
      </c>
      <c r="U70" s="207">
        <f t="shared" si="9"/>
        <v>0</v>
      </c>
    </row>
    <row r="71" spans="1:21">
      <c r="A71" s="118" t="str">
        <f>F_Inputs!A70</f>
        <v>SWB</v>
      </c>
      <c r="B71" s="118" t="str">
        <f>F_Inputs!B70</f>
        <v>CWW12_054TOT_PR24</v>
      </c>
      <c r="C71" s="118" t="str">
        <f>F_Inputs!C70</f>
        <v>EA/NRW environmental programme wastewater (WINEP/NEP) - Chemicals and emerging contaminants monitoring, investigations, options appraisals; (WINEP/NEP) wastewater totex - Total</v>
      </c>
      <c r="D71" s="118" t="str">
        <f>F_Inputs!D70</f>
        <v>£m</v>
      </c>
      <c r="E71" s="118" t="str">
        <f>F_Inputs!E70</f>
        <v>Price Review 2024</v>
      </c>
      <c r="F71" s="118">
        <f>F_Inputs!F70</f>
        <v>0</v>
      </c>
      <c r="G71" s="118">
        <f>F_Inputs!G70</f>
        <v>0</v>
      </c>
      <c r="H71" s="118" t="str">
        <f>F_Inputs!H70</f>
        <v/>
      </c>
      <c r="I71" s="118" t="str">
        <f>F_Inputs!I70</f>
        <v/>
      </c>
      <c r="J71" s="118" t="str">
        <f>F_Inputs!J70</f>
        <v/>
      </c>
      <c r="K71" s="118" t="str">
        <f>F_Inputs!K70</f>
        <v/>
      </c>
      <c r="L71" s="118" t="str">
        <f>F_Inputs!L70</f>
        <v/>
      </c>
      <c r="M71" s="118" t="str">
        <f t="shared" si="10"/>
        <v>CWW12_</v>
      </c>
      <c r="N71" s="117">
        <f t="shared" si="2"/>
        <v>0</v>
      </c>
      <c r="O71" s="117">
        <f t="shared" si="3"/>
        <v>0</v>
      </c>
      <c r="P71" s="117">
        <f t="shared" si="4"/>
        <v>0</v>
      </c>
      <c r="Q71" s="117">
        <f t="shared" si="5"/>
        <v>0</v>
      </c>
      <c r="R71" s="117">
        <f t="shared" si="6"/>
        <v>0</v>
      </c>
      <c r="S71" s="117">
        <f t="shared" si="7"/>
        <v>0</v>
      </c>
      <c r="T71" s="117">
        <f t="shared" si="8"/>
        <v>0</v>
      </c>
      <c r="U71" s="207">
        <f t="shared" si="9"/>
        <v>0</v>
      </c>
    </row>
    <row r="72" spans="1:21">
      <c r="A72" s="118" t="str">
        <f>F_Inputs!A71</f>
        <v>SWB</v>
      </c>
      <c r="B72" s="118" t="str">
        <f>F_Inputs!B71</f>
        <v>CWW17_054TOT_PR24</v>
      </c>
      <c r="C72" s="118" t="str">
        <f>F_Inputs!C71</f>
        <v>EA/NRW environmental programme wastewater (WINEP/NEP) - Chemicals and emerging contaminants monitoring, investigations, options appraisals; (WINEP/NEP) wastewater totex - Total</v>
      </c>
      <c r="D72" s="118" t="str">
        <f>F_Inputs!D71</f>
        <v>£m</v>
      </c>
      <c r="E72" s="118" t="str">
        <f>F_Inputs!E71</f>
        <v>Price Review 2024</v>
      </c>
      <c r="F72" s="118">
        <f>F_Inputs!F71</f>
        <v>0</v>
      </c>
      <c r="G72" s="118">
        <f>F_Inputs!G71</f>
        <v>0</v>
      </c>
      <c r="H72" s="118">
        <f>F_Inputs!H71</f>
        <v>0</v>
      </c>
      <c r="I72" s="118">
        <f>F_Inputs!I71</f>
        <v>0</v>
      </c>
      <c r="J72" s="118">
        <f>F_Inputs!J71</f>
        <v>0</v>
      </c>
      <c r="K72" s="118">
        <f>F_Inputs!K71</f>
        <v>0</v>
      </c>
      <c r="L72" s="118">
        <f>F_Inputs!L71</f>
        <v>0</v>
      </c>
      <c r="M72" s="118" t="str">
        <f t="shared" ref="M72:M103" si="11">LEFT(B72,6)</f>
        <v>CWW17_</v>
      </c>
      <c r="N72" s="117">
        <f t="shared" si="2"/>
        <v>0</v>
      </c>
      <c r="O72" s="117">
        <f t="shared" si="3"/>
        <v>0</v>
      </c>
      <c r="P72" s="117">
        <f t="shared" si="4"/>
        <v>0</v>
      </c>
      <c r="Q72" s="117">
        <f t="shared" si="5"/>
        <v>0</v>
      </c>
      <c r="R72" s="117">
        <f t="shared" si="6"/>
        <v>0</v>
      </c>
      <c r="S72" s="117">
        <f t="shared" si="7"/>
        <v>0</v>
      </c>
      <c r="T72" s="117">
        <f t="shared" si="8"/>
        <v>0</v>
      </c>
      <c r="U72" s="207">
        <f t="shared" si="9"/>
        <v>0</v>
      </c>
    </row>
    <row r="73" spans="1:21">
      <c r="A73" s="118" t="str">
        <f>F_Inputs!A72</f>
        <v>SWB</v>
      </c>
      <c r="B73" s="118" t="str">
        <f>F_Inputs!B72</f>
        <v>PR24_NETTOTEX_WASTE</v>
      </c>
      <c r="C73" s="118" t="str">
        <f>F_Inputs!C72</f>
        <v>PR24 BP Net totex - Total inc. accelerated &amp; transition costs</v>
      </c>
      <c r="D73" s="118" t="str">
        <f>F_Inputs!D72</f>
        <v>£m</v>
      </c>
      <c r="E73" s="118" t="str">
        <f>F_Inputs!E72</f>
        <v>Price Review 2024</v>
      </c>
      <c r="F73" s="118" t="str">
        <f>F_Inputs!F72</f>
        <v/>
      </c>
      <c r="G73" s="118" t="str">
        <f>F_Inputs!G72</f>
        <v/>
      </c>
      <c r="H73" s="118" t="str">
        <f>F_Inputs!H72</f>
        <v/>
      </c>
      <c r="I73" s="118" t="str">
        <f>F_Inputs!I72</f>
        <v/>
      </c>
      <c r="J73" s="118" t="str">
        <f>F_Inputs!J72</f>
        <v/>
      </c>
      <c r="K73" s="118" t="str">
        <f>F_Inputs!K72</f>
        <v/>
      </c>
      <c r="L73" s="118" t="str">
        <f>F_Inputs!L72</f>
        <v/>
      </c>
      <c r="M73" s="118" t="str">
        <f t="shared" si="11"/>
        <v>PR24_N</v>
      </c>
      <c r="N73" s="117">
        <f t="shared" ref="N73:N128" si="12">IF(OR($M73="CWW12_",$M73= "CWW17_",$M73= "CWW20A",$M73="BN1603"),F73,0)</f>
        <v>0</v>
      </c>
      <c r="O73" s="117">
        <f t="shared" ref="O73:O128" si="13">IF(OR($M73="CWW12_",$M73= "CWW17_",$M73= "CWW20A",$M73="BN1603"),G73,0)</f>
        <v>0</v>
      </c>
      <c r="P73" s="117">
        <f t="shared" ref="P73:P128" si="14">IF(OR($M73="CWW3_0",$M73="BN1603"),H73,0)</f>
        <v>0</v>
      </c>
      <c r="Q73" s="117">
        <f t="shared" ref="Q73:Q128" si="15">IF(OR($M73="CWW3_0",$M73="CWW3_1", $M73= "CWW20_",$M73="CWW1A_",$M73="BN1603"),I73,0)</f>
        <v>0</v>
      </c>
      <c r="R73" s="117">
        <f t="shared" ref="R73:R128" si="16">IF(OR($M73="CWW3_0",$M73="CWW3_1", $M73= "CWW20_",$M73="CWW1A_",$M73="BN1603"),J73,0)</f>
        <v>0</v>
      </c>
      <c r="S73" s="117">
        <f t="shared" ref="S73:S128" si="17">IF(OR($M73="CWW3_0",$M73="CWW3_1", $M73= "CWW20_",$M73="CWW1A_",$M73="BN1603"),K73,0)</f>
        <v>0</v>
      </c>
      <c r="T73" s="117">
        <f t="shared" ref="T73:T128" si="18">IF(OR($M73="CWW3_0",$M73="CWW3_1", $M73= "CWW20_",$M73="CWW1A_",$M73="BN1603"),L73,0)</f>
        <v>0</v>
      </c>
      <c r="U73" s="207">
        <f t="shared" ref="U73:U128" si="19">SUM(N73:T73)</f>
        <v>0</v>
      </c>
    </row>
    <row r="74" spans="1:21">
      <c r="A74" s="118" t="str">
        <f>F_Inputs!A73</f>
        <v>SRN</v>
      </c>
      <c r="B74" s="118" t="str">
        <f>F_Inputs!B73</f>
        <v>CWW3_052TOT_PR24</v>
      </c>
      <c r="C74" s="118" t="str">
        <f>F_Inputs!C73</f>
        <v>EA/NRW environmental programme wastewater (WINEP/NEP) - Chemicals and emerging contaminants monitoring, investigations, options appraisals; (WINEP/NEP) wastewater capex - Total</v>
      </c>
      <c r="D74" s="118" t="str">
        <f>F_Inputs!D73</f>
        <v>£m</v>
      </c>
      <c r="E74" s="118" t="str">
        <f>F_Inputs!E73</f>
        <v>Price Review 2024</v>
      </c>
      <c r="F74" s="118">
        <f>F_Inputs!F73</f>
        <v>0.10299999999999999</v>
      </c>
      <c r="G74" s="118">
        <f>F_Inputs!G73</f>
        <v>0.151</v>
      </c>
      <c r="H74" s="118">
        <f>F_Inputs!H73</f>
        <v>0.34499999999999997</v>
      </c>
      <c r="I74" s="118">
        <f>F_Inputs!I73</f>
        <v>0.86399999999999999</v>
      </c>
      <c r="J74" s="118">
        <f>F_Inputs!J73</f>
        <v>5.5E-2</v>
      </c>
      <c r="K74" s="118">
        <f>F_Inputs!K73</f>
        <v>0</v>
      </c>
      <c r="L74" s="118">
        <f>F_Inputs!L73</f>
        <v>0</v>
      </c>
      <c r="M74" s="118" t="str">
        <f t="shared" si="11"/>
        <v>CWW3_0</v>
      </c>
      <c r="N74" s="117">
        <f t="shared" si="12"/>
        <v>0</v>
      </c>
      <c r="O74" s="117">
        <f t="shared" si="13"/>
        <v>0</v>
      </c>
      <c r="P74" s="117">
        <f t="shared" si="14"/>
        <v>0.34499999999999997</v>
      </c>
      <c r="Q74" s="117">
        <f t="shared" si="15"/>
        <v>0.86399999999999999</v>
      </c>
      <c r="R74" s="117">
        <f t="shared" si="16"/>
        <v>5.5E-2</v>
      </c>
      <c r="S74" s="117">
        <f t="shared" si="17"/>
        <v>0</v>
      </c>
      <c r="T74" s="117">
        <f t="shared" si="18"/>
        <v>0</v>
      </c>
      <c r="U74" s="207">
        <f t="shared" si="19"/>
        <v>1.264</v>
      </c>
    </row>
    <row r="75" spans="1:21">
      <c r="A75" s="118" t="str">
        <f>F_Inputs!A74</f>
        <v>SRN</v>
      </c>
      <c r="B75" s="118" t="str">
        <f>F_Inputs!B74</f>
        <v>CWW3_053TOT_PR24</v>
      </c>
      <c r="C75" s="118" t="str">
        <f>F_Inputs!C74</f>
        <v>EA/NRW environmental programme wastewater (WINEP/NEP) - Chemicals and emerging contaminants monitoring, investigations, options appraisals; (WINEP/NEP) wastewater opex - Total</v>
      </c>
      <c r="D75" s="118" t="str">
        <f>F_Inputs!D74</f>
        <v>£m</v>
      </c>
      <c r="E75" s="118" t="str">
        <f>F_Inputs!E74</f>
        <v>Price Review 2024</v>
      </c>
      <c r="F75" s="118">
        <f>F_Inputs!F74</f>
        <v>0</v>
      </c>
      <c r="G75" s="118">
        <f>F_Inputs!G74</f>
        <v>0</v>
      </c>
      <c r="H75" s="118">
        <f>F_Inputs!H74</f>
        <v>0.36399999999999999</v>
      </c>
      <c r="I75" s="118">
        <f>F_Inputs!I74</f>
        <v>0.61099999999999999</v>
      </c>
      <c r="J75" s="118">
        <f>F_Inputs!J74</f>
        <v>0</v>
      </c>
      <c r="K75" s="118">
        <f>F_Inputs!K74</f>
        <v>0</v>
      </c>
      <c r="L75" s="118">
        <f>F_Inputs!L74</f>
        <v>0</v>
      </c>
      <c r="M75" s="118" t="str">
        <f t="shared" si="11"/>
        <v>CWW3_0</v>
      </c>
      <c r="N75" s="117">
        <f t="shared" si="12"/>
        <v>0</v>
      </c>
      <c r="O75" s="117">
        <f t="shared" si="13"/>
        <v>0</v>
      </c>
      <c r="P75" s="117">
        <f t="shared" si="14"/>
        <v>0.36399999999999999</v>
      </c>
      <c r="Q75" s="117">
        <f t="shared" si="15"/>
        <v>0.61099999999999999</v>
      </c>
      <c r="R75" s="117">
        <f t="shared" si="16"/>
        <v>0</v>
      </c>
      <c r="S75" s="117">
        <f t="shared" si="17"/>
        <v>0</v>
      </c>
      <c r="T75" s="117">
        <f t="shared" si="18"/>
        <v>0</v>
      </c>
      <c r="U75" s="207">
        <f t="shared" si="19"/>
        <v>0.97499999999999998</v>
      </c>
    </row>
    <row r="76" spans="1:21">
      <c r="A76" s="118" t="str">
        <f>F_Inputs!A75</f>
        <v>SRN</v>
      </c>
      <c r="B76" s="118" t="str">
        <f>F_Inputs!B75</f>
        <v>CWW3_054TOT_PR24</v>
      </c>
      <c r="C76" s="118" t="str">
        <f>F_Inputs!C75</f>
        <v>EA/NRW environmental programme wastewater (WINEP/NEP) - Chemicals and emerging contaminants monitoring, investigations, options appraisals; (WINEP/NEP) wastewater totex - Total</v>
      </c>
      <c r="D76" s="118" t="str">
        <f>F_Inputs!D75</f>
        <v>£m</v>
      </c>
      <c r="E76" s="118" t="str">
        <f>F_Inputs!E75</f>
        <v>Price Review 2024</v>
      </c>
      <c r="F76" s="118">
        <f>F_Inputs!F75</f>
        <v>0.10299999999999999</v>
      </c>
      <c r="G76" s="118">
        <f>F_Inputs!G75</f>
        <v>0.151</v>
      </c>
      <c r="H76" s="118">
        <f>F_Inputs!H75</f>
        <v>0.70899999999999996</v>
      </c>
      <c r="I76" s="118">
        <f>F_Inputs!I75</f>
        <v>1.4750000000000001</v>
      </c>
      <c r="J76" s="118">
        <f>F_Inputs!J75</f>
        <v>5.5E-2</v>
      </c>
      <c r="K76" s="118">
        <f>F_Inputs!K75</f>
        <v>0</v>
      </c>
      <c r="L76" s="118">
        <f>F_Inputs!L75</f>
        <v>0</v>
      </c>
      <c r="M76" s="118" t="str">
        <f t="shared" si="11"/>
        <v>CWW3_0</v>
      </c>
      <c r="N76" s="117">
        <f t="shared" si="12"/>
        <v>0</v>
      </c>
      <c r="O76" s="117">
        <f t="shared" si="13"/>
        <v>0</v>
      </c>
      <c r="P76" s="117">
        <f t="shared" si="14"/>
        <v>0.70899999999999996</v>
      </c>
      <c r="Q76" s="117">
        <f t="shared" si="15"/>
        <v>1.4750000000000001</v>
      </c>
      <c r="R76" s="117">
        <f t="shared" si="16"/>
        <v>5.5E-2</v>
      </c>
      <c r="S76" s="117">
        <f t="shared" si="17"/>
        <v>0</v>
      </c>
      <c r="T76" s="117">
        <f t="shared" si="18"/>
        <v>0</v>
      </c>
      <c r="U76" s="207">
        <f t="shared" si="19"/>
        <v>2.2390000000000003</v>
      </c>
    </row>
    <row r="77" spans="1:21">
      <c r="A77" s="118" t="str">
        <f>F_Inputs!A76</f>
        <v>SRN</v>
      </c>
      <c r="B77" s="118" t="str">
        <f>F_Inputs!B76</f>
        <v>BN1603_PR24</v>
      </c>
      <c r="C77" s="118" t="str">
        <f>F_Inputs!C76</f>
        <v>Sewage treatment data - Current population equivalent served by STWs</v>
      </c>
      <c r="D77" s="118" t="str">
        <f>F_Inputs!D76</f>
        <v>000s</v>
      </c>
      <c r="E77" s="118" t="str">
        <f>F_Inputs!E76</f>
        <v>Price Review 2024</v>
      </c>
      <c r="F77" s="118">
        <f>F_Inputs!F76</f>
        <v>4975.1540000000005</v>
      </c>
      <c r="G77" s="118">
        <f>F_Inputs!G76</f>
        <v>5091.7139999999999</v>
      </c>
      <c r="H77" s="118">
        <f>F_Inputs!H76</f>
        <v>5135.1840000000002</v>
      </c>
      <c r="I77" s="118">
        <f>F_Inputs!I76</f>
        <v>5172.4110000000001</v>
      </c>
      <c r="J77" s="118">
        <f>F_Inputs!J76</f>
        <v>5205.9669999999996</v>
      </c>
      <c r="K77" s="118">
        <f>F_Inputs!K76</f>
        <v>5235.5519999999997</v>
      </c>
      <c r="L77" s="118">
        <f>F_Inputs!L76</f>
        <v>5265.1540000000005</v>
      </c>
      <c r="M77" s="118" t="str">
        <f t="shared" si="11"/>
        <v>BN1603</v>
      </c>
      <c r="N77" s="117">
        <f t="shared" si="12"/>
        <v>4975.1540000000005</v>
      </c>
      <c r="O77" s="117">
        <f t="shared" si="13"/>
        <v>5091.7139999999999</v>
      </c>
      <c r="P77" s="117">
        <f t="shared" si="14"/>
        <v>5135.1840000000002</v>
      </c>
      <c r="Q77" s="117">
        <f t="shared" si="15"/>
        <v>5172.4110000000001</v>
      </c>
      <c r="R77" s="117">
        <f t="shared" si="16"/>
        <v>5205.9669999999996</v>
      </c>
      <c r="S77" s="117">
        <f t="shared" si="17"/>
        <v>5235.5519999999997</v>
      </c>
      <c r="T77" s="117">
        <f t="shared" si="18"/>
        <v>5265.1540000000005</v>
      </c>
      <c r="U77" s="207">
        <f t="shared" si="19"/>
        <v>36081.135999999999</v>
      </c>
    </row>
    <row r="78" spans="1:21">
      <c r="A78" s="118" t="str">
        <f>F_Inputs!A77</f>
        <v>SRN</v>
      </c>
      <c r="B78" s="118" t="str">
        <f>F_Inputs!B77</f>
        <v>CWW12_052TOT_PR24</v>
      </c>
      <c r="C78" s="118" t="str">
        <f>F_Inputs!C77</f>
        <v>EA/NRW environmental programme wastewater (WINEP/NEP) - Chemicals and emerging contaminants monitoring, investigations, options appraisals; (WINEP/NEP) wastewater capex - Total</v>
      </c>
      <c r="D78" s="118" t="str">
        <f>F_Inputs!D77</f>
        <v>£m</v>
      </c>
      <c r="E78" s="118" t="str">
        <f>F_Inputs!E77</f>
        <v>Price Review 2024</v>
      </c>
      <c r="F78" s="118">
        <f>F_Inputs!F77</f>
        <v>0</v>
      </c>
      <c r="G78" s="118">
        <f>F_Inputs!G77</f>
        <v>0</v>
      </c>
      <c r="H78" s="118" t="str">
        <f>F_Inputs!H77</f>
        <v/>
      </c>
      <c r="I78" s="118" t="str">
        <f>F_Inputs!I77</f>
        <v/>
      </c>
      <c r="J78" s="118" t="str">
        <f>F_Inputs!J77</f>
        <v/>
      </c>
      <c r="K78" s="118" t="str">
        <f>F_Inputs!K77</f>
        <v/>
      </c>
      <c r="L78" s="118" t="str">
        <f>F_Inputs!L77</f>
        <v/>
      </c>
      <c r="M78" s="118" t="str">
        <f t="shared" si="11"/>
        <v>CWW12_</v>
      </c>
      <c r="N78" s="117">
        <f t="shared" si="12"/>
        <v>0</v>
      </c>
      <c r="O78" s="117">
        <f t="shared" si="13"/>
        <v>0</v>
      </c>
      <c r="P78" s="117">
        <f t="shared" si="14"/>
        <v>0</v>
      </c>
      <c r="Q78" s="117">
        <f t="shared" si="15"/>
        <v>0</v>
      </c>
      <c r="R78" s="117">
        <f t="shared" si="16"/>
        <v>0</v>
      </c>
      <c r="S78" s="117">
        <f t="shared" si="17"/>
        <v>0</v>
      </c>
      <c r="T78" s="117">
        <f t="shared" si="18"/>
        <v>0</v>
      </c>
      <c r="U78" s="207">
        <f t="shared" si="19"/>
        <v>0</v>
      </c>
    </row>
    <row r="79" spans="1:21">
      <c r="A79" s="118" t="str">
        <f>F_Inputs!A78</f>
        <v>SRN</v>
      </c>
      <c r="B79" s="118" t="str">
        <f>F_Inputs!B78</f>
        <v>CWW17_052TOT_PR24</v>
      </c>
      <c r="C79" s="118" t="str">
        <f>F_Inputs!C78</f>
        <v>EA/NRW environmental programme wastewater (WINEP/NEP) - Chemicals and emerging contaminants monitoring, investigations, options appraisals; (WINEP/NEP) wastewater capex - Total</v>
      </c>
      <c r="D79" s="118" t="str">
        <f>F_Inputs!D78</f>
        <v>£m</v>
      </c>
      <c r="E79" s="118" t="str">
        <f>F_Inputs!E78</f>
        <v>Price Review 2024</v>
      </c>
      <c r="F79" s="118">
        <f>F_Inputs!F78</f>
        <v>0</v>
      </c>
      <c r="G79" s="118">
        <f>F_Inputs!G78</f>
        <v>0</v>
      </c>
      <c r="H79" s="118">
        <f>F_Inputs!H78</f>
        <v>0</v>
      </c>
      <c r="I79" s="118">
        <f>F_Inputs!I78</f>
        <v>0</v>
      </c>
      <c r="J79" s="118">
        <f>F_Inputs!J78</f>
        <v>0</v>
      </c>
      <c r="K79" s="118">
        <f>F_Inputs!K78</f>
        <v>0</v>
      </c>
      <c r="L79" s="118">
        <f>F_Inputs!L78</f>
        <v>0</v>
      </c>
      <c r="M79" s="118" t="str">
        <f t="shared" si="11"/>
        <v>CWW17_</v>
      </c>
      <c r="N79" s="117">
        <f t="shared" si="12"/>
        <v>0</v>
      </c>
      <c r="O79" s="117">
        <f t="shared" si="13"/>
        <v>0</v>
      </c>
      <c r="P79" s="117">
        <f t="shared" si="14"/>
        <v>0</v>
      </c>
      <c r="Q79" s="117">
        <f t="shared" si="15"/>
        <v>0</v>
      </c>
      <c r="R79" s="117">
        <f t="shared" si="16"/>
        <v>0</v>
      </c>
      <c r="S79" s="117">
        <f t="shared" si="17"/>
        <v>0</v>
      </c>
      <c r="T79" s="117">
        <f t="shared" si="18"/>
        <v>0</v>
      </c>
      <c r="U79" s="207">
        <f t="shared" si="19"/>
        <v>0</v>
      </c>
    </row>
    <row r="80" spans="1:21">
      <c r="A80" s="118" t="str">
        <f>F_Inputs!A79</f>
        <v>SRN</v>
      </c>
      <c r="B80" s="118" t="str">
        <f>F_Inputs!B79</f>
        <v>CWW12_053TOT_PR24</v>
      </c>
      <c r="C80" s="118" t="str">
        <f>F_Inputs!C79</f>
        <v>EA/NRW environmental programme wastewater (WINEP/NEP) - Chemicals and emerging contaminants monitoring, investigations, options appraisals; (WINEP/NEP) wastewater opex - Total</v>
      </c>
      <c r="D80" s="118" t="str">
        <f>F_Inputs!D79</f>
        <v>£m</v>
      </c>
      <c r="E80" s="118" t="str">
        <f>F_Inputs!E79</f>
        <v>Price Review 2024</v>
      </c>
      <c r="F80" s="118">
        <f>F_Inputs!F79</f>
        <v>0</v>
      </c>
      <c r="G80" s="118">
        <f>F_Inputs!G79</f>
        <v>0</v>
      </c>
      <c r="H80" s="118" t="str">
        <f>F_Inputs!H79</f>
        <v/>
      </c>
      <c r="I80" s="118" t="str">
        <f>F_Inputs!I79</f>
        <v/>
      </c>
      <c r="J80" s="118" t="str">
        <f>F_Inputs!J79</f>
        <v/>
      </c>
      <c r="K80" s="118" t="str">
        <f>F_Inputs!K79</f>
        <v/>
      </c>
      <c r="L80" s="118" t="str">
        <f>F_Inputs!L79</f>
        <v/>
      </c>
      <c r="M80" s="118" t="str">
        <f t="shared" si="11"/>
        <v>CWW12_</v>
      </c>
      <c r="N80" s="117">
        <f t="shared" si="12"/>
        <v>0</v>
      </c>
      <c r="O80" s="117">
        <f t="shared" si="13"/>
        <v>0</v>
      </c>
      <c r="P80" s="117">
        <f t="shared" si="14"/>
        <v>0</v>
      </c>
      <c r="Q80" s="117">
        <f t="shared" si="15"/>
        <v>0</v>
      </c>
      <c r="R80" s="117">
        <f t="shared" si="16"/>
        <v>0</v>
      </c>
      <c r="S80" s="117">
        <f t="shared" si="17"/>
        <v>0</v>
      </c>
      <c r="T80" s="117">
        <f t="shared" si="18"/>
        <v>0</v>
      </c>
      <c r="U80" s="207">
        <f t="shared" si="19"/>
        <v>0</v>
      </c>
    </row>
    <row r="81" spans="1:21">
      <c r="A81" s="118" t="str">
        <f>F_Inputs!A80</f>
        <v>SRN</v>
      </c>
      <c r="B81" s="118" t="str">
        <f>F_Inputs!B80</f>
        <v>CWW17_053TOT_PR24</v>
      </c>
      <c r="C81" s="118" t="str">
        <f>F_Inputs!C80</f>
        <v>EA/NRW environmental programme wastewater (WINEP/NEP) - Chemicals and emerging contaminants monitoring, investigations, options appraisals; (WINEP/NEP) wastewater opex - Total</v>
      </c>
      <c r="D81" s="118" t="str">
        <f>F_Inputs!D80</f>
        <v>£m</v>
      </c>
      <c r="E81" s="118" t="str">
        <f>F_Inputs!E80</f>
        <v>Price Review 2024</v>
      </c>
      <c r="F81" s="118">
        <f>F_Inputs!F80</f>
        <v>0</v>
      </c>
      <c r="G81" s="118">
        <f>F_Inputs!G80</f>
        <v>0</v>
      </c>
      <c r="H81" s="118">
        <f>F_Inputs!H80</f>
        <v>0</v>
      </c>
      <c r="I81" s="118">
        <f>F_Inputs!I80</f>
        <v>0</v>
      </c>
      <c r="J81" s="118">
        <f>F_Inputs!J80</f>
        <v>0</v>
      </c>
      <c r="K81" s="118">
        <f>F_Inputs!K80</f>
        <v>0</v>
      </c>
      <c r="L81" s="118">
        <f>F_Inputs!L80</f>
        <v>0</v>
      </c>
      <c r="M81" s="118" t="str">
        <f t="shared" si="11"/>
        <v>CWW17_</v>
      </c>
      <c r="N81" s="117">
        <f t="shared" si="12"/>
        <v>0</v>
      </c>
      <c r="O81" s="117">
        <f t="shared" si="13"/>
        <v>0</v>
      </c>
      <c r="P81" s="117">
        <f t="shared" si="14"/>
        <v>0</v>
      </c>
      <c r="Q81" s="117">
        <f t="shared" si="15"/>
        <v>0</v>
      </c>
      <c r="R81" s="117">
        <f t="shared" si="16"/>
        <v>0</v>
      </c>
      <c r="S81" s="117">
        <f t="shared" si="17"/>
        <v>0</v>
      </c>
      <c r="T81" s="117">
        <f t="shared" si="18"/>
        <v>0</v>
      </c>
      <c r="U81" s="207">
        <f t="shared" si="19"/>
        <v>0</v>
      </c>
    </row>
    <row r="82" spans="1:21">
      <c r="A82" s="118" t="str">
        <f>F_Inputs!A81</f>
        <v>SRN</v>
      </c>
      <c r="B82" s="118" t="str">
        <f>F_Inputs!B81</f>
        <v>CWW12_054TOT_PR24</v>
      </c>
      <c r="C82" s="118" t="str">
        <f>F_Inputs!C81</f>
        <v>EA/NRW environmental programme wastewater (WINEP/NEP) - Chemicals and emerging contaminants monitoring, investigations, options appraisals; (WINEP/NEP) wastewater totex - Total</v>
      </c>
      <c r="D82" s="118" t="str">
        <f>F_Inputs!D81</f>
        <v>£m</v>
      </c>
      <c r="E82" s="118" t="str">
        <f>F_Inputs!E81</f>
        <v>Price Review 2024</v>
      </c>
      <c r="F82" s="118">
        <f>F_Inputs!F81</f>
        <v>0</v>
      </c>
      <c r="G82" s="118">
        <f>F_Inputs!G81</f>
        <v>0</v>
      </c>
      <c r="H82" s="118" t="str">
        <f>F_Inputs!H81</f>
        <v/>
      </c>
      <c r="I82" s="118" t="str">
        <f>F_Inputs!I81</f>
        <v/>
      </c>
      <c r="J82" s="118" t="str">
        <f>F_Inputs!J81</f>
        <v/>
      </c>
      <c r="K82" s="118" t="str">
        <f>F_Inputs!K81</f>
        <v/>
      </c>
      <c r="L82" s="118" t="str">
        <f>F_Inputs!L81</f>
        <v/>
      </c>
      <c r="M82" s="118" t="str">
        <f t="shared" si="11"/>
        <v>CWW12_</v>
      </c>
      <c r="N82" s="117">
        <f t="shared" si="12"/>
        <v>0</v>
      </c>
      <c r="O82" s="117">
        <f t="shared" si="13"/>
        <v>0</v>
      </c>
      <c r="P82" s="117">
        <f t="shared" si="14"/>
        <v>0</v>
      </c>
      <c r="Q82" s="117">
        <f t="shared" si="15"/>
        <v>0</v>
      </c>
      <c r="R82" s="117">
        <f t="shared" si="16"/>
        <v>0</v>
      </c>
      <c r="S82" s="117">
        <f t="shared" si="17"/>
        <v>0</v>
      </c>
      <c r="T82" s="117">
        <f t="shared" si="18"/>
        <v>0</v>
      </c>
      <c r="U82" s="207">
        <f t="shared" si="19"/>
        <v>0</v>
      </c>
    </row>
    <row r="83" spans="1:21">
      <c r="A83" s="118" t="str">
        <f>F_Inputs!A82</f>
        <v>SRN</v>
      </c>
      <c r="B83" s="118" t="str">
        <f>F_Inputs!B82</f>
        <v>CWW17_054TOT_PR24</v>
      </c>
      <c r="C83" s="118" t="str">
        <f>F_Inputs!C82</f>
        <v>EA/NRW environmental programme wastewater (WINEP/NEP) - Chemicals and emerging contaminants monitoring, investigations, options appraisals; (WINEP/NEP) wastewater totex - Total</v>
      </c>
      <c r="D83" s="118" t="str">
        <f>F_Inputs!D82</f>
        <v>£m</v>
      </c>
      <c r="E83" s="118" t="str">
        <f>F_Inputs!E82</f>
        <v>Price Review 2024</v>
      </c>
      <c r="F83" s="118">
        <f>F_Inputs!F82</f>
        <v>0</v>
      </c>
      <c r="G83" s="118">
        <f>F_Inputs!G82</f>
        <v>0</v>
      </c>
      <c r="H83" s="118">
        <f>F_Inputs!H82</f>
        <v>0</v>
      </c>
      <c r="I83" s="118">
        <f>F_Inputs!I82</f>
        <v>0</v>
      </c>
      <c r="J83" s="118">
        <f>F_Inputs!J82</f>
        <v>0</v>
      </c>
      <c r="K83" s="118">
        <f>F_Inputs!K82</f>
        <v>0</v>
      </c>
      <c r="L83" s="118">
        <f>F_Inputs!L82</f>
        <v>0</v>
      </c>
      <c r="M83" s="118" t="str">
        <f t="shared" si="11"/>
        <v>CWW17_</v>
      </c>
      <c r="N83" s="117">
        <f t="shared" si="12"/>
        <v>0</v>
      </c>
      <c r="O83" s="117">
        <f t="shared" si="13"/>
        <v>0</v>
      </c>
      <c r="P83" s="117">
        <f t="shared" si="14"/>
        <v>0</v>
      </c>
      <c r="Q83" s="117">
        <f t="shared" si="15"/>
        <v>0</v>
      </c>
      <c r="R83" s="117">
        <f t="shared" si="16"/>
        <v>0</v>
      </c>
      <c r="S83" s="117">
        <f t="shared" si="17"/>
        <v>0</v>
      </c>
      <c r="T83" s="117">
        <f t="shared" si="18"/>
        <v>0</v>
      </c>
      <c r="U83" s="207">
        <f t="shared" si="19"/>
        <v>0</v>
      </c>
    </row>
    <row r="84" spans="1:21">
      <c r="A84" s="118" t="str">
        <f>F_Inputs!A83</f>
        <v>SRN</v>
      </c>
      <c r="B84" s="118" t="str">
        <f>F_Inputs!B83</f>
        <v>PR24_NETTOTEX_WASTE</v>
      </c>
      <c r="C84" s="118" t="str">
        <f>F_Inputs!C83</f>
        <v>PR24 BP Net totex - Total inc. accelerated &amp; transition costs</v>
      </c>
      <c r="D84" s="118" t="str">
        <f>F_Inputs!D83</f>
        <v>£m</v>
      </c>
      <c r="E84" s="118" t="str">
        <f>F_Inputs!E83</f>
        <v>Price Review 2024</v>
      </c>
      <c r="F84" s="118" t="str">
        <f>F_Inputs!F83</f>
        <v/>
      </c>
      <c r="G84" s="118" t="str">
        <f>F_Inputs!G83</f>
        <v/>
      </c>
      <c r="H84" s="118" t="str">
        <f>F_Inputs!H83</f>
        <v/>
      </c>
      <c r="I84" s="118" t="str">
        <f>F_Inputs!I83</f>
        <v/>
      </c>
      <c r="J84" s="118" t="str">
        <f>F_Inputs!J83</f>
        <v/>
      </c>
      <c r="K84" s="118" t="str">
        <f>F_Inputs!K83</f>
        <v/>
      </c>
      <c r="L84" s="118" t="str">
        <f>F_Inputs!L83</f>
        <v/>
      </c>
      <c r="M84" s="118" t="str">
        <f t="shared" si="11"/>
        <v>PR24_N</v>
      </c>
      <c r="N84" s="117">
        <f t="shared" si="12"/>
        <v>0</v>
      </c>
      <c r="O84" s="117">
        <f t="shared" si="13"/>
        <v>0</v>
      </c>
      <c r="P84" s="117">
        <f t="shared" si="14"/>
        <v>0</v>
      </c>
      <c r="Q84" s="117">
        <f t="shared" si="15"/>
        <v>0</v>
      </c>
      <c r="R84" s="117">
        <f t="shared" si="16"/>
        <v>0</v>
      </c>
      <c r="S84" s="117">
        <f t="shared" si="17"/>
        <v>0</v>
      </c>
      <c r="T84" s="117">
        <f t="shared" si="18"/>
        <v>0</v>
      </c>
      <c r="U84" s="207">
        <f t="shared" si="19"/>
        <v>0</v>
      </c>
    </row>
    <row r="85" spans="1:21">
      <c r="A85" s="118" t="str">
        <f>F_Inputs!A84</f>
        <v>TMS</v>
      </c>
      <c r="B85" s="118" t="str">
        <f>F_Inputs!B84</f>
        <v>CWW3_052TOT_PR24</v>
      </c>
      <c r="C85" s="118" t="str">
        <f>F_Inputs!C84</f>
        <v>EA/NRW environmental programme wastewater (WINEP/NEP) - Chemicals and emerging contaminants monitoring, investigations, options appraisals; (WINEP/NEP) wastewater capex - Total</v>
      </c>
      <c r="D85" s="118" t="str">
        <f>F_Inputs!D84</f>
        <v>£m</v>
      </c>
      <c r="E85" s="118" t="str">
        <f>F_Inputs!E84</f>
        <v>Price Review 2024</v>
      </c>
      <c r="F85" s="118">
        <f>F_Inputs!F84</f>
        <v>1.4419999999999999</v>
      </c>
      <c r="G85" s="118">
        <f>F_Inputs!G84</f>
        <v>0</v>
      </c>
      <c r="H85" s="118">
        <f>F_Inputs!H84</f>
        <v>1.177</v>
      </c>
      <c r="I85" s="118">
        <f>F_Inputs!I84</f>
        <v>1.1830000000000001</v>
      </c>
      <c r="J85" s="118">
        <f>F_Inputs!J84</f>
        <v>0.59399999999999997</v>
      </c>
      <c r="K85" s="118">
        <f>F_Inputs!K84</f>
        <v>0</v>
      </c>
      <c r="L85" s="118">
        <f>F_Inputs!L84</f>
        <v>0</v>
      </c>
      <c r="M85" s="118" t="str">
        <f t="shared" si="11"/>
        <v>CWW3_0</v>
      </c>
      <c r="N85" s="117">
        <f t="shared" si="12"/>
        <v>0</v>
      </c>
      <c r="O85" s="117">
        <f t="shared" si="13"/>
        <v>0</v>
      </c>
      <c r="P85" s="117">
        <f t="shared" si="14"/>
        <v>1.177</v>
      </c>
      <c r="Q85" s="117">
        <f t="shared" si="15"/>
        <v>1.1830000000000001</v>
      </c>
      <c r="R85" s="117">
        <f t="shared" si="16"/>
        <v>0.59399999999999997</v>
      </c>
      <c r="S85" s="117">
        <f t="shared" si="17"/>
        <v>0</v>
      </c>
      <c r="T85" s="117">
        <f t="shared" si="18"/>
        <v>0</v>
      </c>
      <c r="U85" s="207">
        <f t="shared" si="19"/>
        <v>2.9540000000000002</v>
      </c>
    </row>
    <row r="86" spans="1:21">
      <c r="A86" s="118" t="str">
        <f>F_Inputs!A85</f>
        <v>TMS</v>
      </c>
      <c r="B86" s="118" t="str">
        <f>F_Inputs!B85</f>
        <v>CWW3_053TOT_PR24</v>
      </c>
      <c r="C86" s="118" t="str">
        <f>F_Inputs!C85</f>
        <v>EA/NRW environmental programme wastewater (WINEP/NEP) - Chemicals and emerging contaminants monitoring, investigations, options appraisals; (WINEP/NEP) wastewater opex - Total</v>
      </c>
      <c r="D86" s="118" t="str">
        <f>F_Inputs!D85</f>
        <v>£m</v>
      </c>
      <c r="E86" s="118" t="str">
        <f>F_Inputs!E85</f>
        <v>Price Review 2024</v>
      </c>
      <c r="F86" s="118">
        <f>F_Inputs!F85</f>
        <v>0.01</v>
      </c>
      <c r="G86" s="118">
        <f>F_Inputs!G85</f>
        <v>0</v>
      </c>
      <c r="H86" s="118">
        <f>F_Inputs!H85</f>
        <v>0.57499999999999996</v>
      </c>
      <c r="I86" s="118">
        <f>F_Inputs!I85</f>
        <v>1.429</v>
      </c>
      <c r="J86" s="118">
        <f>F_Inputs!J85</f>
        <v>2.1930000000000001</v>
      </c>
      <c r="K86" s="118">
        <f>F_Inputs!K85</f>
        <v>8.5000000000000006E-2</v>
      </c>
      <c r="L86" s="118">
        <f>F_Inputs!L85</f>
        <v>8.5999999999999993E-2</v>
      </c>
      <c r="M86" s="118" t="str">
        <f t="shared" si="11"/>
        <v>CWW3_0</v>
      </c>
      <c r="N86" s="117">
        <f t="shared" si="12"/>
        <v>0</v>
      </c>
      <c r="O86" s="117">
        <f t="shared" si="13"/>
        <v>0</v>
      </c>
      <c r="P86" s="117">
        <f t="shared" si="14"/>
        <v>0.57499999999999996</v>
      </c>
      <c r="Q86" s="117">
        <f t="shared" si="15"/>
        <v>1.429</v>
      </c>
      <c r="R86" s="117">
        <f t="shared" si="16"/>
        <v>2.1930000000000001</v>
      </c>
      <c r="S86" s="117">
        <f t="shared" si="17"/>
        <v>8.5000000000000006E-2</v>
      </c>
      <c r="T86" s="117">
        <f t="shared" si="18"/>
        <v>8.5999999999999993E-2</v>
      </c>
      <c r="U86" s="207">
        <f t="shared" si="19"/>
        <v>4.3680000000000003</v>
      </c>
    </row>
    <row r="87" spans="1:21">
      <c r="A87" s="118" t="str">
        <f>F_Inputs!A86</f>
        <v>TMS</v>
      </c>
      <c r="B87" s="118" t="str">
        <f>F_Inputs!B86</f>
        <v>CWW3_054TOT_PR24</v>
      </c>
      <c r="C87" s="118" t="str">
        <f>F_Inputs!C86</f>
        <v>EA/NRW environmental programme wastewater (WINEP/NEP) - Chemicals and emerging contaminants monitoring, investigations, options appraisals; (WINEP/NEP) wastewater totex - Total</v>
      </c>
      <c r="D87" s="118" t="str">
        <f>F_Inputs!D86</f>
        <v>£m</v>
      </c>
      <c r="E87" s="118" t="str">
        <f>F_Inputs!E86</f>
        <v>Price Review 2024</v>
      </c>
      <c r="F87" s="118">
        <f>F_Inputs!F86</f>
        <v>1.452</v>
      </c>
      <c r="G87" s="118">
        <f>F_Inputs!G86</f>
        <v>0</v>
      </c>
      <c r="H87" s="118">
        <f>F_Inputs!H86</f>
        <v>1.752</v>
      </c>
      <c r="I87" s="118">
        <f>F_Inputs!I86</f>
        <v>2.6120000000000001</v>
      </c>
      <c r="J87" s="118">
        <f>F_Inputs!J86</f>
        <v>2.7869999999999999</v>
      </c>
      <c r="K87" s="118">
        <f>F_Inputs!K86</f>
        <v>8.5000000000000006E-2</v>
      </c>
      <c r="L87" s="118">
        <f>F_Inputs!L86</f>
        <v>8.5999999999999993E-2</v>
      </c>
      <c r="M87" s="118" t="str">
        <f t="shared" si="11"/>
        <v>CWW3_0</v>
      </c>
      <c r="N87" s="117">
        <f t="shared" si="12"/>
        <v>0</v>
      </c>
      <c r="O87" s="117">
        <f t="shared" si="13"/>
        <v>0</v>
      </c>
      <c r="P87" s="117">
        <f t="shared" si="14"/>
        <v>1.752</v>
      </c>
      <c r="Q87" s="117">
        <f t="shared" si="15"/>
        <v>2.6120000000000001</v>
      </c>
      <c r="R87" s="117">
        <f t="shared" si="16"/>
        <v>2.7869999999999999</v>
      </c>
      <c r="S87" s="117">
        <f t="shared" si="17"/>
        <v>8.5000000000000006E-2</v>
      </c>
      <c r="T87" s="117">
        <f t="shared" si="18"/>
        <v>8.5999999999999993E-2</v>
      </c>
      <c r="U87" s="207">
        <f t="shared" si="19"/>
        <v>7.3220000000000001</v>
      </c>
    </row>
    <row r="88" spans="1:21">
      <c r="A88" s="118" t="str">
        <f>F_Inputs!A87</f>
        <v>TMS</v>
      </c>
      <c r="B88" s="118" t="str">
        <f>F_Inputs!B87</f>
        <v>BN1603_PR24</v>
      </c>
      <c r="C88" s="118" t="str">
        <f>F_Inputs!C87</f>
        <v>Sewage treatment data - Current population equivalent served by STWs</v>
      </c>
      <c r="D88" s="118" t="str">
        <f>F_Inputs!D87</f>
        <v>000s</v>
      </c>
      <c r="E88" s="118" t="str">
        <f>F_Inputs!E87</f>
        <v>Price Review 2024</v>
      </c>
      <c r="F88" s="118">
        <f>F_Inputs!F87</f>
        <v>15428.745999999999</v>
      </c>
      <c r="G88" s="118">
        <f>F_Inputs!G87</f>
        <v>15703.163270516319</v>
      </c>
      <c r="H88" s="118">
        <f>F_Inputs!H87</f>
        <v>15862.103270516331</v>
      </c>
      <c r="I88" s="118">
        <f>F_Inputs!I87</f>
        <v>16007.703270516329</v>
      </c>
      <c r="J88" s="118">
        <f>F_Inputs!J87</f>
        <v>16139.98327051633</v>
      </c>
      <c r="K88" s="118">
        <f>F_Inputs!K87</f>
        <v>16266.33327051633</v>
      </c>
      <c r="L88" s="118">
        <f>F_Inputs!L87</f>
        <v>16369.74327051633</v>
      </c>
      <c r="M88" s="118" t="str">
        <f t="shared" si="11"/>
        <v>BN1603</v>
      </c>
      <c r="N88" s="117">
        <f t="shared" si="12"/>
        <v>15428.745999999999</v>
      </c>
      <c r="O88" s="117">
        <f t="shared" si="13"/>
        <v>15703.163270516319</v>
      </c>
      <c r="P88" s="117">
        <f t="shared" si="14"/>
        <v>15862.103270516331</v>
      </c>
      <c r="Q88" s="117">
        <f t="shared" si="15"/>
        <v>16007.703270516329</v>
      </c>
      <c r="R88" s="117">
        <f t="shared" si="16"/>
        <v>16139.98327051633</v>
      </c>
      <c r="S88" s="117">
        <f t="shared" si="17"/>
        <v>16266.33327051633</v>
      </c>
      <c r="T88" s="117">
        <f t="shared" si="18"/>
        <v>16369.74327051633</v>
      </c>
      <c r="U88" s="207">
        <f t="shared" si="19"/>
        <v>111777.77562309799</v>
      </c>
    </row>
    <row r="89" spans="1:21">
      <c r="A89" s="118" t="str">
        <f>F_Inputs!A88</f>
        <v>TMS</v>
      </c>
      <c r="B89" s="118" t="str">
        <f>F_Inputs!B88</f>
        <v>CWW12_052TOT_PR24</v>
      </c>
      <c r="C89" s="118" t="str">
        <f>F_Inputs!C88</f>
        <v>EA/NRW environmental programme wastewater (WINEP/NEP) - Chemicals and emerging contaminants monitoring, investigations, options appraisals; (WINEP/NEP) wastewater capex - Total</v>
      </c>
      <c r="D89" s="118" t="str">
        <f>F_Inputs!D88</f>
        <v>£m</v>
      </c>
      <c r="E89" s="118" t="str">
        <f>F_Inputs!E88</f>
        <v>Price Review 2024</v>
      </c>
      <c r="F89" s="118">
        <f>F_Inputs!F88</f>
        <v>0</v>
      </c>
      <c r="G89" s="118">
        <f>F_Inputs!G88</f>
        <v>0</v>
      </c>
      <c r="H89" s="118" t="str">
        <f>F_Inputs!H88</f>
        <v/>
      </c>
      <c r="I89" s="118" t="str">
        <f>F_Inputs!I88</f>
        <v/>
      </c>
      <c r="J89" s="118" t="str">
        <f>F_Inputs!J88</f>
        <v/>
      </c>
      <c r="K89" s="118" t="str">
        <f>F_Inputs!K88</f>
        <v/>
      </c>
      <c r="L89" s="118" t="str">
        <f>F_Inputs!L88</f>
        <v/>
      </c>
      <c r="M89" s="118" t="str">
        <f t="shared" si="11"/>
        <v>CWW12_</v>
      </c>
      <c r="N89" s="117">
        <f t="shared" si="12"/>
        <v>0</v>
      </c>
      <c r="O89" s="117">
        <f t="shared" si="13"/>
        <v>0</v>
      </c>
      <c r="P89" s="117">
        <f t="shared" si="14"/>
        <v>0</v>
      </c>
      <c r="Q89" s="117">
        <f t="shared" si="15"/>
        <v>0</v>
      </c>
      <c r="R89" s="117">
        <f t="shared" si="16"/>
        <v>0</v>
      </c>
      <c r="S89" s="117">
        <f t="shared" si="17"/>
        <v>0</v>
      </c>
      <c r="T89" s="117">
        <f t="shared" si="18"/>
        <v>0</v>
      </c>
      <c r="U89" s="207">
        <f t="shared" si="19"/>
        <v>0</v>
      </c>
    </row>
    <row r="90" spans="1:21">
      <c r="A90" s="118" t="str">
        <f>F_Inputs!A89</f>
        <v>TMS</v>
      </c>
      <c r="B90" s="118" t="str">
        <f>F_Inputs!B89</f>
        <v>CWW17_052TOT_PR24</v>
      </c>
      <c r="C90" s="118" t="str">
        <f>F_Inputs!C89</f>
        <v>EA/NRW environmental programme wastewater (WINEP/NEP) - Chemicals and emerging contaminants monitoring, investigations, options appraisals; (WINEP/NEP) wastewater capex - Total</v>
      </c>
      <c r="D90" s="118" t="str">
        <f>F_Inputs!D89</f>
        <v>£m</v>
      </c>
      <c r="E90" s="118" t="str">
        <f>F_Inputs!E89</f>
        <v>Price Review 2024</v>
      </c>
      <c r="F90" s="118">
        <f>F_Inputs!F89</f>
        <v>0</v>
      </c>
      <c r="G90" s="118">
        <f>F_Inputs!G89</f>
        <v>0</v>
      </c>
      <c r="H90" s="118">
        <f>F_Inputs!H89</f>
        <v>0</v>
      </c>
      <c r="I90" s="118">
        <f>F_Inputs!I89</f>
        <v>0</v>
      </c>
      <c r="J90" s="118">
        <f>F_Inputs!J89</f>
        <v>0</v>
      </c>
      <c r="K90" s="118">
        <f>F_Inputs!K89</f>
        <v>0</v>
      </c>
      <c r="L90" s="118">
        <f>F_Inputs!L89</f>
        <v>0</v>
      </c>
      <c r="M90" s="118" t="str">
        <f t="shared" si="11"/>
        <v>CWW17_</v>
      </c>
      <c r="N90" s="117">
        <f t="shared" si="12"/>
        <v>0</v>
      </c>
      <c r="O90" s="117">
        <f t="shared" si="13"/>
        <v>0</v>
      </c>
      <c r="P90" s="117">
        <f t="shared" si="14"/>
        <v>0</v>
      </c>
      <c r="Q90" s="117">
        <f t="shared" si="15"/>
        <v>0</v>
      </c>
      <c r="R90" s="117">
        <f t="shared" si="16"/>
        <v>0</v>
      </c>
      <c r="S90" s="117">
        <f t="shared" si="17"/>
        <v>0</v>
      </c>
      <c r="T90" s="117">
        <f t="shared" si="18"/>
        <v>0</v>
      </c>
      <c r="U90" s="207">
        <f t="shared" si="19"/>
        <v>0</v>
      </c>
    </row>
    <row r="91" spans="1:21">
      <c r="A91" s="118" t="str">
        <f>F_Inputs!A90</f>
        <v>TMS</v>
      </c>
      <c r="B91" s="118" t="str">
        <f>F_Inputs!B90</f>
        <v>CWW12_053TOT_PR24</v>
      </c>
      <c r="C91" s="118" t="str">
        <f>F_Inputs!C90</f>
        <v>EA/NRW environmental programme wastewater (WINEP/NEP) - Chemicals and emerging contaminants monitoring, investigations, options appraisals; (WINEP/NEP) wastewater opex - Total</v>
      </c>
      <c r="D91" s="118" t="str">
        <f>F_Inputs!D90</f>
        <v>£m</v>
      </c>
      <c r="E91" s="118" t="str">
        <f>F_Inputs!E90</f>
        <v>Price Review 2024</v>
      </c>
      <c r="F91" s="118">
        <f>F_Inputs!F90</f>
        <v>0</v>
      </c>
      <c r="G91" s="118">
        <f>F_Inputs!G90</f>
        <v>0</v>
      </c>
      <c r="H91" s="118" t="str">
        <f>F_Inputs!H90</f>
        <v/>
      </c>
      <c r="I91" s="118" t="str">
        <f>F_Inputs!I90</f>
        <v/>
      </c>
      <c r="J91" s="118" t="str">
        <f>F_Inputs!J90</f>
        <v/>
      </c>
      <c r="K91" s="118" t="str">
        <f>F_Inputs!K90</f>
        <v/>
      </c>
      <c r="L91" s="118" t="str">
        <f>F_Inputs!L90</f>
        <v/>
      </c>
      <c r="M91" s="118" t="str">
        <f t="shared" si="11"/>
        <v>CWW12_</v>
      </c>
      <c r="N91" s="117">
        <f t="shared" si="12"/>
        <v>0</v>
      </c>
      <c r="O91" s="117">
        <f t="shared" si="13"/>
        <v>0</v>
      </c>
      <c r="P91" s="117">
        <f t="shared" si="14"/>
        <v>0</v>
      </c>
      <c r="Q91" s="117">
        <f t="shared" si="15"/>
        <v>0</v>
      </c>
      <c r="R91" s="117">
        <f t="shared" si="16"/>
        <v>0</v>
      </c>
      <c r="S91" s="117">
        <f t="shared" si="17"/>
        <v>0</v>
      </c>
      <c r="T91" s="117">
        <f t="shared" si="18"/>
        <v>0</v>
      </c>
      <c r="U91" s="207">
        <f t="shared" si="19"/>
        <v>0</v>
      </c>
    </row>
    <row r="92" spans="1:21">
      <c r="A92" s="118" t="str">
        <f>F_Inputs!A91</f>
        <v>TMS</v>
      </c>
      <c r="B92" s="118" t="str">
        <f>F_Inputs!B91</f>
        <v>CWW17_053TOT_PR24</v>
      </c>
      <c r="C92" s="118" t="str">
        <f>F_Inputs!C91</f>
        <v>EA/NRW environmental programme wastewater (WINEP/NEP) - Chemicals and emerging contaminants monitoring, investigations, options appraisals; (WINEP/NEP) wastewater opex - Total</v>
      </c>
      <c r="D92" s="118" t="str">
        <f>F_Inputs!D91</f>
        <v>£m</v>
      </c>
      <c r="E92" s="118" t="str">
        <f>F_Inputs!E91</f>
        <v>Price Review 2024</v>
      </c>
      <c r="F92" s="118">
        <f>F_Inputs!F91</f>
        <v>0</v>
      </c>
      <c r="G92" s="118">
        <f>F_Inputs!G91</f>
        <v>0</v>
      </c>
      <c r="H92" s="118">
        <f>F_Inputs!H91</f>
        <v>0</v>
      </c>
      <c r="I92" s="118">
        <f>F_Inputs!I91</f>
        <v>0</v>
      </c>
      <c r="J92" s="118">
        <f>F_Inputs!J91</f>
        <v>0</v>
      </c>
      <c r="K92" s="118">
        <f>F_Inputs!K91</f>
        <v>0</v>
      </c>
      <c r="L92" s="118">
        <f>F_Inputs!L91</f>
        <v>0</v>
      </c>
      <c r="M92" s="118" t="str">
        <f t="shared" si="11"/>
        <v>CWW17_</v>
      </c>
      <c r="N92" s="117">
        <f t="shared" si="12"/>
        <v>0</v>
      </c>
      <c r="O92" s="117">
        <f t="shared" si="13"/>
        <v>0</v>
      </c>
      <c r="P92" s="117">
        <f t="shared" si="14"/>
        <v>0</v>
      </c>
      <c r="Q92" s="117">
        <f t="shared" si="15"/>
        <v>0</v>
      </c>
      <c r="R92" s="117">
        <f t="shared" si="16"/>
        <v>0</v>
      </c>
      <c r="S92" s="117">
        <f t="shared" si="17"/>
        <v>0</v>
      </c>
      <c r="T92" s="117">
        <f t="shared" si="18"/>
        <v>0</v>
      </c>
      <c r="U92" s="207">
        <f t="shared" si="19"/>
        <v>0</v>
      </c>
    </row>
    <row r="93" spans="1:21">
      <c r="A93" s="118" t="str">
        <f>F_Inputs!A92</f>
        <v>TMS</v>
      </c>
      <c r="B93" s="118" t="str">
        <f>F_Inputs!B92</f>
        <v>CWW12_054TOT_PR24</v>
      </c>
      <c r="C93" s="118" t="str">
        <f>F_Inputs!C92</f>
        <v>EA/NRW environmental programme wastewater (WINEP/NEP) - Chemicals and emerging contaminants monitoring, investigations, options appraisals; (WINEP/NEP) wastewater totex - Total</v>
      </c>
      <c r="D93" s="118" t="str">
        <f>F_Inputs!D92</f>
        <v>£m</v>
      </c>
      <c r="E93" s="118" t="str">
        <f>F_Inputs!E92</f>
        <v>Price Review 2024</v>
      </c>
      <c r="F93" s="118">
        <f>F_Inputs!F92</f>
        <v>0</v>
      </c>
      <c r="G93" s="118">
        <f>F_Inputs!G92</f>
        <v>0</v>
      </c>
      <c r="H93" s="118" t="str">
        <f>F_Inputs!H92</f>
        <v/>
      </c>
      <c r="I93" s="118" t="str">
        <f>F_Inputs!I92</f>
        <v/>
      </c>
      <c r="J93" s="118" t="str">
        <f>F_Inputs!J92</f>
        <v/>
      </c>
      <c r="K93" s="118" t="str">
        <f>F_Inputs!K92</f>
        <v/>
      </c>
      <c r="L93" s="118" t="str">
        <f>F_Inputs!L92</f>
        <v/>
      </c>
      <c r="M93" s="118" t="str">
        <f t="shared" si="11"/>
        <v>CWW12_</v>
      </c>
      <c r="N93" s="117">
        <f t="shared" si="12"/>
        <v>0</v>
      </c>
      <c r="O93" s="117">
        <f t="shared" si="13"/>
        <v>0</v>
      </c>
      <c r="P93" s="117">
        <f t="shared" si="14"/>
        <v>0</v>
      </c>
      <c r="Q93" s="117">
        <f t="shared" si="15"/>
        <v>0</v>
      </c>
      <c r="R93" s="117">
        <f t="shared" si="16"/>
        <v>0</v>
      </c>
      <c r="S93" s="117">
        <f t="shared" si="17"/>
        <v>0</v>
      </c>
      <c r="T93" s="117">
        <f t="shared" si="18"/>
        <v>0</v>
      </c>
      <c r="U93" s="207">
        <f t="shared" si="19"/>
        <v>0</v>
      </c>
    </row>
    <row r="94" spans="1:21">
      <c r="A94" s="118" t="str">
        <f>F_Inputs!A93</f>
        <v>TMS</v>
      </c>
      <c r="B94" s="118" t="str">
        <f>F_Inputs!B93</f>
        <v>CWW17_054TOT_PR24</v>
      </c>
      <c r="C94" s="118" t="str">
        <f>F_Inputs!C93</f>
        <v>EA/NRW environmental programme wastewater (WINEP/NEP) - Chemicals and emerging contaminants monitoring, investigations, options appraisals; (WINEP/NEP) wastewater totex - Total</v>
      </c>
      <c r="D94" s="118" t="str">
        <f>F_Inputs!D93</f>
        <v>£m</v>
      </c>
      <c r="E94" s="118" t="str">
        <f>F_Inputs!E93</f>
        <v>Price Review 2024</v>
      </c>
      <c r="F94" s="118">
        <f>F_Inputs!F93</f>
        <v>0</v>
      </c>
      <c r="G94" s="118">
        <f>F_Inputs!G93</f>
        <v>0</v>
      </c>
      <c r="H94" s="118">
        <f>F_Inputs!H93</f>
        <v>0</v>
      </c>
      <c r="I94" s="118">
        <f>F_Inputs!I93</f>
        <v>0</v>
      </c>
      <c r="J94" s="118">
        <f>F_Inputs!J93</f>
        <v>0</v>
      </c>
      <c r="K94" s="118">
        <f>F_Inputs!K93</f>
        <v>0</v>
      </c>
      <c r="L94" s="118">
        <f>F_Inputs!L93</f>
        <v>0</v>
      </c>
      <c r="M94" s="118" t="str">
        <f t="shared" si="11"/>
        <v>CWW17_</v>
      </c>
      <c r="N94" s="117">
        <f t="shared" si="12"/>
        <v>0</v>
      </c>
      <c r="O94" s="117">
        <f t="shared" si="13"/>
        <v>0</v>
      </c>
      <c r="P94" s="117">
        <f t="shared" si="14"/>
        <v>0</v>
      </c>
      <c r="Q94" s="117">
        <f t="shared" si="15"/>
        <v>0</v>
      </c>
      <c r="R94" s="117">
        <f t="shared" si="16"/>
        <v>0</v>
      </c>
      <c r="S94" s="117">
        <f t="shared" si="17"/>
        <v>0</v>
      </c>
      <c r="T94" s="117">
        <f t="shared" si="18"/>
        <v>0</v>
      </c>
      <c r="U94" s="207">
        <f t="shared" si="19"/>
        <v>0</v>
      </c>
    </row>
    <row r="95" spans="1:21">
      <c r="A95" s="118" t="str">
        <f>F_Inputs!A94</f>
        <v>TMS</v>
      </c>
      <c r="B95" s="118" t="str">
        <f>F_Inputs!B94</f>
        <v>PR24_NETTOTEX_WASTE</v>
      </c>
      <c r="C95" s="118" t="str">
        <f>F_Inputs!C94</f>
        <v>PR24 BP Net totex - Total inc. accelerated &amp; transition costs</v>
      </c>
      <c r="D95" s="118" t="str">
        <f>F_Inputs!D94</f>
        <v>£m</v>
      </c>
      <c r="E95" s="118" t="str">
        <f>F_Inputs!E94</f>
        <v>Price Review 2024</v>
      </c>
      <c r="F95" s="118" t="str">
        <f>F_Inputs!F94</f>
        <v/>
      </c>
      <c r="G95" s="118" t="str">
        <f>F_Inputs!G94</f>
        <v/>
      </c>
      <c r="H95" s="118" t="str">
        <f>F_Inputs!H94</f>
        <v/>
      </c>
      <c r="I95" s="118" t="str">
        <f>F_Inputs!I94</f>
        <v/>
      </c>
      <c r="J95" s="118" t="str">
        <f>F_Inputs!J94</f>
        <v/>
      </c>
      <c r="K95" s="118" t="str">
        <f>F_Inputs!K94</f>
        <v/>
      </c>
      <c r="L95" s="118" t="str">
        <f>F_Inputs!L94</f>
        <v/>
      </c>
      <c r="M95" s="118" t="str">
        <f t="shared" si="11"/>
        <v>PR24_N</v>
      </c>
      <c r="N95" s="117">
        <f t="shared" si="12"/>
        <v>0</v>
      </c>
      <c r="O95" s="117">
        <f t="shared" si="13"/>
        <v>0</v>
      </c>
      <c r="P95" s="117">
        <f t="shared" si="14"/>
        <v>0</v>
      </c>
      <c r="Q95" s="117">
        <f t="shared" si="15"/>
        <v>0</v>
      </c>
      <c r="R95" s="117">
        <f t="shared" si="16"/>
        <v>0</v>
      </c>
      <c r="S95" s="117">
        <f t="shared" si="17"/>
        <v>0</v>
      </c>
      <c r="T95" s="117">
        <f t="shared" si="18"/>
        <v>0</v>
      </c>
      <c r="U95" s="207">
        <f t="shared" si="19"/>
        <v>0</v>
      </c>
    </row>
    <row r="96" spans="1:21">
      <c r="A96" s="118" t="str">
        <f>F_Inputs!A95</f>
        <v>NWT</v>
      </c>
      <c r="B96" s="118" t="str">
        <f>F_Inputs!B95</f>
        <v>CWW3_052TOT_PR24</v>
      </c>
      <c r="C96" s="118" t="str">
        <f>F_Inputs!C95</f>
        <v>EA/NRW environmental programme wastewater (WINEP/NEP) - Chemicals and emerging contaminants monitoring, investigations, options appraisals; (WINEP/NEP) wastewater capex - Total</v>
      </c>
      <c r="D96" s="118" t="str">
        <f>F_Inputs!D95</f>
        <v>£m</v>
      </c>
      <c r="E96" s="118" t="str">
        <f>F_Inputs!E95</f>
        <v>Price Review 2024</v>
      </c>
      <c r="F96" s="118">
        <f>F_Inputs!F95</f>
        <v>0.37231388565515922</v>
      </c>
      <c r="G96" s="118">
        <f>F_Inputs!G95</f>
        <v>2.1633008817464332</v>
      </c>
      <c r="H96" s="118">
        <f>F_Inputs!H95</f>
        <v>3.24249915219084</v>
      </c>
      <c r="I96" s="118">
        <f>F_Inputs!I95</f>
        <v>2.681757880249751</v>
      </c>
      <c r="J96" s="118">
        <f>F_Inputs!J95</f>
        <v>2.6708585818780169E-2</v>
      </c>
      <c r="K96" s="118">
        <f>F_Inputs!K95</f>
        <v>4.8949017942832122E-2</v>
      </c>
      <c r="L96" s="118">
        <f>F_Inputs!L95</f>
        <v>2.723625577579002E-2</v>
      </c>
      <c r="M96" s="118" t="str">
        <f t="shared" si="11"/>
        <v>CWW3_0</v>
      </c>
      <c r="N96" s="117">
        <f t="shared" si="12"/>
        <v>0</v>
      </c>
      <c r="O96" s="117">
        <f t="shared" si="13"/>
        <v>0</v>
      </c>
      <c r="P96" s="117">
        <f t="shared" si="14"/>
        <v>3.24249915219084</v>
      </c>
      <c r="Q96" s="117">
        <f t="shared" si="15"/>
        <v>2.681757880249751</v>
      </c>
      <c r="R96" s="117">
        <f t="shared" si="16"/>
        <v>2.6708585818780169E-2</v>
      </c>
      <c r="S96" s="117">
        <f t="shared" si="17"/>
        <v>4.8949017942832122E-2</v>
      </c>
      <c r="T96" s="117">
        <f t="shared" si="18"/>
        <v>2.723625577579002E-2</v>
      </c>
      <c r="U96" s="207">
        <f t="shared" si="19"/>
        <v>6.0271508919779944</v>
      </c>
    </row>
    <row r="97" spans="1:21">
      <c r="A97" s="118" t="str">
        <f>F_Inputs!A96</f>
        <v>NWT</v>
      </c>
      <c r="B97" s="118" t="str">
        <f>F_Inputs!B96</f>
        <v>CWW3_053TOT_PR24</v>
      </c>
      <c r="C97" s="118" t="str">
        <f>F_Inputs!C96</f>
        <v>EA/NRW environmental programme wastewater (WINEP/NEP) - Chemicals and emerging contaminants monitoring, investigations, options appraisals; (WINEP/NEP) wastewater opex - Total</v>
      </c>
      <c r="D97" s="118" t="str">
        <f>F_Inputs!D96</f>
        <v>£m</v>
      </c>
      <c r="E97" s="118" t="str">
        <f>F_Inputs!E96</f>
        <v>Price Review 2024</v>
      </c>
      <c r="F97" s="118">
        <f>F_Inputs!F96</f>
        <v>0</v>
      </c>
      <c r="G97" s="118">
        <f>F_Inputs!G96</f>
        <v>0</v>
      </c>
      <c r="H97" s="118">
        <f>F_Inputs!H96</f>
        <v>0</v>
      </c>
      <c r="I97" s="118">
        <f>F_Inputs!I96</f>
        <v>0</v>
      </c>
      <c r="J97" s="118">
        <f>F_Inputs!J96</f>
        <v>7.2939106740041622E-3</v>
      </c>
      <c r="K97" s="118">
        <f>F_Inputs!K96</f>
        <v>7.407598233106401E-3</v>
      </c>
      <c r="L97" s="118">
        <f>F_Inputs!L96</f>
        <v>7.3847520989665369E-3</v>
      </c>
      <c r="M97" s="118" t="str">
        <f t="shared" si="11"/>
        <v>CWW3_0</v>
      </c>
      <c r="N97" s="117">
        <f t="shared" si="12"/>
        <v>0</v>
      </c>
      <c r="O97" s="117">
        <f t="shared" si="13"/>
        <v>0</v>
      </c>
      <c r="P97" s="117">
        <f t="shared" si="14"/>
        <v>0</v>
      </c>
      <c r="Q97" s="117">
        <f t="shared" si="15"/>
        <v>0</v>
      </c>
      <c r="R97" s="117">
        <f t="shared" si="16"/>
        <v>7.2939106740041622E-3</v>
      </c>
      <c r="S97" s="117">
        <f t="shared" si="17"/>
        <v>7.407598233106401E-3</v>
      </c>
      <c r="T97" s="117">
        <f t="shared" si="18"/>
        <v>7.3847520989665369E-3</v>
      </c>
      <c r="U97" s="207">
        <f t="shared" si="19"/>
        <v>2.20862610060771E-2</v>
      </c>
    </row>
    <row r="98" spans="1:21">
      <c r="A98" s="118" t="str">
        <f>F_Inputs!A97</f>
        <v>NWT</v>
      </c>
      <c r="B98" s="118" t="str">
        <f>F_Inputs!B97</f>
        <v>CWW3_054TOT_PR24</v>
      </c>
      <c r="C98" s="118" t="str">
        <f>F_Inputs!C97</f>
        <v>EA/NRW environmental programme wastewater (WINEP/NEP) - Chemicals and emerging contaminants monitoring, investigations, options appraisals; (WINEP/NEP) wastewater totex - Total</v>
      </c>
      <c r="D98" s="118" t="str">
        <f>F_Inputs!D97</f>
        <v>£m</v>
      </c>
      <c r="E98" s="118" t="str">
        <f>F_Inputs!E97</f>
        <v>Price Review 2024</v>
      </c>
      <c r="F98" s="118">
        <f>F_Inputs!F97</f>
        <v>0.37231388565515922</v>
      </c>
      <c r="G98" s="118">
        <f>F_Inputs!G97</f>
        <v>2.1633008817464332</v>
      </c>
      <c r="H98" s="118">
        <f>F_Inputs!H97</f>
        <v>3.24249915219084</v>
      </c>
      <c r="I98" s="118">
        <f>F_Inputs!I97</f>
        <v>2.681757880249751</v>
      </c>
      <c r="J98" s="118">
        <f>F_Inputs!J97</f>
        <v>3.4002496492784327E-2</v>
      </c>
      <c r="K98" s="118">
        <f>F_Inputs!K97</f>
        <v>5.6356616175938533E-2</v>
      </c>
      <c r="L98" s="118">
        <f>F_Inputs!L97</f>
        <v>3.4621007874756547E-2</v>
      </c>
      <c r="M98" s="118" t="str">
        <f t="shared" si="11"/>
        <v>CWW3_0</v>
      </c>
      <c r="N98" s="117">
        <f t="shared" si="12"/>
        <v>0</v>
      </c>
      <c r="O98" s="117">
        <f t="shared" si="13"/>
        <v>0</v>
      </c>
      <c r="P98" s="117">
        <f t="shared" si="14"/>
        <v>3.24249915219084</v>
      </c>
      <c r="Q98" s="117">
        <f t="shared" si="15"/>
        <v>2.681757880249751</v>
      </c>
      <c r="R98" s="117">
        <f t="shared" si="16"/>
        <v>3.4002496492784327E-2</v>
      </c>
      <c r="S98" s="117">
        <f t="shared" si="17"/>
        <v>5.6356616175938533E-2</v>
      </c>
      <c r="T98" s="117">
        <f t="shared" si="18"/>
        <v>3.4621007874756547E-2</v>
      </c>
      <c r="U98" s="207">
        <f t="shared" si="19"/>
        <v>6.0492371529840714</v>
      </c>
    </row>
    <row r="99" spans="1:21">
      <c r="A99" s="118" t="str">
        <f>F_Inputs!A98</f>
        <v>NWT</v>
      </c>
      <c r="B99" s="118" t="str">
        <f>F_Inputs!B98</f>
        <v>BN1603_PR24</v>
      </c>
      <c r="C99" s="118" t="str">
        <f>F_Inputs!C98</f>
        <v>Sewage treatment data - Current population equivalent served by STWs</v>
      </c>
      <c r="D99" s="118" t="str">
        <f>F_Inputs!D98</f>
        <v>000s</v>
      </c>
      <c r="E99" s="118" t="str">
        <f>F_Inputs!E98</f>
        <v>Price Review 2024</v>
      </c>
      <c r="F99" s="118">
        <f>F_Inputs!F98</f>
        <v>8857.8136265519515</v>
      </c>
      <c r="G99" s="118">
        <f>F_Inputs!G98</f>
        <v>9108.1712246259121</v>
      </c>
      <c r="H99" s="118">
        <f>F_Inputs!H98</f>
        <v>9152.5088208313791</v>
      </c>
      <c r="I99" s="118">
        <f>F_Inputs!I98</f>
        <v>9195.4192354562092</v>
      </c>
      <c r="J99" s="118">
        <f>F_Inputs!J98</f>
        <v>9238.7504614982663</v>
      </c>
      <c r="K99" s="118">
        <f>F_Inputs!K98</f>
        <v>9279.6902324039256</v>
      </c>
      <c r="L99" s="118">
        <f>F_Inputs!L98</f>
        <v>9318.818686880124</v>
      </c>
      <c r="M99" s="118" t="str">
        <f t="shared" si="11"/>
        <v>BN1603</v>
      </c>
      <c r="N99" s="117">
        <f t="shared" si="12"/>
        <v>8857.8136265519515</v>
      </c>
      <c r="O99" s="117">
        <f t="shared" si="13"/>
        <v>9108.1712246259121</v>
      </c>
      <c r="P99" s="117">
        <f t="shared" si="14"/>
        <v>9152.5088208313791</v>
      </c>
      <c r="Q99" s="117">
        <f t="shared" si="15"/>
        <v>9195.4192354562092</v>
      </c>
      <c r="R99" s="117">
        <f t="shared" si="16"/>
        <v>9238.7504614982663</v>
      </c>
      <c r="S99" s="117">
        <f t="shared" si="17"/>
        <v>9279.6902324039256</v>
      </c>
      <c r="T99" s="117">
        <f t="shared" si="18"/>
        <v>9318.818686880124</v>
      </c>
      <c r="U99" s="207">
        <f t="shared" si="19"/>
        <v>64151.172288247762</v>
      </c>
    </row>
    <row r="100" spans="1:21">
      <c r="A100" s="118" t="str">
        <f>F_Inputs!A99</f>
        <v>NWT</v>
      </c>
      <c r="B100" s="118" t="str">
        <f>F_Inputs!B99</f>
        <v>CWW12_052TOT_PR24</v>
      </c>
      <c r="C100" s="118" t="str">
        <f>F_Inputs!C99</f>
        <v>EA/NRW environmental programme wastewater (WINEP/NEP) - Chemicals and emerging contaminants monitoring, investigations, options appraisals; (WINEP/NEP) wastewater capex - Total</v>
      </c>
      <c r="D100" s="118" t="str">
        <f>F_Inputs!D99</f>
        <v>£m</v>
      </c>
      <c r="E100" s="118" t="str">
        <f>F_Inputs!E99</f>
        <v>Price Review 2024</v>
      </c>
      <c r="F100" s="118">
        <f>F_Inputs!F99</f>
        <v>0.31084484288372688</v>
      </c>
      <c r="G100" s="118">
        <f>F_Inputs!G99</f>
        <v>2.019469543117149</v>
      </c>
      <c r="H100" s="118" t="str">
        <f>F_Inputs!H99</f>
        <v/>
      </c>
      <c r="I100" s="118" t="str">
        <f>F_Inputs!I99</f>
        <v/>
      </c>
      <c r="J100" s="118" t="str">
        <f>F_Inputs!J99</f>
        <v/>
      </c>
      <c r="K100" s="118" t="str">
        <f>F_Inputs!K99</f>
        <v/>
      </c>
      <c r="L100" s="118" t="str">
        <f>F_Inputs!L99</f>
        <v/>
      </c>
      <c r="M100" s="118" t="str">
        <f t="shared" si="11"/>
        <v>CWW12_</v>
      </c>
      <c r="N100" s="117">
        <f t="shared" si="12"/>
        <v>0.31084484288372688</v>
      </c>
      <c r="O100" s="117">
        <f t="shared" si="13"/>
        <v>2.019469543117149</v>
      </c>
      <c r="P100" s="117">
        <f t="shared" si="14"/>
        <v>0</v>
      </c>
      <c r="Q100" s="117">
        <f t="shared" si="15"/>
        <v>0</v>
      </c>
      <c r="R100" s="117">
        <f t="shared" si="16"/>
        <v>0</v>
      </c>
      <c r="S100" s="117">
        <f t="shared" si="17"/>
        <v>0</v>
      </c>
      <c r="T100" s="117">
        <f t="shared" si="18"/>
        <v>0</v>
      </c>
      <c r="U100" s="207">
        <f t="shared" si="19"/>
        <v>2.3303143860008757</v>
      </c>
    </row>
    <row r="101" spans="1:21">
      <c r="A101" s="118" t="str">
        <f>F_Inputs!A100</f>
        <v>NWT</v>
      </c>
      <c r="B101" s="118" t="str">
        <f>F_Inputs!B100</f>
        <v>CWW17_052TOT_PR24</v>
      </c>
      <c r="C101" s="118" t="str">
        <f>F_Inputs!C100</f>
        <v>EA/NRW environmental programme wastewater (WINEP/NEP) - Chemicals and emerging contaminants monitoring, investigations, options appraisals; (WINEP/NEP) wastewater capex - Total</v>
      </c>
      <c r="D101" s="118" t="str">
        <f>F_Inputs!D100</f>
        <v>£m</v>
      </c>
      <c r="E101" s="118" t="str">
        <f>F_Inputs!E100</f>
        <v>Price Review 2024</v>
      </c>
      <c r="F101" s="118">
        <f>F_Inputs!F100</f>
        <v>0</v>
      </c>
      <c r="G101" s="118">
        <f>F_Inputs!G100</f>
        <v>0</v>
      </c>
      <c r="H101" s="118">
        <f>F_Inputs!H100</f>
        <v>0</v>
      </c>
      <c r="I101" s="118">
        <f>F_Inputs!I100</f>
        <v>0</v>
      </c>
      <c r="J101" s="118">
        <f>F_Inputs!J100</f>
        <v>0</v>
      </c>
      <c r="K101" s="118">
        <f>F_Inputs!K100</f>
        <v>0</v>
      </c>
      <c r="L101" s="118">
        <f>F_Inputs!L100</f>
        <v>0</v>
      </c>
      <c r="M101" s="118" t="str">
        <f t="shared" si="11"/>
        <v>CWW17_</v>
      </c>
      <c r="N101" s="117">
        <f t="shared" si="12"/>
        <v>0</v>
      </c>
      <c r="O101" s="117">
        <f t="shared" si="13"/>
        <v>0</v>
      </c>
      <c r="P101" s="117">
        <f t="shared" si="14"/>
        <v>0</v>
      </c>
      <c r="Q101" s="117">
        <f t="shared" si="15"/>
        <v>0</v>
      </c>
      <c r="R101" s="117">
        <f t="shared" si="16"/>
        <v>0</v>
      </c>
      <c r="S101" s="117">
        <f t="shared" si="17"/>
        <v>0</v>
      </c>
      <c r="T101" s="117">
        <f t="shared" si="18"/>
        <v>0</v>
      </c>
      <c r="U101" s="207">
        <f t="shared" si="19"/>
        <v>0</v>
      </c>
    </row>
    <row r="102" spans="1:21">
      <c r="A102" s="118" t="str">
        <f>F_Inputs!A101</f>
        <v>NWT</v>
      </c>
      <c r="B102" s="118" t="str">
        <f>F_Inputs!B101</f>
        <v>CWW12_053TOT_PR24</v>
      </c>
      <c r="C102" s="118" t="str">
        <f>F_Inputs!C101</f>
        <v>EA/NRW environmental programme wastewater (WINEP/NEP) - Chemicals and emerging contaminants monitoring, investigations, options appraisals; (WINEP/NEP) wastewater opex - Total</v>
      </c>
      <c r="D102" s="118" t="str">
        <f>F_Inputs!D101</f>
        <v>£m</v>
      </c>
      <c r="E102" s="118" t="str">
        <f>F_Inputs!E101</f>
        <v>Price Review 2024</v>
      </c>
      <c r="F102" s="118">
        <f>F_Inputs!F101</f>
        <v>0</v>
      </c>
      <c r="G102" s="118">
        <f>F_Inputs!G101</f>
        <v>0</v>
      </c>
      <c r="H102" s="118" t="str">
        <f>F_Inputs!H101</f>
        <v/>
      </c>
      <c r="I102" s="118" t="str">
        <f>F_Inputs!I101</f>
        <v/>
      </c>
      <c r="J102" s="118" t="str">
        <f>F_Inputs!J101</f>
        <v/>
      </c>
      <c r="K102" s="118" t="str">
        <f>F_Inputs!K101</f>
        <v/>
      </c>
      <c r="L102" s="118" t="str">
        <f>F_Inputs!L101</f>
        <v/>
      </c>
      <c r="M102" s="118" t="str">
        <f t="shared" si="11"/>
        <v>CWW12_</v>
      </c>
      <c r="N102" s="117">
        <f t="shared" si="12"/>
        <v>0</v>
      </c>
      <c r="O102" s="117">
        <f t="shared" si="13"/>
        <v>0</v>
      </c>
      <c r="P102" s="117">
        <f t="shared" si="14"/>
        <v>0</v>
      </c>
      <c r="Q102" s="117">
        <f t="shared" si="15"/>
        <v>0</v>
      </c>
      <c r="R102" s="117">
        <f t="shared" si="16"/>
        <v>0</v>
      </c>
      <c r="S102" s="117">
        <f t="shared" si="17"/>
        <v>0</v>
      </c>
      <c r="T102" s="117">
        <f t="shared" si="18"/>
        <v>0</v>
      </c>
      <c r="U102" s="207">
        <f t="shared" si="19"/>
        <v>0</v>
      </c>
    </row>
    <row r="103" spans="1:21">
      <c r="A103" s="118" t="str">
        <f>F_Inputs!A102</f>
        <v>NWT</v>
      </c>
      <c r="B103" s="118" t="str">
        <f>F_Inputs!B102</f>
        <v>CWW17_053TOT_PR24</v>
      </c>
      <c r="C103" s="118" t="str">
        <f>F_Inputs!C102</f>
        <v>EA/NRW environmental programme wastewater (WINEP/NEP) - Chemicals and emerging contaminants monitoring, investigations, options appraisals; (WINEP/NEP) wastewater opex - Total</v>
      </c>
      <c r="D103" s="118" t="str">
        <f>F_Inputs!D102</f>
        <v>£m</v>
      </c>
      <c r="E103" s="118" t="str">
        <f>F_Inputs!E102</f>
        <v>Price Review 2024</v>
      </c>
      <c r="F103" s="118">
        <f>F_Inputs!F102</f>
        <v>0</v>
      </c>
      <c r="G103" s="118">
        <f>F_Inputs!G102</f>
        <v>0</v>
      </c>
      <c r="H103" s="118">
        <f>F_Inputs!H102</f>
        <v>0</v>
      </c>
      <c r="I103" s="118">
        <f>F_Inputs!I102</f>
        <v>0</v>
      </c>
      <c r="J103" s="118">
        <f>F_Inputs!J102</f>
        <v>0</v>
      </c>
      <c r="K103" s="118">
        <f>F_Inputs!K102</f>
        <v>0</v>
      </c>
      <c r="L103" s="118">
        <f>F_Inputs!L102</f>
        <v>0</v>
      </c>
      <c r="M103" s="118" t="str">
        <f t="shared" si="11"/>
        <v>CWW17_</v>
      </c>
      <c r="N103" s="117">
        <f t="shared" si="12"/>
        <v>0</v>
      </c>
      <c r="O103" s="117">
        <f t="shared" si="13"/>
        <v>0</v>
      </c>
      <c r="P103" s="117">
        <f t="shared" si="14"/>
        <v>0</v>
      </c>
      <c r="Q103" s="117">
        <f t="shared" si="15"/>
        <v>0</v>
      </c>
      <c r="R103" s="117">
        <f t="shared" si="16"/>
        <v>0</v>
      </c>
      <c r="S103" s="117">
        <f t="shared" si="17"/>
        <v>0</v>
      </c>
      <c r="T103" s="117">
        <f t="shared" si="18"/>
        <v>0</v>
      </c>
      <c r="U103" s="207">
        <f t="shared" si="19"/>
        <v>0</v>
      </c>
    </row>
    <row r="104" spans="1:21">
      <c r="A104" s="118" t="str">
        <f>F_Inputs!A103</f>
        <v>NWT</v>
      </c>
      <c r="B104" s="118" t="str">
        <f>F_Inputs!B103</f>
        <v>CWW12_054TOT_PR24</v>
      </c>
      <c r="C104" s="118" t="str">
        <f>F_Inputs!C103</f>
        <v>EA/NRW environmental programme wastewater (WINEP/NEP) - Chemicals and emerging contaminants monitoring, investigations, options appraisals; (WINEP/NEP) wastewater totex - Total</v>
      </c>
      <c r="D104" s="118" t="str">
        <f>F_Inputs!D103</f>
        <v>£m</v>
      </c>
      <c r="E104" s="118" t="str">
        <f>F_Inputs!E103</f>
        <v>Price Review 2024</v>
      </c>
      <c r="F104" s="118">
        <f>F_Inputs!F103</f>
        <v>0.31084484288372688</v>
      </c>
      <c r="G104" s="118">
        <f>F_Inputs!G103</f>
        <v>2.019469543117149</v>
      </c>
      <c r="H104" s="118" t="str">
        <f>F_Inputs!H103</f>
        <v/>
      </c>
      <c r="I104" s="118" t="str">
        <f>F_Inputs!I103</f>
        <v/>
      </c>
      <c r="J104" s="118" t="str">
        <f>F_Inputs!J103</f>
        <v/>
      </c>
      <c r="K104" s="118" t="str">
        <f>F_Inputs!K103</f>
        <v/>
      </c>
      <c r="L104" s="118" t="str">
        <f>F_Inputs!L103</f>
        <v/>
      </c>
      <c r="M104" s="118" t="str">
        <f t="shared" ref="M104:M128" si="20">LEFT(B104,6)</f>
        <v>CWW12_</v>
      </c>
      <c r="N104" s="117">
        <f t="shared" si="12"/>
        <v>0.31084484288372688</v>
      </c>
      <c r="O104" s="117">
        <f t="shared" si="13"/>
        <v>2.019469543117149</v>
      </c>
      <c r="P104" s="117">
        <f t="shared" si="14"/>
        <v>0</v>
      </c>
      <c r="Q104" s="117">
        <f t="shared" si="15"/>
        <v>0</v>
      </c>
      <c r="R104" s="117">
        <f t="shared" si="16"/>
        <v>0</v>
      </c>
      <c r="S104" s="117">
        <f t="shared" si="17"/>
        <v>0</v>
      </c>
      <c r="T104" s="117">
        <f t="shared" si="18"/>
        <v>0</v>
      </c>
      <c r="U104" s="207">
        <f t="shared" si="19"/>
        <v>2.3303143860008757</v>
      </c>
    </row>
    <row r="105" spans="1:21">
      <c r="A105" s="118" t="str">
        <f>F_Inputs!A104</f>
        <v>NWT</v>
      </c>
      <c r="B105" s="118" t="str">
        <f>F_Inputs!B104</f>
        <v>CWW17_054TOT_PR24</v>
      </c>
      <c r="C105" s="118" t="str">
        <f>F_Inputs!C104</f>
        <v>EA/NRW environmental programme wastewater (WINEP/NEP) - Chemicals and emerging contaminants monitoring, investigations, options appraisals; (WINEP/NEP) wastewater totex - Total</v>
      </c>
      <c r="D105" s="118" t="str">
        <f>F_Inputs!D104</f>
        <v>£m</v>
      </c>
      <c r="E105" s="118" t="str">
        <f>F_Inputs!E104</f>
        <v>Price Review 2024</v>
      </c>
      <c r="F105" s="118">
        <f>F_Inputs!F104</f>
        <v>0</v>
      </c>
      <c r="G105" s="118">
        <f>F_Inputs!G104</f>
        <v>0</v>
      </c>
      <c r="H105" s="118">
        <f>F_Inputs!H104</f>
        <v>0</v>
      </c>
      <c r="I105" s="118">
        <f>F_Inputs!I104</f>
        <v>0</v>
      </c>
      <c r="J105" s="118">
        <f>F_Inputs!J104</f>
        <v>0</v>
      </c>
      <c r="K105" s="118">
        <f>F_Inputs!K104</f>
        <v>0</v>
      </c>
      <c r="L105" s="118">
        <f>F_Inputs!L104</f>
        <v>0</v>
      </c>
      <c r="M105" s="118" t="str">
        <f t="shared" si="20"/>
        <v>CWW17_</v>
      </c>
      <c r="N105" s="117">
        <f t="shared" si="12"/>
        <v>0</v>
      </c>
      <c r="O105" s="117">
        <f t="shared" si="13"/>
        <v>0</v>
      </c>
      <c r="P105" s="117">
        <f t="shared" si="14"/>
        <v>0</v>
      </c>
      <c r="Q105" s="117">
        <f t="shared" si="15"/>
        <v>0</v>
      </c>
      <c r="R105" s="117">
        <f t="shared" si="16"/>
        <v>0</v>
      </c>
      <c r="S105" s="117">
        <f t="shared" si="17"/>
        <v>0</v>
      </c>
      <c r="T105" s="117">
        <f t="shared" si="18"/>
        <v>0</v>
      </c>
      <c r="U105" s="207">
        <f t="shared" si="19"/>
        <v>0</v>
      </c>
    </row>
    <row r="106" spans="1:21">
      <c r="A106" s="118" t="str">
        <f>F_Inputs!A105</f>
        <v>NWT</v>
      </c>
      <c r="B106" s="118" t="str">
        <f>F_Inputs!B105</f>
        <v>PR24_NETTOTEX_WASTE</v>
      </c>
      <c r="C106" s="118" t="str">
        <f>F_Inputs!C105</f>
        <v>PR24 BP Net totex - Total inc. accelerated &amp; transition costs</v>
      </c>
      <c r="D106" s="118" t="str">
        <f>F_Inputs!D105</f>
        <v>£m</v>
      </c>
      <c r="E106" s="118" t="str">
        <f>F_Inputs!E105</f>
        <v>Price Review 2024</v>
      </c>
      <c r="F106" s="118" t="str">
        <f>F_Inputs!F105</f>
        <v/>
      </c>
      <c r="G106" s="118" t="str">
        <f>F_Inputs!G105</f>
        <v/>
      </c>
      <c r="H106" s="118" t="str">
        <f>F_Inputs!H105</f>
        <v/>
      </c>
      <c r="I106" s="118" t="str">
        <f>F_Inputs!I105</f>
        <v/>
      </c>
      <c r="J106" s="118" t="str">
        <f>F_Inputs!J105</f>
        <v/>
      </c>
      <c r="K106" s="118" t="str">
        <f>F_Inputs!K105</f>
        <v/>
      </c>
      <c r="L106" s="118" t="str">
        <f>F_Inputs!L105</f>
        <v/>
      </c>
      <c r="M106" s="118" t="str">
        <f t="shared" si="20"/>
        <v>PR24_N</v>
      </c>
      <c r="N106" s="117">
        <f t="shared" si="12"/>
        <v>0</v>
      </c>
      <c r="O106" s="117">
        <f t="shared" si="13"/>
        <v>0</v>
      </c>
      <c r="P106" s="117">
        <f t="shared" si="14"/>
        <v>0</v>
      </c>
      <c r="Q106" s="117">
        <f t="shared" si="15"/>
        <v>0</v>
      </c>
      <c r="R106" s="117">
        <f t="shared" si="16"/>
        <v>0</v>
      </c>
      <c r="S106" s="117">
        <f t="shared" si="17"/>
        <v>0</v>
      </c>
      <c r="T106" s="117">
        <f t="shared" si="18"/>
        <v>0</v>
      </c>
      <c r="U106" s="207">
        <f t="shared" si="19"/>
        <v>0</v>
      </c>
    </row>
    <row r="107" spans="1:21">
      <c r="A107" s="118" t="str">
        <f>F_Inputs!A106</f>
        <v>WSX</v>
      </c>
      <c r="B107" s="118" t="str">
        <f>F_Inputs!B106</f>
        <v>CWW3_052TOT_PR24</v>
      </c>
      <c r="C107" s="118" t="str">
        <f>F_Inputs!C106</f>
        <v>EA/NRW environmental programme wastewater (WINEP/NEP) - Chemicals and emerging contaminants monitoring, investigations, options appraisals; (WINEP/NEP) wastewater capex - Total</v>
      </c>
      <c r="D107" s="118" t="str">
        <f>F_Inputs!D106</f>
        <v>£m</v>
      </c>
      <c r="E107" s="118" t="str">
        <f>F_Inputs!E106</f>
        <v>Price Review 2024</v>
      </c>
      <c r="F107" s="118">
        <f>F_Inputs!F106</f>
        <v>6.259475085343949E-2</v>
      </c>
      <c r="G107" s="118">
        <f>F_Inputs!G106</f>
        <v>0.17880013005201811</v>
      </c>
      <c r="H107" s="118">
        <f>F_Inputs!H106</f>
        <v>0</v>
      </c>
      <c r="I107" s="118">
        <f>F_Inputs!I106</f>
        <v>0</v>
      </c>
      <c r="J107" s="118">
        <f>F_Inputs!J106</f>
        <v>0</v>
      </c>
      <c r="K107" s="118">
        <f>F_Inputs!K106</f>
        <v>0</v>
      </c>
      <c r="L107" s="118">
        <f>F_Inputs!L106</f>
        <v>0</v>
      </c>
      <c r="M107" s="118" t="str">
        <f t="shared" si="20"/>
        <v>CWW3_0</v>
      </c>
      <c r="N107" s="117">
        <f t="shared" si="12"/>
        <v>0</v>
      </c>
      <c r="O107" s="117">
        <f t="shared" si="13"/>
        <v>0</v>
      </c>
      <c r="P107" s="117">
        <f t="shared" si="14"/>
        <v>0</v>
      </c>
      <c r="Q107" s="117">
        <f t="shared" si="15"/>
        <v>0</v>
      </c>
      <c r="R107" s="117">
        <f t="shared" si="16"/>
        <v>0</v>
      </c>
      <c r="S107" s="117">
        <f t="shared" si="17"/>
        <v>0</v>
      </c>
      <c r="T107" s="117">
        <f t="shared" si="18"/>
        <v>0</v>
      </c>
      <c r="U107" s="207">
        <f t="shared" si="19"/>
        <v>0</v>
      </c>
    </row>
    <row r="108" spans="1:21">
      <c r="A108" s="118" t="str">
        <f>F_Inputs!A107</f>
        <v>WSX</v>
      </c>
      <c r="B108" s="118" t="str">
        <f>F_Inputs!B107</f>
        <v>CWW3_053TOT_PR24</v>
      </c>
      <c r="C108" s="118" t="str">
        <f>F_Inputs!C107</f>
        <v>EA/NRW environmental programme wastewater (WINEP/NEP) - Chemicals and emerging contaminants monitoring, investigations, options appraisals; (WINEP/NEP) wastewater opex - Total</v>
      </c>
      <c r="D108" s="118" t="str">
        <f>F_Inputs!D107</f>
        <v>£m</v>
      </c>
      <c r="E108" s="118" t="str">
        <f>F_Inputs!E107</f>
        <v>Price Review 2024</v>
      </c>
      <c r="F108" s="118">
        <f>F_Inputs!F107</f>
        <v>0.187781</v>
      </c>
      <c r="G108" s="118">
        <f>F_Inputs!G107</f>
        <v>0.70255299999999998</v>
      </c>
      <c r="H108" s="118">
        <f>F_Inputs!H107</f>
        <v>3.602735</v>
      </c>
      <c r="I108" s="118">
        <f>F_Inputs!I107</f>
        <v>3.3669609999999999</v>
      </c>
      <c r="J108" s="118">
        <f>F_Inputs!J107</f>
        <v>1.3767480000000001</v>
      </c>
      <c r="K108" s="118">
        <f>F_Inputs!K107</f>
        <v>0.60099900000000006</v>
      </c>
      <c r="L108" s="118">
        <f>F_Inputs!L107</f>
        <v>0.110046</v>
      </c>
      <c r="M108" s="118" t="str">
        <f t="shared" si="20"/>
        <v>CWW3_0</v>
      </c>
      <c r="N108" s="117">
        <f t="shared" si="12"/>
        <v>0</v>
      </c>
      <c r="O108" s="117">
        <f t="shared" si="13"/>
        <v>0</v>
      </c>
      <c r="P108" s="117">
        <f t="shared" si="14"/>
        <v>3.602735</v>
      </c>
      <c r="Q108" s="117">
        <f t="shared" si="15"/>
        <v>3.3669609999999999</v>
      </c>
      <c r="R108" s="117">
        <f t="shared" si="16"/>
        <v>1.3767480000000001</v>
      </c>
      <c r="S108" s="117">
        <f t="shared" si="17"/>
        <v>0.60099900000000006</v>
      </c>
      <c r="T108" s="117">
        <f t="shared" si="18"/>
        <v>0.110046</v>
      </c>
      <c r="U108" s="207">
        <f t="shared" si="19"/>
        <v>9.0574890000000003</v>
      </c>
    </row>
    <row r="109" spans="1:21">
      <c r="A109" s="118" t="str">
        <f>F_Inputs!A108</f>
        <v>WSX</v>
      </c>
      <c r="B109" s="118" t="str">
        <f>F_Inputs!B108</f>
        <v>CWW3_054TOT_PR24</v>
      </c>
      <c r="C109" s="118" t="str">
        <f>F_Inputs!C108</f>
        <v>EA/NRW environmental programme wastewater (WINEP/NEP) - Chemicals and emerging contaminants monitoring, investigations, options appraisals; (WINEP/NEP) wastewater totex - Total</v>
      </c>
      <c r="D109" s="118" t="str">
        <f>F_Inputs!D108</f>
        <v>£m</v>
      </c>
      <c r="E109" s="118" t="str">
        <f>F_Inputs!E108</f>
        <v>Price Review 2024</v>
      </c>
      <c r="F109" s="118">
        <f>F_Inputs!F108</f>
        <v>0.25037575085343949</v>
      </c>
      <c r="G109" s="118">
        <f>F_Inputs!G108</f>
        <v>0.8813531300520181</v>
      </c>
      <c r="H109" s="118">
        <f>F_Inputs!H108</f>
        <v>3.602735</v>
      </c>
      <c r="I109" s="118">
        <f>F_Inputs!I108</f>
        <v>3.3669609999999999</v>
      </c>
      <c r="J109" s="118">
        <f>F_Inputs!J108</f>
        <v>1.3767480000000001</v>
      </c>
      <c r="K109" s="118">
        <f>F_Inputs!K108</f>
        <v>0.60099900000000006</v>
      </c>
      <c r="L109" s="118">
        <f>F_Inputs!L108</f>
        <v>0.110046</v>
      </c>
      <c r="M109" s="118" t="str">
        <f t="shared" si="20"/>
        <v>CWW3_0</v>
      </c>
      <c r="N109" s="117">
        <f t="shared" si="12"/>
        <v>0</v>
      </c>
      <c r="O109" s="117">
        <f t="shared" si="13"/>
        <v>0</v>
      </c>
      <c r="P109" s="117">
        <f t="shared" si="14"/>
        <v>3.602735</v>
      </c>
      <c r="Q109" s="117">
        <f t="shared" si="15"/>
        <v>3.3669609999999999</v>
      </c>
      <c r="R109" s="117">
        <f t="shared" si="16"/>
        <v>1.3767480000000001</v>
      </c>
      <c r="S109" s="117">
        <f t="shared" si="17"/>
        <v>0.60099900000000006</v>
      </c>
      <c r="T109" s="117">
        <f t="shared" si="18"/>
        <v>0.110046</v>
      </c>
      <c r="U109" s="207">
        <f t="shared" si="19"/>
        <v>9.0574890000000003</v>
      </c>
    </row>
    <row r="110" spans="1:21">
      <c r="A110" s="118" t="str">
        <f>F_Inputs!A109</f>
        <v>WSX</v>
      </c>
      <c r="B110" s="118" t="str">
        <f>F_Inputs!B109</f>
        <v>BN1603_PR24</v>
      </c>
      <c r="C110" s="118" t="str">
        <f>F_Inputs!C109</f>
        <v>Sewage treatment data - Current population equivalent served by STWs</v>
      </c>
      <c r="D110" s="118" t="str">
        <f>F_Inputs!D109</f>
        <v>000s</v>
      </c>
      <c r="E110" s="118" t="str">
        <f>F_Inputs!E109</f>
        <v>Price Review 2024</v>
      </c>
      <c r="F110" s="118">
        <f>F_Inputs!F109</f>
        <v>3587.0859999999998</v>
      </c>
      <c r="G110" s="118">
        <f>F_Inputs!G109</f>
        <v>3587.8960000000002</v>
      </c>
      <c r="H110" s="118">
        <f>F_Inputs!H109</f>
        <v>3611.402</v>
      </c>
      <c r="I110" s="118">
        <f>F_Inputs!I109</f>
        <v>3632.9789999999998</v>
      </c>
      <c r="J110" s="118">
        <f>F_Inputs!J109</f>
        <v>3654.723</v>
      </c>
      <c r="K110" s="118">
        <f>F_Inputs!K109</f>
        <v>3676.623</v>
      </c>
      <c r="L110" s="118">
        <f>F_Inputs!L109</f>
        <v>3808.4479999999999</v>
      </c>
      <c r="M110" s="118" t="str">
        <f t="shared" si="20"/>
        <v>BN1603</v>
      </c>
      <c r="N110" s="117">
        <f t="shared" si="12"/>
        <v>3587.0859999999998</v>
      </c>
      <c r="O110" s="117">
        <f t="shared" si="13"/>
        <v>3587.8960000000002</v>
      </c>
      <c r="P110" s="117">
        <f t="shared" si="14"/>
        <v>3611.402</v>
      </c>
      <c r="Q110" s="117">
        <f t="shared" si="15"/>
        <v>3632.9789999999998</v>
      </c>
      <c r="R110" s="117">
        <f t="shared" si="16"/>
        <v>3654.723</v>
      </c>
      <c r="S110" s="117">
        <f t="shared" si="17"/>
        <v>3676.623</v>
      </c>
      <c r="T110" s="117">
        <f t="shared" si="18"/>
        <v>3808.4479999999999</v>
      </c>
      <c r="U110" s="207">
        <f t="shared" si="19"/>
        <v>25559.156999999999</v>
      </c>
    </row>
    <row r="111" spans="1:21">
      <c r="A111" s="118" t="str">
        <f>F_Inputs!A110</f>
        <v>WSX</v>
      </c>
      <c r="B111" s="118" t="str">
        <f>F_Inputs!B110</f>
        <v>CWW12_052TOT_PR24</v>
      </c>
      <c r="C111" s="118" t="str">
        <f>F_Inputs!C110</f>
        <v>EA/NRW environmental programme wastewater (WINEP/NEP) - Chemicals and emerging contaminants monitoring, investigations, options appraisals; (WINEP/NEP) wastewater capex - Total</v>
      </c>
      <c r="D111" s="118" t="str">
        <f>F_Inputs!D110</f>
        <v>£m</v>
      </c>
      <c r="E111" s="118" t="str">
        <f>F_Inputs!E110</f>
        <v>Price Review 2024</v>
      </c>
      <c r="F111" s="118">
        <f>F_Inputs!F110</f>
        <v>0</v>
      </c>
      <c r="G111" s="118">
        <f>F_Inputs!G110</f>
        <v>3.3331000000000013E-2</v>
      </c>
      <c r="H111" s="118" t="str">
        <f>F_Inputs!H110</f>
        <v/>
      </c>
      <c r="I111" s="118" t="str">
        <f>F_Inputs!I110</f>
        <v/>
      </c>
      <c r="J111" s="118" t="str">
        <f>F_Inputs!J110</f>
        <v/>
      </c>
      <c r="K111" s="118" t="str">
        <f>F_Inputs!K110</f>
        <v/>
      </c>
      <c r="L111" s="118" t="str">
        <f>F_Inputs!L110</f>
        <v/>
      </c>
      <c r="M111" s="118" t="str">
        <f t="shared" si="20"/>
        <v>CWW12_</v>
      </c>
      <c r="N111" s="117">
        <f t="shared" si="12"/>
        <v>0</v>
      </c>
      <c r="O111" s="117">
        <f t="shared" si="13"/>
        <v>3.3331000000000013E-2</v>
      </c>
      <c r="P111" s="117">
        <f t="shared" si="14"/>
        <v>0</v>
      </c>
      <c r="Q111" s="117">
        <f t="shared" si="15"/>
        <v>0</v>
      </c>
      <c r="R111" s="117">
        <f t="shared" si="16"/>
        <v>0</v>
      </c>
      <c r="S111" s="117">
        <f t="shared" si="17"/>
        <v>0</v>
      </c>
      <c r="T111" s="117">
        <f t="shared" si="18"/>
        <v>0</v>
      </c>
      <c r="U111" s="207">
        <f t="shared" si="19"/>
        <v>3.3331000000000013E-2</v>
      </c>
    </row>
    <row r="112" spans="1:21">
      <c r="A112" s="118" t="str">
        <f>F_Inputs!A111</f>
        <v>WSX</v>
      </c>
      <c r="B112" s="118" t="str">
        <f>F_Inputs!B111</f>
        <v>CWW17_052TOT_PR24</v>
      </c>
      <c r="C112" s="118" t="str">
        <f>F_Inputs!C111</f>
        <v>EA/NRW environmental programme wastewater (WINEP/NEP) - Chemicals and emerging contaminants monitoring, investigations, options appraisals; (WINEP/NEP) wastewater capex - Total</v>
      </c>
      <c r="D112" s="118" t="str">
        <f>F_Inputs!D111</f>
        <v>£m</v>
      </c>
      <c r="E112" s="118" t="str">
        <f>F_Inputs!E111</f>
        <v>Price Review 2024</v>
      </c>
      <c r="F112" s="118">
        <f>F_Inputs!F111</f>
        <v>0</v>
      </c>
      <c r="G112" s="118">
        <f>F_Inputs!G111</f>
        <v>0</v>
      </c>
      <c r="H112" s="118">
        <f>F_Inputs!H111</f>
        <v>0</v>
      </c>
      <c r="I112" s="118">
        <f>F_Inputs!I111</f>
        <v>0</v>
      </c>
      <c r="J112" s="118">
        <f>F_Inputs!J111</f>
        <v>0</v>
      </c>
      <c r="K112" s="118">
        <f>F_Inputs!K111</f>
        <v>0</v>
      </c>
      <c r="L112" s="118">
        <f>F_Inputs!L111</f>
        <v>0</v>
      </c>
      <c r="M112" s="118" t="str">
        <f t="shared" si="20"/>
        <v>CWW17_</v>
      </c>
      <c r="N112" s="117">
        <f t="shared" si="12"/>
        <v>0</v>
      </c>
      <c r="O112" s="117">
        <f t="shared" si="13"/>
        <v>0</v>
      </c>
      <c r="P112" s="117">
        <f t="shared" si="14"/>
        <v>0</v>
      </c>
      <c r="Q112" s="117">
        <f t="shared" si="15"/>
        <v>0</v>
      </c>
      <c r="R112" s="117">
        <f t="shared" si="16"/>
        <v>0</v>
      </c>
      <c r="S112" s="117">
        <f t="shared" si="17"/>
        <v>0</v>
      </c>
      <c r="T112" s="117">
        <f t="shared" si="18"/>
        <v>0</v>
      </c>
      <c r="U112" s="207">
        <f t="shared" si="19"/>
        <v>0</v>
      </c>
    </row>
    <row r="113" spans="1:21">
      <c r="A113" s="118" t="str">
        <f>F_Inputs!A112</f>
        <v>WSX</v>
      </c>
      <c r="B113" s="118" t="str">
        <f>F_Inputs!B112</f>
        <v>CWW12_053TOT_PR24</v>
      </c>
      <c r="C113" s="118" t="str">
        <f>F_Inputs!C112</f>
        <v>EA/NRW environmental programme wastewater (WINEP/NEP) - Chemicals and emerging contaminants monitoring, investigations, options appraisals; (WINEP/NEP) wastewater opex - Total</v>
      </c>
      <c r="D113" s="118" t="str">
        <f>F_Inputs!D112</f>
        <v>£m</v>
      </c>
      <c r="E113" s="118" t="str">
        <f>F_Inputs!E112</f>
        <v>Price Review 2024</v>
      </c>
      <c r="F113" s="118">
        <f>F_Inputs!F112</f>
        <v>0.187781</v>
      </c>
      <c r="G113" s="118">
        <f>F_Inputs!G112</f>
        <v>0.70255299999999998</v>
      </c>
      <c r="H113" s="118" t="str">
        <f>F_Inputs!H112</f>
        <v/>
      </c>
      <c r="I113" s="118" t="str">
        <f>F_Inputs!I112</f>
        <v/>
      </c>
      <c r="J113" s="118" t="str">
        <f>F_Inputs!J112</f>
        <v/>
      </c>
      <c r="K113" s="118" t="str">
        <f>F_Inputs!K112</f>
        <v/>
      </c>
      <c r="L113" s="118" t="str">
        <f>F_Inputs!L112</f>
        <v/>
      </c>
      <c r="M113" s="118" t="str">
        <f t="shared" si="20"/>
        <v>CWW12_</v>
      </c>
      <c r="N113" s="117">
        <f t="shared" si="12"/>
        <v>0.187781</v>
      </c>
      <c r="O113" s="117">
        <f t="shared" si="13"/>
        <v>0.70255299999999998</v>
      </c>
      <c r="P113" s="117">
        <f t="shared" si="14"/>
        <v>0</v>
      </c>
      <c r="Q113" s="117">
        <f t="shared" si="15"/>
        <v>0</v>
      </c>
      <c r="R113" s="117">
        <f t="shared" si="16"/>
        <v>0</v>
      </c>
      <c r="S113" s="117">
        <f t="shared" si="17"/>
        <v>0</v>
      </c>
      <c r="T113" s="117">
        <f t="shared" si="18"/>
        <v>0</v>
      </c>
      <c r="U113" s="207">
        <f t="shared" si="19"/>
        <v>0.89033399999999996</v>
      </c>
    </row>
    <row r="114" spans="1:21">
      <c r="A114" s="118" t="str">
        <f>F_Inputs!A113</f>
        <v>WSX</v>
      </c>
      <c r="B114" s="118" t="str">
        <f>F_Inputs!B113</f>
        <v>CWW17_053TOT_PR24</v>
      </c>
      <c r="C114" s="118" t="str">
        <f>F_Inputs!C113</f>
        <v>EA/NRW environmental programme wastewater (WINEP/NEP) - Chemicals and emerging contaminants monitoring, investigations, options appraisals; (WINEP/NEP) wastewater opex - Total</v>
      </c>
      <c r="D114" s="118" t="str">
        <f>F_Inputs!D113</f>
        <v>£m</v>
      </c>
      <c r="E114" s="118" t="str">
        <f>F_Inputs!E113</f>
        <v>Price Review 2024</v>
      </c>
      <c r="F114" s="118">
        <f>F_Inputs!F113</f>
        <v>0</v>
      </c>
      <c r="G114" s="118">
        <f>F_Inputs!G113</f>
        <v>0</v>
      </c>
      <c r="H114" s="118">
        <f>F_Inputs!H113</f>
        <v>0</v>
      </c>
      <c r="I114" s="118">
        <f>F_Inputs!I113</f>
        <v>0</v>
      </c>
      <c r="J114" s="118">
        <f>F_Inputs!J113</f>
        <v>0</v>
      </c>
      <c r="K114" s="118">
        <f>F_Inputs!K113</f>
        <v>0</v>
      </c>
      <c r="L114" s="118">
        <f>F_Inputs!L113</f>
        <v>0</v>
      </c>
      <c r="M114" s="118" t="str">
        <f t="shared" si="20"/>
        <v>CWW17_</v>
      </c>
      <c r="N114" s="117">
        <f t="shared" si="12"/>
        <v>0</v>
      </c>
      <c r="O114" s="117">
        <f t="shared" si="13"/>
        <v>0</v>
      </c>
      <c r="P114" s="117">
        <f t="shared" si="14"/>
        <v>0</v>
      </c>
      <c r="Q114" s="117">
        <f t="shared" si="15"/>
        <v>0</v>
      </c>
      <c r="R114" s="117">
        <f t="shared" si="16"/>
        <v>0</v>
      </c>
      <c r="S114" s="117">
        <f t="shared" si="17"/>
        <v>0</v>
      </c>
      <c r="T114" s="117">
        <f t="shared" si="18"/>
        <v>0</v>
      </c>
      <c r="U114" s="207">
        <f t="shared" si="19"/>
        <v>0</v>
      </c>
    </row>
    <row r="115" spans="1:21">
      <c r="A115" s="118" t="str">
        <f>F_Inputs!A114</f>
        <v>WSX</v>
      </c>
      <c r="B115" s="118" t="str">
        <f>F_Inputs!B114</f>
        <v>CWW12_054TOT_PR24</v>
      </c>
      <c r="C115" s="118" t="str">
        <f>F_Inputs!C114</f>
        <v>EA/NRW environmental programme wastewater (WINEP/NEP) - Chemicals and emerging contaminants monitoring, investigations, options appraisals; (WINEP/NEP) wastewater totex - Total</v>
      </c>
      <c r="D115" s="118" t="str">
        <f>F_Inputs!D114</f>
        <v>£m</v>
      </c>
      <c r="E115" s="118" t="str">
        <f>F_Inputs!E114</f>
        <v>Price Review 2024</v>
      </c>
      <c r="F115" s="118">
        <f>F_Inputs!F114</f>
        <v>0.187781</v>
      </c>
      <c r="G115" s="118">
        <f>F_Inputs!G114</f>
        <v>0.73588399999999998</v>
      </c>
      <c r="H115" s="118" t="str">
        <f>F_Inputs!H114</f>
        <v/>
      </c>
      <c r="I115" s="118" t="str">
        <f>F_Inputs!I114</f>
        <v/>
      </c>
      <c r="J115" s="118" t="str">
        <f>F_Inputs!J114</f>
        <v/>
      </c>
      <c r="K115" s="118" t="str">
        <f>F_Inputs!K114</f>
        <v/>
      </c>
      <c r="L115" s="118" t="str">
        <f>F_Inputs!L114</f>
        <v/>
      </c>
      <c r="M115" s="118" t="str">
        <f t="shared" si="20"/>
        <v>CWW12_</v>
      </c>
      <c r="N115" s="117">
        <f t="shared" si="12"/>
        <v>0.187781</v>
      </c>
      <c r="O115" s="117">
        <f t="shared" si="13"/>
        <v>0.73588399999999998</v>
      </c>
      <c r="P115" s="117">
        <f t="shared" si="14"/>
        <v>0</v>
      </c>
      <c r="Q115" s="117">
        <f t="shared" si="15"/>
        <v>0</v>
      </c>
      <c r="R115" s="117">
        <f t="shared" si="16"/>
        <v>0</v>
      </c>
      <c r="S115" s="117">
        <f t="shared" si="17"/>
        <v>0</v>
      </c>
      <c r="T115" s="117">
        <f t="shared" si="18"/>
        <v>0</v>
      </c>
      <c r="U115" s="207">
        <f t="shared" si="19"/>
        <v>0.92366499999999996</v>
      </c>
    </row>
    <row r="116" spans="1:21">
      <c r="A116" s="118" t="str">
        <f>F_Inputs!A115</f>
        <v>WSX</v>
      </c>
      <c r="B116" s="118" t="str">
        <f>F_Inputs!B115</f>
        <v>CWW17_054TOT_PR24</v>
      </c>
      <c r="C116" s="118" t="str">
        <f>F_Inputs!C115</f>
        <v>EA/NRW environmental programme wastewater (WINEP/NEP) - Chemicals and emerging contaminants monitoring, investigations, options appraisals; (WINEP/NEP) wastewater totex - Total</v>
      </c>
      <c r="D116" s="118" t="str">
        <f>F_Inputs!D115</f>
        <v>£m</v>
      </c>
      <c r="E116" s="118" t="str">
        <f>F_Inputs!E115</f>
        <v>Price Review 2024</v>
      </c>
      <c r="F116" s="118">
        <f>F_Inputs!F115</f>
        <v>0</v>
      </c>
      <c r="G116" s="118">
        <f>F_Inputs!G115</f>
        <v>0</v>
      </c>
      <c r="H116" s="118">
        <f>F_Inputs!H115</f>
        <v>0</v>
      </c>
      <c r="I116" s="118">
        <f>F_Inputs!I115</f>
        <v>0</v>
      </c>
      <c r="J116" s="118">
        <f>F_Inputs!J115</f>
        <v>0</v>
      </c>
      <c r="K116" s="118">
        <f>F_Inputs!K115</f>
        <v>0</v>
      </c>
      <c r="L116" s="118">
        <f>F_Inputs!L115</f>
        <v>0</v>
      </c>
      <c r="M116" s="118" t="str">
        <f t="shared" si="20"/>
        <v>CWW17_</v>
      </c>
      <c r="N116" s="117">
        <f t="shared" si="12"/>
        <v>0</v>
      </c>
      <c r="O116" s="117">
        <f t="shared" si="13"/>
        <v>0</v>
      </c>
      <c r="P116" s="117">
        <f t="shared" si="14"/>
        <v>0</v>
      </c>
      <c r="Q116" s="117">
        <f t="shared" si="15"/>
        <v>0</v>
      </c>
      <c r="R116" s="117">
        <f t="shared" si="16"/>
        <v>0</v>
      </c>
      <c r="S116" s="117">
        <f t="shared" si="17"/>
        <v>0</v>
      </c>
      <c r="T116" s="117">
        <f t="shared" si="18"/>
        <v>0</v>
      </c>
      <c r="U116" s="207">
        <f t="shared" si="19"/>
        <v>0</v>
      </c>
    </row>
    <row r="117" spans="1:21">
      <c r="A117" s="118" t="str">
        <f>F_Inputs!A116</f>
        <v>WSX</v>
      </c>
      <c r="B117" s="118" t="str">
        <f>F_Inputs!B116</f>
        <v>PR24_NETTOTEX_WASTE</v>
      </c>
      <c r="C117" s="118" t="str">
        <f>F_Inputs!C116</f>
        <v>PR24 BP Net totex - Total inc. accelerated &amp; transition costs</v>
      </c>
      <c r="D117" s="118" t="str">
        <f>F_Inputs!D116</f>
        <v>£m</v>
      </c>
      <c r="E117" s="118" t="str">
        <f>F_Inputs!E116</f>
        <v>Price Review 2024</v>
      </c>
      <c r="F117" s="118" t="str">
        <f>F_Inputs!F116</f>
        <v/>
      </c>
      <c r="G117" s="118" t="str">
        <f>F_Inputs!G116</f>
        <v/>
      </c>
      <c r="H117" s="118" t="str">
        <f>F_Inputs!H116</f>
        <v/>
      </c>
      <c r="I117" s="118" t="str">
        <f>F_Inputs!I116</f>
        <v/>
      </c>
      <c r="J117" s="118" t="str">
        <f>F_Inputs!J116</f>
        <v/>
      </c>
      <c r="K117" s="118" t="str">
        <f>F_Inputs!K116</f>
        <v/>
      </c>
      <c r="L117" s="118" t="str">
        <f>F_Inputs!L116</f>
        <v/>
      </c>
      <c r="M117" s="118" t="str">
        <f t="shared" si="20"/>
        <v>PR24_N</v>
      </c>
      <c r="N117" s="117">
        <f t="shared" si="12"/>
        <v>0</v>
      </c>
      <c r="O117" s="117">
        <f t="shared" si="13"/>
        <v>0</v>
      </c>
      <c r="P117" s="117">
        <f t="shared" si="14"/>
        <v>0</v>
      </c>
      <c r="Q117" s="117">
        <f t="shared" si="15"/>
        <v>0</v>
      </c>
      <c r="R117" s="117">
        <f t="shared" si="16"/>
        <v>0</v>
      </c>
      <c r="S117" s="117">
        <f t="shared" si="17"/>
        <v>0</v>
      </c>
      <c r="T117" s="117">
        <f t="shared" si="18"/>
        <v>0</v>
      </c>
      <c r="U117" s="207">
        <f t="shared" si="19"/>
        <v>0</v>
      </c>
    </row>
    <row r="118" spans="1:21">
      <c r="A118" s="118" t="str">
        <f>F_Inputs!A117</f>
        <v>YKY</v>
      </c>
      <c r="B118" s="118" t="str">
        <f>F_Inputs!B117</f>
        <v>CWW3_052TOT_PR24</v>
      </c>
      <c r="C118" s="118" t="str">
        <f>F_Inputs!C117</f>
        <v>EA/NRW environmental programme wastewater (WINEP/NEP) - Chemicals and emerging contaminants monitoring, investigations, options appraisals; (WINEP/NEP) wastewater capex - Total</v>
      </c>
      <c r="D118" s="118" t="str">
        <f>F_Inputs!D117</f>
        <v>£m</v>
      </c>
      <c r="E118" s="118" t="str">
        <f>F_Inputs!E117</f>
        <v>Price Review 2024</v>
      </c>
      <c r="F118" s="118">
        <f>F_Inputs!F117</f>
        <v>6.0634172634172631E-2</v>
      </c>
      <c r="G118" s="118">
        <f>F_Inputs!G117</f>
        <v>0.51600000000000001</v>
      </c>
      <c r="H118" s="118">
        <f>F_Inputs!H117</f>
        <v>1.0758399999999999</v>
      </c>
      <c r="I118" s="118">
        <f>F_Inputs!I117</f>
        <v>1.012864</v>
      </c>
      <c r="J118" s="118">
        <f>F_Inputs!J117</f>
        <v>0.75781120000000002</v>
      </c>
      <c r="K118" s="118">
        <f>F_Inputs!K117</f>
        <v>0</v>
      </c>
      <c r="L118" s="118">
        <f>F_Inputs!L117</f>
        <v>0</v>
      </c>
      <c r="M118" s="118" t="str">
        <f t="shared" si="20"/>
        <v>CWW3_0</v>
      </c>
      <c r="N118" s="117">
        <f t="shared" si="12"/>
        <v>0</v>
      </c>
      <c r="O118" s="117">
        <f t="shared" si="13"/>
        <v>0</v>
      </c>
      <c r="P118" s="117">
        <f t="shared" si="14"/>
        <v>1.0758399999999999</v>
      </c>
      <c r="Q118" s="117">
        <f t="shared" si="15"/>
        <v>1.012864</v>
      </c>
      <c r="R118" s="117">
        <f t="shared" si="16"/>
        <v>0.75781120000000002</v>
      </c>
      <c r="S118" s="117">
        <f t="shared" si="17"/>
        <v>0</v>
      </c>
      <c r="T118" s="117">
        <f t="shared" si="18"/>
        <v>0</v>
      </c>
      <c r="U118" s="207">
        <f t="shared" si="19"/>
        <v>2.8465151999999998</v>
      </c>
    </row>
    <row r="119" spans="1:21">
      <c r="A119" s="118" t="str">
        <f>F_Inputs!A118</f>
        <v>YKY</v>
      </c>
      <c r="B119" s="118" t="str">
        <f>F_Inputs!B118</f>
        <v>CWW3_053TOT_PR24</v>
      </c>
      <c r="C119" s="118" t="str">
        <f>F_Inputs!C118</f>
        <v>EA/NRW environmental programme wastewater (WINEP/NEP) - Chemicals and emerging contaminants monitoring, investigations, options appraisals; (WINEP/NEP) wastewater opex - Total</v>
      </c>
      <c r="D119" s="118" t="str">
        <f>F_Inputs!D118</f>
        <v>£m</v>
      </c>
      <c r="E119" s="118" t="str">
        <f>F_Inputs!E118</f>
        <v>Price Review 2024</v>
      </c>
      <c r="F119" s="118">
        <f>F_Inputs!F118</f>
        <v>0</v>
      </c>
      <c r="G119" s="118">
        <f>F_Inputs!G118</f>
        <v>0</v>
      </c>
      <c r="H119" s="118">
        <f>F_Inputs!H118</f>
        <v>1.0978816</v>
      </c>
      <c r="I119" s="118">
        <f>F_Inputs!I118</f>
        <v>0.93200000000000005</v>
      </c>
      <c r="J119" s="118">
        <f>F_Inputs!J118</f>
        <v>9.4464000000000006E-2</v>
      </c>
      <c r="K119" s="118">
        <f>F_Inputs!K118</f>
        <v>9.4E-2</v>
      </c>
      <c r="L119" s="118">
        <f>F_Inputs!L118</f>
        <v>9.4E-2</v>
      </c>
      <c r="M119" s="118" t="str">
        <f t="shared" si="20"/>
        <v>CWW3_0</v>
      </c>
      <c r="N119" s="117">
        <f t="shared" si="12"/>
        <v>0</v>
      </c>
      <c r="O119" s="117">
        <f t="shared" si="13"/>
        <v>0</v>
      </c>
      <c r="P119" s="117">
        <f t="shared" si="14"/>
        <v>1.0978816</v>
      </c>
      <c r="Q119" s="117">
        <f t="shared" si="15"/>
        <v>0.93200000000000005</v>
      </c>
      <c r="R119" s="117">
        <f t="shared" si="16"/>
        <v>9.4464000000000006E-2</v>
      </c>
      <c r="S119" s="117">
        <f t="shared" si="17"/>
        <v>9.4E-2</v>
      </c>
      <c r="T119" s="117">
        <f t="shared" si="18"/>
        <v>9.4E-2</v>
      </c>
      <c r="U119" s="207">
        <f t="shared" si="19"/>
        <v>2.3123455999999996</v>
      </c>
    </row>
    <row r="120" spans="1:21">
      <c r="A120" s="118" t="str">
        <f>F_Inputs!A119</f>
        <v>YKY</v>
      </c>
      <c r="B120" s="118" t="str">
        <f>F_Inputs!B119</f>
        <v>CWW3_054TOT_PR24</v>
      </c>
      <c r="C120" s="118" t="str">
        <f>F_Inputs!C119</f>
        <v>EA/NRW environmental programme wastewater (WINEP/NEP) - Chemicals and emerging contaminants monitoring, investigations, options appraisals; (WINEP/NEP) wastewater totex - Total</v>
      </c>
      <c r="D120" s="118" t="str">
        <f>F_Inputs!D119</f>
        <v>£m</v>
      </c>
      <c r="E120" s="118" t="str">
        <f>F_Inputs!E119</f>
        <v>Price Review 2024</v>
      </c>
      <c r="F120" s="118">
        <f>F_Inputs!F119</f>
        <v>6.0634172634172631E-2</v>
      </c>
      <c r="G120" s="118">
        <f>F_Inputs!G119</f>
        <v>0.51600000000000001</v>
      </c>
      <c r="H120" s="118">
        <f>F_Inputs!H119</f>
        <v>2.1737215999999999</v>
      </c>
      <c r="I120" s="118">
        <f>F_Inputs!I119</f>
        <v>1.9448639999999999</v>
      </c>
      <c r="J120" s="118">
        <f>F_Inputs!J119</f>
        <v>0.85227520000000001</v>
      </c>
      <c r="K120" s="118">
        <f>F_Inputs!K119</f>
        <v>9.4E-2</v>
      </c>
      <c r="L120" s="118">
        <f>F_Inputs!L119</f>
        <v>9.4E-2</v>
      </c>
      <c r="M120" s="118" t="str">
        <f t="shared" si="20"/>
        <v>CWW3_0</v>
      </c>
      <c r="N120" s="117">
        <f t="shared" si="12"/>
        <v>0</v>
      </c>
      <c r="O120" s="117">
        <f t="shared" si="13"/>
        <v>0</v>
      </c>
      <c r="P120" s="117">
        <f t="shared" si="14"/>
        <v>2.1737215999999999</v>
      </c>
      <c r="Q120" s="117">
        <f t="shared" si="15"/>
        <v>1.9448639999999999</v>
      </c>
      <c r="R120" s="117">
        <f t="shared" si="16"/>
        <v>0.85227520000000001</v>
      </c>
      <c r="S120" s="117">
        <f t="shared" si="17"/>
        <v>9.4E-2</v>
      </c>
      <c r="T120" s="117">
        <f t="shared" si="18"/>
        <v>9.4E-2</v>
      </c>
      <c r="U120" s="207">
        <f t="shared" si="19"/>
        <v>5.1588608000000002</v>
      </c>
    </row>
    <row r="121" spans="1:21">
      <c r="A121" s="118" t="str">
        <f>F_Inputs!A120</f>
        <v>YKY</v>
      </c>
      <c r="B121" s="118" t="str">
        <f>F_Inputs!B120</f>
        <v>BN1603_PR24</v>
      </c>
      <c r="C121" s="118" t="str">
        <f>F_Inputs!C120</f>
        <v>Sewage treatment data - Current population equivalent served by STWs</v>
      </c>
      <c r="D121" s="118" t="str">
        <f>F_Inputs!D120</f>
        <v>000s</v>
      </c>
      <c r="E121" s="118" t="str">
        <f>F_Inputs!E120</f>
        <v>Price Review 2024</v>
      </c>
      <c r="F121" s="118">
        <f>F_Inputs!F120</f>
        <v>5966.8530000000001</v>
      </c>
      <c r="G121" s="118">
        <f>F_Inputs!G120</f>
        <v>5946.8819999999996</v>
      </c>
      <c r="H121" s="118">
        <f>F_Inputs!H120</f>
        <v>5969.9725020951646</v>
      </c>
      <c r="I121" s="118">
        <f>F_Inputs!I120</f>
        <v>5992.907411968441</v>
      </c>
      <c r="J121" s="118">
        <f>F_Inputs!J120</f>
        <v>6019.89099514606</v>
      </c>
      <c r="K121" s="118">
        <f>F_Inputs!K120</f>
        <v>6032.3946522192846</v>
      </c>
      <c r="L121" s="118">
        <f>F_Inputs!L120</f>
        <v>6044.499924989088</v>
      </c>
      <c r="M121" s="118" t="str">
        <f t="shared" si="20"/>
        <v>BN1603</v>
      </c>
      <c r="N121" s="117">
        <f t="shared" si="12"/>
        <v>5966.8530000000001</v>
      </c>
      <c r="O121" s="117">
        <f t="shared" si="13"/>
        <v>5946.8819999999996</v>
      </c>
      <c r="P121" s="117">
        <f t="shared" si="14"/>
        <v>5969.9725020951646</v>
      </c>
      <c r="Q121" s="117">
        <f t="shared" si="15"/>
        <v>5992.907411968441</v>
      </c>
      <c r="R121" s="117">
        <f t="shared" si="16"/>
        <v>6019.89099514606</v>
      </c>
      <c r="S121" s="117">
        <f t="shared" si="17"/>
        <v>6032.3946522192846</v>
      </c>
      <c r="T121" s="117">
        <f t="shared" si="18"/>
        <v>6044.499924989088</v>
      </c>
      <c r="U121" s="207">
        <f t="shared" si="19"/>
        <v>41973.400486418039</v>
      </c>
    </row>
    <row r="122" spans="1:21">
      <c r="A122" s="118" t="str">
        <f>F_Inputs!A121</f>
        <v>YKY</v>
      </c>
      <c r="B122" s="118" t="str">
        <f>F_Inputs!B121</f>
        <v>CWW12_052TOT_PR24</v>
      </c>
      <c r="C122" s="118" t="str">
        <f>F_Inputs!C121</f>
        <v>EA/NRW environmental programme wastewater (WINEP/NEP) - Chemicals and emerging contaminants monitoring, investigations, options appraisals; (WINEP/NEP) wastewater capex - Total</v>
      </c>
      <c r="D122" s="118" t="str">
        <f>F_Inputs!D121</f>
        <v>£m</v>
      </c>
      <c r="E122" s="118" t="str">
        <f>F_Inputs!E121</f>
        <v>Price Review 2024</v>
      </c>
      <c r="F122" s="118">
        <f>F_Inputs!F121</f>
        <v>0</v>
      </c>
      <c r="G122" s="118">
        <f>F_Inputs!G121</f>
        <v>0.41199999999999998</v>
      </c>
      <c r="H122" s="118" t="str">
        <f>F_Inputs!H121</f>
        <v/>
      </c>
      <c r="I122" s="118" t="str">
        <f>F_Inputs!I121</f>
        <v/>
      </c>
      <c r="J122" s="118" t="str">
        <f>F_Inputs!J121</f>
        <v/>
      </c>
      <c r="K122" s="118" t="str">
        <f>F_Inputs!K121</f>
        <v/>
      </c>
      <c r="L122" s="118" t="str">
        <f>F_Inputs!L121</f>
        <v/>
      </c>
      <c r="M122" s="118" t="str">
        <f t="shared" si="20"/>
        <v>CWW12_</v>
      </c>
      <c r="N122" s="117">
        <f t="shared" si="12"/>
        <v>0</v>
      </c>
      <c r="O122" s="117">
        <f t="shared" si="13"/>
        <v>0.41199999999999998</v>
      </c>
      <c r="P122" s="117">
        <f t="shared" si="14"/>
        <v>0</v>
      </c>
      <c r="Q122" s="117">
        <f t="shared" si="15"/>
        <v>0</v>
      </c>
      <c r="R122" s="117">
        <f t="shared" si="16"/>
        <v>0</v>
      </c>
      <c r="S122" s="117">
        <f t="shared" si="17"/>
        <v>0</v>
      </c>
      <c r="T122" s="117">
        <f t="shared" si="18"/>
        <v>0</v>
      </c>
      <c r="U122" s="207">
        <f t="shared" si="19"/>
        <v>0.41199999999999998</v>
      </c>
    </row>
    <row r="123" spans="1:21">
      <c r="A123" s="118" t="str">
        <f>F_Inputs!A122</f>
        <v>YKY</v>
      </c>
      <c r="B123" s="118" t="str">
        <f>F_Inputs!B122</f>
        <v>CWW17_052TOT_PR24</v>
      </c>
      <c r="C123" s="118" t="str">
        <f>F_Inputs!C122</f>
        <v>EA/NRW environmental programme wastewater (WINEP/NEP) - Chemicals and emerging contaminants monitoring, investigations, options appraisals; (WINEP/NEP) wastewater capex - Total</v>
      </c>
      <c r="D123" s="118" t="str">
        <f>F_Inputs!D122</f>
        <v>£m</v>
      </c>
      <c r="E123" s="118" t="str">
        <f>F_Inputs!E122</f>
        <v>Price Review 2024</v>
      </c>
      <c r="F123" s="118">
        <f>F_Inputs!F122</f>
        <v>0</v>
      </c>
      <c r="G123" s="118">
        <f>F_Inputs!G122</f>
        <v>0</v>
      </c>
      <c r="H123" s="118">
        <f>F_Inputs!H122</f>
        <v>0</v>
      </c>
      <c r="I123" s="118">
        <f>F_Inputs!I122</f>
        <v>0</v>
      </c>
      <c r="J123" s="118">
        <f>F_Inputs!J122</f>
        <v>0</v>
      </c>
      <c r="K123" s="118">
        <f>F_Inputs!K122</f>
        <v>0</v>
      </c>
      <c r="L123" s="118">
        <f>F_Inputs!L122</f>
        <v>0</v>
      </c>
      <c r="M123" s="118" t="str">
        <f t="shared" si="20"/>
        <v>CWW17_</v>
      </c>
      <c r="N123" s="117">
        <f t="shared" si="12"/>
        <v>0</v>
      </c>
      <c r="O123" s="117">
        <f t="shared" si="13"/>
        <v>0</v>
      </c>
      <c r="P123" s="117">
        <f t="shared" si="14"/>
        <v>0</v>
      </c>
      <c r="Q123" s="117">
        <f t="shared" si="15"/>
        <v>0</v>
      </c>
      <c r="R123" s="117">
        <f t="shared" si="16"/>
        <v>0</v>
      </c>
      <c r="S123" s="117">
        <f t="shared" si="17"/>
        <v>0</v>
      </c>
      <c r="T123" s="117">
        <f t="shared" si="18"/>
        <v>0</v>
      </c>
      <c r="U123" s="207">
        <f t="shared" si="19"/>
        <v>0</v>
      </c>
    </row>
    <row r="124" spans="1:21">
      <c r="A124" s="118" t="str">
        <f>F_Inputs!A123</f>
        <v>YKY</v>
      </c>
      <c r="B124" s="118" t="str">
        <f>F_Inputs!B123</f>
        <v>CWW12_053TOT_PR24</v>
      </c>
      <c r="C124" s="118" t="str">
        <f>F_Inputs!C123</f>
        <v>EA/NRW environmental programme wastewater (WINEP/NEP) - Chemicals and emerging contaminants monitoring, investigations, options appraisals; (WINEP/NEP) wastewater opex - Total</v>
      </c>
      <c r="D124" s="118" t="str">
        <f>F_Inputs!D123</f>
        <v>£m</v>
      </c>
      <c r="E124" s="118" t="str">
        <f>F_Inputs!E123</f>
        <v>Price Review 2024</v>
      </c>
      <c r="F124" s="118">
        <f>F_Inputs!F123</f>
        <v>0</v>
      </c>
      <c r="G124" s="118">
        <f>F_Inputs!G123</f>
        <v>0</v>
      </c>
      <c r="H124" s="118" t="str">
        <f>F_Inputs!H123</f>
        <v/>
      </c>
      <c r="I124" s="118" t="str">
        <f>F_Inputs!I123</f>
        <v/>
      </c>
      <c r="J124" s="118" t="str">
        <f>F_Inputs!J123</f>
        <v/>
      </c>
      <c r="K124" s="118" t="str">
        <f>F_Inputs!K123</f>
        <v/>
      </c>
      <c r="L124" s="118" t="str">
        <f>F_Inputs!L123</f>
        <v/>
      </c>
      <c r="M124" s="118" t="str">
        <f t="shared" si="20"/>
        <v>CWW12_</v>
      </c>
      <c r="N124" s="117">
        <f t="shared" si="12"/>
        <v>0</v>
      </c>
      <c r="O124" s="117">
        <f t="shared" si="13"/>
        <v>0</v>
      </c>
      <c r="P124" s="117">
        <f t="shared" si="14"/>
        <v>0</v>
      </c>
      <c r="Q124" s="117">
        <f t="shared" si="15"/>
        <v>0</v>
      </c>
      <c r="R124" s="117">
        <f t="shared" si="16"/>
        <v>0</v>
      </c>
      <c r="S124" s="117">
        <f t="shared" si="17"/>
        <v>0</v>
      </c>
      <c r="T124" s="117">
        <f t="shared" si="18"/>
        <v>0</v>
      </c>
      <c r="U124" s="207">
        <f t="shared" si="19"/>
        <v>0</v>
      </c>
    </row>
    <row r="125" spans="1:21">
      <c r="A125" s="118" t="str">
        <f>F_Inputs!A124</f>
        <v>YKY</v>
      </c>
      <c r="B125" s="118" t="str">
        <f>F_Inputs!B124</f>
        <v>CWW17_053TOT_PR24</v>
      </c>
      <c r="C125" s="118" t="str">
        <f>F_Inputs!C124</f>
        <v>EA/NRW environmental programme wastewater (WINEP/NEP) - Chemicals and emerging contaminants monitoring, investigations, options appraisals; (WINEP/NEP) wastewater opex - Total</v>
      </c>
      <c r="D125" s="118" t="str">
        <f>F_Inputs!D124</f>
        <v>£m</v>
      </c>
      <c r="E125" s="118" t="str">
        <f>F_Inputs!E124</f>
        <v>Price Review 2024</v>
      </c>
      <c r="F125" s="118">
        <f>F_Inputs!F124</f>
        <v>0</v>
      </c>
      <c r="G125" s="118">
        <f>F_Inputs!G124</f>
        <v>0</v>
      </c>
      <c r="H125" s="118">
        <f>F_Inputs!H124</f>
        <v>0</v>
      </c>
      <c r="I125" s="118">
        <f>F_Inputs!I124</f>
        <v>0</v>
      </c>
      <c r="J125" s="118">
        <f>F_Inputs!J124</f>
        <v>0</v>
      </c>
      <c r="K125" s="118">
        <f>F_Inputs!K124</f>
        <v>0</v>
      </c>
      <c r="L125" s="118">
        <f>F_Inputs!L124</f>
        <v>0</v>
      </c>
      <c r="M125" s="118" t="str">
        <f t="shared" si="20"/>
        <v>CWW17_</v>
      </c>
      <c r="N125" s="117">
        <f t="shared" si="12"/>
        <v>0</v>
      </c>
      <c r="O125" s="117">
        <f t="shared" si="13"/>
        <v>0</v>
      </c>
      <c r="P125" s="117">
        <f t="shared" si="14"/>
        <v>0</v>
      </c>
      <c r="Q125" s="117">
        <f t="shared" si="15"/>
        <v>0</v>
      </c>
      <c r="R125" s="117">
        <f t="shared" si="16"/>
        <v>0</v>
      </c>
      <c r="S125" s="117">
        <f t="shared" si="17"/>
        <v>0</v>
      </c>
      <c r="T125" s="117">
        <f t="shared" si="18"/>
        <v>0</v>
      </c>
      <c r="U125" s="207">
        <f t="shared" si="19"/>
        <v>0</v>
      </c>
    </row>
    <row r="126" spans="1:21">
      <c r="A126" s="118" t="str">
        <f>F_Inputs!A125</f>
        <v>YKY</v>
      </c>
      <c r="B126" s="118" t="str">
        <f>F_Inputs!B125</f>
        <v>CWW12_054TOT_PR24</v>
      </c>
      <c r="C126" s="118" t="str">
        <f>F_Inputs!C125</f>
        <v>EA/NRW environmental programme wastewater (WINEP/NEP) - Chemicals and emerging contaminants monitoring, investigations, options appraisals; (WINEP/NEP) wastewater totex - Total</v>
      </c>
      <c r="D126" s="118" t="str">
        <f>F_Inputs!D125</f>
        <v>£m</v>
      </c>
      <c r="E126" s="118" t="str">
        <f>F_Inputs!E125</f>
        <v>Price Review 2024</v>
      </c>
      <c r="F126" s="118">
        <f>F_Inputs!F125</f>
        <v>0</v>
      </c>
      <c r="G126" s="118">
        <f>F_Inputs!G125</f>
        <v>0.41199999999999998</v>
      </c>
      <c r="H126" s="118" t="str">
        <f>F_Inputs!H125</f>
        <v/>
      </c>
      <c r="I126" s="118" t="str">
        <f>F_Inputs!I125</f>
        <v/>
      </c>
      <c r="J126" s="118" t="str">
        <f>F_Inputs!J125</f>
        <v/>
      </c>
      <c r="K126" s="118" t="str">
        <f>F_Inputs!K125</f>
        <v/>
      </c>
      <c r="L126" s="118" t="str">
        <f>F_Inputs!L125</f>
        <v/>
      </c>
      <c r="M126" s="118" t="str">
        <f t="shared" si="20"/>
        <v>CWW12_</v>
      </c>
      <c r="N126" s="117">
        <f t="shared" si="12"/>
        <v>0</v>
      </c>
      <c r="O126" s="117">
        <f t="shared" si="13"/>
        <v>0.41199999999999998</v>
      </c>
      <c r="P126" s="117">
        <f t="shared" si="14"/>
        <v>0</v>
      </c>
      <c r="Q126" s="117">
        <f t="shared" si="15"/>
        <v>0</v>
      </c>
      <c r="R126" s="117">
        <f t="shared" si="16"/>
        <v>0</v>
      </c>
      <c r="S126" s="117">
        <f t="shared" si="17"/>
        <v>0</v>
      </c>
      <c r="T126" s="117">
        <f t="shared" si="18"/>
        <v>0</v>
      </c>
      <c r="U126" s="207">
        <f t="shared" si="19"/>
        <v>0.41199999999999998</v>
      </c>
    </row>
    <row r="127" spans="1:21">
      <c r="A127" s="118" t="str">
        <f>F_Inputs!A126</f>
        <v>YKY</v>
      </c>
      <c r="B127" s="118" t="str">
        <f>F_Inputs!B126</f>
        <v>CWW17_054TOT_PR24</v>
      </c>
      <c r="C127" s="118" t="str">
        <f>F_Inputs!C126</f>
        <v>EA/NRW environmental programme wastewater (WINEP/NEP) - Chemicals and emerging contaminants monitoring, investigations, options appraisals; (WINEP/NEP) wastewater totex - Total</v>
      </c>
      <c r="D127" s="118" t="str">
        <f>F_Inputs!D126</f>
        <v>£m</v>
      </c>
      <c r="E127" s="118" t="str">
        <f>F_Inputs!E126</f>
        <v>Price Review 2024</v>
      </c>
      <c r="F127" s="118">
        <f>F_Inputs!F126</f>
        <v>0</v>
      </c>
      <c r="G127" s="118">
        <f>F_Inputs!G126</f>
        <v>0</v>
      </c>
      <c r="H127" s="118">
        <f>F_Inputs!H126</f>
        <v>0</v>
      </c>
      <c r="I127" s="118">
        <f>F_Inputs!I126</f>
        <v>0</v>
      </c>
      <c r="J127" s="118">
        <f>F_Inputs!J126</f>
        <v>0</v>
      </c>
      <c r="K127" s="118">
        <f>F_Inputs!K126</f>
        <v>0</v>
      </c>
      <c r="L127" s="118">
        <f>F_Inputs!L126</f>
        <v>0</v>
      </c>
      <c r="M127" s="118" t="str">
        <f t="shared" si="20"/>
        <v>CWW17_</v>
      </c>
      <c r="N127" s="117">
        <f t="shared" si="12"/>
        <v>0</v>
      </c>
      <c r="O127" s="117">
        <f t="shared" si="13"/>
        <v>0</v>
      </c>
      <c r="P127" s="117">
        <f t="shared" si="14"/>
        <v>0</v>
      </c>
      <c r="Q127" s="117">
        <f t="shared" si="15"/>
        <v>0</v>
      </c>
      <c r="R127" s="117">
        <f t="shared" si="16"/>
        <v>0</v>
      </c>
      <c r="S127" s="117">
        <f t="shared" si="17"/>
        <v>0</v>
      </c>
      <c r="T127" s="117">
        <f t="shared" si="18"/>
        <v>0</v>
      </c>
      <c r="U127" s="207">
        <f t="shared" si="19"/>
        <v>0</v>
      </c>
    </row>
    <row r="128" spans="1:21">
      <c r="A128" s="118" t="str">
        <f>F_Inputs!A127</f>
        <v>YKY</v>
      </c>
      <c r="B128" s="118" t="str">
        <f>F_Inputs!B127</f>
        <v>PR24_NETTOTEX_WASTE</v>
      </c>
      <c r="C128" s="118" t="str">
        <f>F_Inputs!C127</f>
        <v>PR24 BP Net totex - Total inc. accelerated &amp; transition costs</v>
      </c>
      <c r="D128" s="118" t="str">
        <f>F_Inputs!D127</f>
        <v>£m</v>
      </c>
      <c r="E128" s="118" t="str">
        <f>F_Inputs!E127</f>
        <v>Price Review 2024</v>
      </c>
      <c r="F128" s="118" t="str">
        <f>F_Inputs!F127</f>
        <v/>
      </c>
      <c r="G128" s="118" t="str">
        <f>F_Inputs!G127</f>
        <v/>
      </c>
      <c r="H128" s="118" t="str">
        <f>F_Inputs!H127</f>
        <v/>
      </c>
      <c r="I128" s="118" t="str">
        <f>F_Inputs!I127</f>
        <v/>
      </c>
      <c r="J128" s="118" t="str">
        <f>F_Inputs!J127</f>
        <v/>
      </c>
      <c r="K128" s="118" t="str">
        <f>F_Inputs!K127</f>
        <v/>
      </c>
      <c r="L128" s="118" t="str">
        <f>F_Inputs!L127</f>
        <v/>
      </c>
      <c r="M128" s="118" t="str">
        <f t="shared" si="20"/>
        <v>PR24_N</v>
      </c>
      <c r="N128" s="117">
        <f t="shared" si="12"/>
        <v>0</v>
      </c>
      <c r="O128" s="117">
        <f t="shared" si="13"/>
        <v>0</v>
      </c>
      <c r="P128" s="117">
        <f t="shared" si="14"/>
        <v>0</v>
      </c>
      <c r="Q128" s="117">
        <f t="shared" si="15"/>
        <v>0</v>
      </c>
      <c r="R128" s="117">
        <f t="shared" si="16"/>
        <v>0</v>
      </c>
      <c r="S128" s="117">
        <f t="shared" si="17"/>
        <v>0</v>
      </c>
      <c r="T128" s="117">
        <f t="shared" si="18"/>
        <v>0</v>
      </c>
      <c r="U128" s="207">
        <f t="shared" si="19"/>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A6C55-0098-4FAE-9DB3-314F9985A9CB}">
  <sheetPr>
    <tabColor rgb="FFFFDB8E"/>
  </sheetPr>
  <dimension ref="A1:N125"/>
  <sheetViews>
    <sheetView zoomScale="80" zoomScaleNormal="80" workbookViewId="0"/>
  </sheetViews>
  <sheetFormatPr defaultRowHeight="12.75"/>
  <cols>
    <col min="1" max="1" width="11.5703125" customWidth="1"/>
    <col min="2" max="2" width="25.85546875" bestFit="1" customWidth="1"/>
    <col min="3" max="3" width="193.42578125" bestFit="1" customWidth="1"/>
    <col min="5" max="5" width="15.7109375" customWidth="1"/>
    <col min="6" max="12" width="10.7109375" customWidth="1"/>
  </cols>
  <sheetData>
    <row r="1" spans="1:14" ht="31.5">
      <c r="A1" s="1" t="str">
        <f ca="1" xml:space="preserve"> RIGHT(CELL("filename", $A$1), LEN(CELL("filename", $A$1)) - SEARCH("]", CELL("filename", $A$1)))</f>
        <v>Consolidated Input</v>
      </c>
      <c r="B1" s="1"/>
      <c r="C1" s="1"/>
      <c r="D1" s="1"/>
      <c r="E1" s="1"/>
      <c r="F1" s="1"/>
      <c r="G1" s="1"/>
      <c r="H1" s="1"/>
      <c r="I1" s="1"/>
      <c r="J1" s="1"/>
      <c r="K1" s="1"/>
      <c r="L1" s="1"/>
    </row>
    <row r="2" spans="1:14" s="2" customFormat="1"/>
    <row r="3" spans="1:14" s="2" customFormat="1"/>
    <row r="4" spans="1:14" s="2" customFormat="1">
      <c r="A4" s="121" t="s">
        <v>59</v>
      </c>
      <c r="B4" s="121" t="s">
        <v>106</v>
      </c>
      <c r="C4" s="122" t="s">
        <v>107</v>
      </c>
      <c r="D4" s="122" t="s">
        <v>62</v>
      </c>
      <c r="E4" s="122" t="s">
        <v>63</v>
      </c>
      <c r="F4" s="122" t="s">
        <v>64</v>
      </c>
      <c r="G4" s="122" t="s">
        <v>65</v>
      </c>
      <c r="H4" s="122" t="s">
        <v>66</v>
      </c>
      <c r="I4" s="122" t="s">
        <v>67</v>
      </c>
      <c r="J4" s="122" t="s">
        <v>68</v>
      </c>
      <c r="K4" s="122" t="s">
        <v>69</v>
      </c>
      <c r="L4" s="122" t="s">
        <v>70</v>
      </c>
    </row>
    <row r="5" spans="1:14" s="2" customFormat="1" ht="15">
      <c r="A5" s="4" t="str">
        <f>F_Inputs_adjusted!A8</f>
        <v>ANH</v>
      </c>
      <c r="B5" s="4" t="str">
        <f>F_Inputs_adjusted!B8</f>
        <v>CWW3_052TOT_PR24</v>
      </c>
      <c r="C5" s="4" t="str">
        <f>F_Inputs_adjusted!C8</f>
        <v>EA/NRW environmental programme wastewater (WINEP/NEP) - Chemicals and emerging contaminants monitoring, investigations, options appraisals; (WINEP/NEP) wastewater capex - Total</v>
      </c>
      <c r="D5" s="4" t="str">
        <f>F_Inputs_adjusted!D8</f>
        <v>£m</v>
      </c>
      <c r="E5" s="4" t="str">
        <f>F_Inputs_adjusted!E8</f>
        <v>Price Review 2024</v>
      </c>
      <c r="F5" s="4">
        <f>F_Inputs_adjusted!N8</f>
        <v>0</v>
      </c>
      <c r="G5" s="4">
        <f>F_Inputs_adjusted!O8</f>
        <v>0</v>
      </c>
      <c r="H5" s="4">
        <f>F_Inputs_adjusted!P8</f>
        <v>4.6470000000000002</v>
      </c>
      <c r="I5" s="4">
        <f>F_Inputs_adjusted!Q8</f>
        <v>6.5570000000000004</v>
      </c>
      <c r="J5" s="4">
        <f>F_Inputs_adjusted!R8</f>
        <v>4.6680000000000001</v>
      </c>
      <c r="K5" s="4">
        <f>F_Inputs_adjusted!S8</f>
        <v>4.6769999999999996</v>
      </c>
      <c r="L5" s="4">
        <f>F_Inputs_adjusted!T8</f>
        <v>5.0309999999999997</v>
      </c>
      <c r="N5" s="123"/>
    </row>
    <row r="6" spans="1:14" s="2" customFormat="1" ht="15">
      <c r="A6" s="4" t="str">
        <f>F_Inputs_adjusted!A9</f>
        <v>ANH</v>
      </c>
      <c r="B6" s="4" t="str">
        <f>F_Inputs_adjusted!B9</f>
        <v>CWW3_053TOT_PR24</v>
      </c>
      <c r="C6" s="4" t="str">
        <f>F_Inputs_adjusted!C9</f>
        <v>EA/NRW environmental programme wastewater (WINEP/NEP) - Chemicals and emerging contaminants monitoring, investigations, options appraisals; (WINEP/NEP) wastewater opex - Total</v>
      </c>
      <c r="D6" s="4" t="str">
        <f>F_Inputs_adjusted!D9</f>
        <v>£m</v>
      </c>
      <c r="E6" s="4" t="str">
        <f>F_Inputs_adjusted!E9</f>
        <v>Price Review 2024</v>
      </c>
      <c r="F6" s="4">
        <f>F_Inputs_adjusted!N9</f>
        <v>0</v>
      </c>
      <c r="G6" s="4">
        <f>F_Inputs_adjusted!O9</f>
        <v>0</v>
      </c>
      <c r="H6" s="4">
        <f>F_Inputs_adjusted!P9</f>
        <v>0</v>
      </c>
      <c r="I6" s="4">
        <f>F_Inputs_adjusted!Q9</f>
        <v>0</v>
      </c>
      <c r="J6" s="4">
        <f>F_Inputs_adjusted!R9</f>
        <v>0</v>
      </c>
      <c r="K6" s="4">
        <f>F_Inputs_adjusted!S9</f>
        <v>0</v>
      </c>
      <c r="L6" s="4">
        <f>F_Inputs_adjusted!T9</f>
        <v>0</v>
      </c>
      <c r="N6" s="123"/>
    </row>
    <row r="7" spans="1:14" s="2" customFormat="1" ht="15">
      <c r="A7" s="4" t="str">
        <f>F_Inputs_adjusted!A10</f>
        <v>ANH</v>
      </c>
      <c r="B7" s="4" t="str">
        <f>F_Inputs_adjusted!B10</f>
        <v>CWW3_054TOT_PR24</v>
      </c>
      <c r="C7" s="4" t="str">
        <f>F_Inputs_adjusted!C10</f>
        <v>EA/NRW environmental programme wastewater (WINEP/NEP) - Chemicals and emerging contaminants monitoring, investigations, options appraisals; (WINEP/NEP) wastewater totex - Total</v>
      </c>
      <c r="D7" s="4" t="str">
        <f>F_Inputs_adjusted!D10</f>
        <v>£m</v>
      </c>
      <c r="E7" s="4" t="str">
        <f>F_Inputs_adjusted!E10</f>
        <v>Price Review 2024</v>
      </c>
      <c r="F7" s="4">
        <f>F_Inputs_adjusted!N10</f>
        <v>0</v>
      </c>
      <c r="G7" s="4">
        <f>F_Inputs_adjusted!O10</f>
        <v>0</v>
      </c>
      <c r="H7" s="4">
        <f>F_Inputs_adjusted!P10</f>
        <v>4.6470000000000002</v>
      </c>
      <c r="I7" s="4">
        <f>F_Inputs_adjusted!Q10</f>
        <v>6.5570000000000004</v>
      </c>
      <c r="J7" s="4">
        <f>F_Inputs_adjusted!R10</f>
        <v>4.6680000000000001</v>
      </c>
      <c r="K7" s="4">
        <f>F_Inputs_adjusted!S10</f>
        <v>4.6769999999999996</v>
      </c>
      <c r="L7" s="4">
        <f>F_Inputs_adjusted!T10</f>
        <v>5.0309999999999997</v>
      </c>
      <c r="N7" s="123"/>
    </row>
    <row r="8" spans="1:14" s="2" customFormat="1" ht="15">
      <c r="A8" s="4" t="str">
        <f>F_Inputs_adjusted!A11</f>
        <v>ANH</v>
      </c>
      <c r="B8" s="4" t="str">
        <f>F_Inputs_adjusted!B11</f>
        <v>BN1603_PR24</v>
      </c>
      <c r="C8" s="4" t="str">
        <f>F_Inputs_adjusted!C11</f>
        <v>Sewage treatment data - Current population equivalent served by STWs</v>
      </c>
      <c r="D8" s="4" t="str">
        <f>F_Inputs_adjusted!D11</f>
        <v>000s</v>
      </c>
      <c r="E8" s="4" t="str">
        <f>F_Inputs_adjusted!E11</f>
        <v>Price Review 2024</v>
      </c>
      <c r="F8" s="4">
        <f>F_Inputs_adjusted!N11</f>
        <v>7392.8429999999998</v>
      </c>
      <c r="G8" s="4">
        <f>F_Inputs_adjusted!O11</f>
        <v>7446.8497140252593</v>
      </c>
      <c r="H8" s="4">
        <f>F_Inputs_adjusted!P11</f>
        <v>7499.9863531482497</v>
      </c>
      <c r="I8" s="4">
        <f>F_Inputs_adjusted!Q11</f>
        <v>7549.3772645502286</v>
      </c>
      <c r="J8" s="4">
        <f>F_Inputs_adjusted!R11</f>
        <v>7593.0960781989497</v>
      </c>
      <c r="K8" s="4">
        <f>F_Inputs_adjusted!S11</f>
        <v>7630.0911036135394</v>
      </c>
      <c r="L8" s="4">
        <f>F_Inputs_adjusted!T11</f>
        <v>7661.2581846204494</v>
      </c>
      <c r="N8" s="123"/>
    </row>
    <row r="9" spans="1:14" s="2" customFormat="1" ht="15">
      <c r="A9" s="4" t="str">
        <f>F_Inputs_adjusted!A12</f>
        <v>ANH</v>
      </c>
      <c r="B9" s="4" t="str">
        <f>F_Inputs_adjusted!B12</f>
        <v>CWW12_052TOT_PR24</v>
      </c>
      <c r="C9" s="4" t="str">
        <f>F_Inputs_adjusted!C12</f>
        <v>EA/NRW environmental programme wastewater (WINEP/NEP) - Chemicals and emerging contaminants monitoring, investigations, options appraisals; (WINEP/NEP) wastewater capex - Total</v>
      </c>
      <c r="D9" s="4" t="str">
        <f>F_Inputs_adjusted!D12</f>
        <v>£m</v>
      </c>
      <c r="E9" s="4" t="str">
        <f>F_Inputs_adjusted!E12</f>
        <v>Price Review 2024</v>
      </c>
      <c r="F9" s="4">
        <f>F_Inputs_adjusted!N12</f>
        <v>1.9E-2</v>
      </c>
      <c r="G9" s="4">
        <f>F_Inputs_adjusted!O12</f>
        <v>1.7999999999999999E-2</v>
      </c>
      <c r="H9" s="4">
        <f>F_Inputs_adjusted!P12</f>
        <v>0</v>
      </c>
      <c r="I9" s="4">
        <f>F_Inputs_adjusted!Q12</f>
        <v>0</v>
      </c>
      <c r="J9" s="4">
        <f>F_Inputs_adjusted!R12</f>
        <v>0</v>
      </c>
      <c r="K9" s="4">
        <f>F_Inputs_adjusted!S12</f>
        <v>0</v>
      </c>
      <c r="L9" s="4">
        <f>F_Inputs_adjusted!T12</f>
        <v>0</v>
      </c>
      <c r="N9" s="123"/>
    </row>
    <row r="10" spans="1:14" s="2" customFormat="1" ht="15">
      <c r="A10" s="4" t="str">
        <f>F_Inputs_adjusted!A13</f>
        <v>ANH</v>
      </c>
      <c r="B10" s="4" t="str">
        <f>F_Inputs_adjusted!B13</f>
        <v>CWW17_052TOT_PR24</v>
      </c>
      <c r="C10" s="4" t="str">
        <f>F_Inputs_adjusted!C13</f>
        <v>EA/NRW environmental programme wastewater (WINEP/NEP) - Chemicals and emerging contaminants monitoring, investigations, options appraisals; (WINEP/NEP) wastewater capex - Total</v>
      </c>
      <c r="D10" s="4" t="str">
        <f>F_Inputs_adjusted!D13</f>
        <v>£m</v>
      </c>
      <c r="E10" s="4" t="str">
        <f>F_Inputs_adjusted!E13</f>
        <v>Price Review 2024</v>
      </c>
      <c r="F10" s="4">
        <f>F_Inputs_adjusted!N13</f>
        <v>0</v>
      </c>
      <c r="G10" s="4">
        <f>F_Inputs_adjusted!O13</f>
        <v>0</v>
      </c>
      <c r="H10" s="4">
        <f>F_Inputs_adjusted!P13</f>
        <v>0</v>
      </c>
      <c r="I10" s="4">
        <f>F_Inputs_adjusted!Q13</f>
        <v>0</v>
      </c>
      <c r="J10" s="4">
        <f>F_Inputs_adjusted!R13</f>
        <v>0</v>
      </c>
      <c r="K10" s="4">
        <f>F_Inputs_adjusted!S13</f>
        <v>0</v>
      </c>
      <c r="L10" s="4">
        <f>F_Inputs_adjusted!T13</f>
        <v>0</v>
      </c>
      <c r="N10" s="123"/>
    </row>
    <row r="11" spans="1:14" s="2" customFormat="1" ht="15">
      <c r="A11" s="4" t="str">
        <f>F_Inputs_adjusted!A14</f>
        <v>ANH</v>
      </c>
      <c r="B11" s="4" t="str">
        <f>F_Inputs_adjusted!B14</f>
        <v>CWW12_053TOT_PR24</v>
      </c>
      <c r="C11" s="4" t="str">
        <f>F_Inputs_adjusted!C14</f>
        <v>EA/NRW environmental programme wastewater (WINEP/NEP) - Chemicals and emerging contaminants monitoring, investigations, options appraisals; (WINEP/NEP) wastewater opex - Total</v>
      </c>
      <c r="D11" s="4" t="str">
        <f>F_Inputs_adjusted!D14</f>
        <v>£m</v>
      </c>
      <c r="E11" s="4" t="str">
        <f>F_Inputs_adjusted!E14</f>
        <v>Price Review 2024</v>
      </c>
      <c r="F11" s="4">
        <f>F_Inputs_adjusted!N14</f>
        <v>0</v>
      </c>
      <c r="G11" s="4">
        <f>F_Inputs_adjusted!O14</f>
        <v>0</v>
      </c>
      <c r="H11" s="4">
        <f>F_Inputs_adjusted!P14</f>
        <v>0</v>
      </c>
      <c r="I11" s="4">
        <f>F_Inputs_adjusted!Q14</f>
        <v>0</v>
      </c>
      <c r="J11" s="4">
        <f>F_Inputs_adjusted!R14</f>
        <v>0</v>
      </c>
      <c r="K11" s="4">
        <f>F_Inputs_adjusted!S14</f>
        <v>0</v>
      </c>
      <c r="L11" s="4">
        <f>F_Inputs_adjusted!T14</f>
        <v>0</v>
      </c>
      <c r="N11" s="123"/>
    </row>
    <row r="12" spans="1:14" s="2" customFormat="1" ht="15">
      <c r="A12" s="4" t="str">
        <f>F_Inputs_adjusted!A15</f>
        <v>ANH</v>
      </c>
      <c r="B12" s="4" t="str">
        <f>F_Inputs_adjusted!B15</f>
        <v>CWW17_053TOT_PR24</v>
      </c>
      <c r="C12" s="4" t="str">
        <f>F_Inputs_adjusted!C15</f>
        <v>EA/NRW environmental programme wastewater (WINEP/NEP) - Chemicals and emerging contaminants monitoring, investigations, options appraisals; (WINEP/NEP) wastewater opex - Total</v>
      </c>
      <c r="D12" s="4" t="str">
        <f>F_Inputs_adjusted!D15</f>
        <v>£m</v>
      </c>
      <c r="E12" s="4" t="str">
        <f>F_Inputs_adjusted!E15</f>
        <v>Price Review 2024</v>
      </c>
      <c r="F12" s="4">
        <f>F_Inputs_adjusted!N15</f>
        <v>0</v>
      </c>
      <c r="G12" s="4">
        <f>F_Inputs_adjusted!O15</f>
        <v>0</v>
      </c>
      <c r="H12" s="4">
        <f>F_Inputs_adjusted!P15</f>
        <v>0</v>
      </c>
      <c r="I12" s="4">
        <f>F_Inputs_adjusted!Q15</f>
        <v>0</v>
      </c>
      <c r="J12" s="4">
        <f>F_Inputs_adjusted!R15</f>
        <v>0</v>
      </c>
      <c r="K12" s="4">
        <f>F_Inputs_adjusted!S15</f>
        <v>0</v>
      </c>
      <c r="L12" s="4">
        <f>F_Inputs_adjusted!T15</f>
        <v>0</v>
      </c>
      <c r="N12" s="123"/>
    </row>
    <row r="13" spans="1:14" s="2" customFormat="1" ht="15">
      <c r="A13" s="4" t="str">
        <f>F_Inputs_adjusted!A16</f>
        <v>ANH</v>
      </c>
      <c r="B13" s="4" t="str">
        <f>F_Inputs_adjusted!B16</f>
        <v>CWW12_054TOT_PR24</v>
      </c>
      <c r="C13" s="4" t="str">
        <f>F_Inputs_adjusted!C16</f>
        <v>EA/NRW environmental programme wastewater (WINEP/NEP) - Chemicals and emerging contaminants monitoring, investigations, options appraisals; (WINEP/NEP) wastewater totex - Total</v>
      </c>
      <c r="D13" s="4" t="str">
        <f>F_Inputs_adjusted!D16</f>
        <v>£m</v>
      </c>
      <c r="E13" s="4" t="str">
        <f>F_Inputs_adjusted!E16</f>
        <v>Price Review 2024</v>
      </c>
      <c r="F13" s="4">
        <f>F_Inputs_adjusted!N16</f>
        <v>1.9E-2</v>
      </c>
      <c r="G13" s="4">
        <f>F_Inputs_adjusted!O16</f>
        <v>1.7999999999999999E-2</v>
      </c>
      <c r="H13" s="4">
        <f>F_Inputs_adjusted!P16</f>
        <v>0</v>
      </c>
      <c r="I13" s="4">
        <f>F_Inputs_adjusted!Q16</f>
        <v>0</v>
      </c>
      <c r="J13" s="4">
        <f>F_Inputs_adjusted!R16</f>
        <v>0</v>
      </c>
      <c r="K13" s="4">
        <f>F_Inputs_adjusted!S16</f>
        <v>0</v>
      </c>
      <c r="L13" s="4">
        <f>F_Inputs_adjusted!T16</f>
        <v>0</v>
      </c>
      <c r="N13" s="123"/>
    </row>
    <row r="14" spans="1:14" s="2" customFormat="1" ht="15">
      <c r="A14" s="4" t="str">
        <f>F_Inputs_adjusted!A17</f>
        <v>ANH</v>
      </c>
      <c r="B14" s="4" t="str">
        <f>F_Inputs_adjusted!B17</f>
        <v>CWW17_054TOT_PR24</v>
      </c>
      <c r="C14" s="4" t="str">
        <f>F_Inputs_adjusted!C17</f>
        <v>EA/NRW environmental programme wastewater (WINEP/NEP) - Chemicals and emerging contaminants monitoring, investigations, options appraisals; (WINEP/NEP) wastewater totex - Total</v>
      </c>
      <c r="D14" s="4" t="str">
        <f>F_Inputs_adjusted!D17</f>
        <v>£m</v>
      </c>
      <c r="E14" s="4" t="str">
        <f>F_Inputs_adjusted!E17</f>
        <v>Price Review 2024</v>
      </c>
      <c r="F14" s="4">
        <f>F_Inputs_adjusted!N17</f>
        <v>0</v>
      </c>
      <c r="G14" s="4">
        <f>F_Inputs_adjusted!O17</f>
        <v>0</v>
      </c>
      <c r="H14" s="4">
        <f>F_Inputs_adjusted!P17</f>
        <v>0</v>
      </c>
      <c r="I14" s="4">
        <f>F_Inputs_adjusted!Q17</f>
        <v>0</v>
      </c>
      <c r="J14" s="4">
        <f>F_Inputs_adjusted!R17</f>
        <v>0</v>
      </c>
      <c r="K14" s="4">
        <f>F_Inputs_adjusted!S17</f>
        <v>0</v>
      </c>
      <c r="L14" s="4">
        <f>F_Inputs_adjusted!T17</f>
        <v>0</v>
      </c>
      <c r="N14" s="123"/>
    </row>
    <row r="15" spans="1:14" s="2" customFormat="1" ht="15">
      <c r="A15" s="4" t="str">
        <f>F_Inputs_adjusted!A18</f>
        <v>ANH</v>
      </c>
      <c r="B15" s="4" t="str">
        <f>F_Inputs_adjusted!B18</f>
        <v>PR24_NETTOTEX_WASTE</v>
      </c>
      <c r="C15" s="4" t="str">
        <f>F_Inputs_adjusted!C18</f>
        <v>PR24 BP Net totex - Total inc. accelerated &amp; transition costs</v>
      </c>
      <c r="D15" s="4" t="str">
        <f>F_Inputs_adjusted!D18</f>
        <v>£m</v>
      </c>
      <c r="E15" s="4" t="str">
        <f>F_Inputs_adjusted!E18</f>
        <v>Price Review 2024</v>
      </c>
      <c r="F15" s="4">
        <f>F_Inputs_adjusted!N18</f>
        <v>0</v>
      </c>
      <c r="G15" s="4">
        <f>F_Inputs_adjusted!O18</f>
        <v>0</v>
      </c>
      <c r="H15" s="4">
        <f>F_Inputs_adjusted!P18</f>
        <v>0</v>
      </c>
      <c r="I15" s="4">
        <f>F_Inputs_adjusted!Q18</f>
        <v>0</v>
      </c>
      <c r="J15" s="4">
        <f>F_Inputs_adjusted!R18</f>
        <v>0</v>
      </c>
      <c r="K15" s="4">
        <f>F_Inputs_adjusted!S18</f>
        <v>0</v>
      </c>
      <c r="L15" s="4">
        <f>F_Inputs_adjusted!T18</f>
        <v>0</v>
      </c>
      <c r="N15" s="123"/>
    </row>
    <row r="16" spans="1:14" s="2" customFormat="1" ht="15">
      <c r="A16" s="4" t="str">
        <f>F_Inputs_adjusted!A19</f>
        <v>WSH</v>
      </c>
      <c r="B16" s="4" t="str">
        <f>F_Inputs_adjusted!B19</f>
        <v>CWW3_052TOT_PR24</v>
      </c>
      <c r="C16" s="4" t="str">
        <f>F_Inputs_adjusted!C19</f>
        <v>EA/NRW environmental programme wastewater (WINEP/NEP) - Chemicals and emerging contaminants monitoring, investigations, options appraisals; (WINEP/NEP) wastewater capex - Total</v>
      </c>
      <c r="D16" s="4" t="str">
        <f>F_Inputs_adjusted!D19</f>
        <v>£m</v>
      </c>
      <c r="E16" s="4" t="str">
        <f>F_Inputs_adjusted!E19</f>
        <v>Price Review 2024</v>
      </c>
      <c r="F16" s="4">
        <f>F_Inputs_adjusted!N19</f>
        <v>0</v>
      </c>
      <c r="G16" s="4">
        <f>F_Inputs_adjusted!O19</f>
        <v>0</v>
      </c>
      <c r="H16" s="4">
        <f>F_Inputs_adjusted!P19</f>
        <v>1.544</v>
      </c>
      <c r="I16" s="4">
        <f>F_Inputs_adjusted!Q19</f>
        <v>1.5049999999999999</v>
      </c>
      <c r="J16" s="4">
        <f>F_Inputs_adjusted!R19</f>
        <v>0</v>
      </c>
      <c r="K16" s="4">
        <f>F_Inputs_adjusted!S19</f>
        <v>0</v>
      </c>
      <c r="L16" s="4">
        <f>F_Inputs_adjusted!T19</f>
        <v>0</v>
      </c>
      <c r="N16" s="123"/>
    </row>
    <row r="17" spans="1:14" s="2" customFormat="1" ht="15">
      <c r="A17" s="4" t="str">
        <f>F_Inputs_adjusted!A20</f>
        <v>WSH</v>
      </c>
      <c r="B17" s="4" t="str">
        <f>F_Inputs_adjusted!B20</f>
        <v>CWW3_053TOT_PR24</v>
      </c>
      <c r="C17" s="4" t="str">
        <f>F_Inputs_adjusted!C20</f>
        <v>EA/NRW environmental programme wastewater (WINEP/NEP) - Chemicals and emerging contaminants monitoring, investigations, options appraisals; (WINEP/NEP) wastewater opex - Total</v>
      </c>
      <c r="D17" s="4" t="str">
        <f>F_Inputs_adjusted!D20</f>
        <v>£m</v>
      </c>
      <c r="E17" s="4" t="str">
        <f>F_Inputs_adjusted!E20</f>
        <v>Price Review 2024</v>
      </c>
      <c r="F17" s="4">
        <f>F_Inputs_adjusted!N20</f>
        <v>0</v>
      </c>
      <c r="G17" s="4">
        <f>F_Inputs_adjusted!O20</f>
        <v>0</v>
      </c>
      <c r="H17" s="4">
        <f>F_Inputs_adjusted!P20</f>
        <v>0</v>
      </c>
      <c r="I17" s="4">
        <f>F_Inputs_adjusted!Q20</f>
        <v>0</v>
      </c>
      <c r="J17" s="4">
        <f>F_Inputs_adjusted!R20</f>
        <v>0</v>
      </c>
      <c r="K17" s="4">
        <f>F_Inputs_adjusted!S20</f>
        <v>0</v>
      </c>
      <c r="L17" s="4">
        <f>F_Inputs_adjusted!T20</f>
        <v>0</v>
      </c>
      <c r="N17" s="123"/>
    </row>
    <row r="18" spans="1:14" s="2" customFormat="1" ht="15">
      <c r="A18" s="4" t="str">
        <f>F_Inputs_adjusted!A21</f>
        <v>WSH</v>
      </c>
      <c r="B18" s="4" t="str">
        <f>F_Inputs_adjusted!B21</f>
        <v>CWW3_054TOT_PR24</v>
      </c>
      <c r="C18" s="4" t="str">
        <f>F_Inputs_adjusted!C21</f>
        <v>EA/NRW environmental programme wastewater (WINEP/NEP) - Chemicals and emerging contaminants monitoring, investigations, options appraisals; (WINEP/NEP) wastewater totex - Total</v>
      </c>
      <c r="D18" s="4" t="str">
        <f>F_Inputs_adjusted!D21</f>
        <v>£m</v>
      </c>
      <c r="E18" s="4" t="str">
        <f>F_Inputs_adjusted!E21</f>
        <v>Price Review 2024</v>
      </c>
      <c r="F18" s="4">
        <f>F_Inputs_adjusted!N21</f>
        <v>0</v>
      </c>
      <c r="G18" s="4">
        <f>F_Inputs_adjusted!O21</f>
        <v>0</v>
      </c>
      <c r="H18" s="4">
        <f>F_Inputs_adjusted!P21</f>
        <v>1.544</v>
      </c>
      <c r="I18" s="4">
        <f>F_Inputs_adjusted!Q21</f>
        <v>1.5049999999999999</v>
      </c>
      <c r="J18" s="4">
        <f>F_Inputs_adjusted!R21</f>
        <v>0</v>
      </c>
      <c r="K18" s="4">
        <f>F_Inputs_adjusted!S21</f>
        <v>0</v>
      </c>
      <c r="L18" s="4">
        <f>F_Inputs_adjusted!T21</f>
        <v>0</v>
      </c>
      <c r="N18" s="123"/>
    </row>
    <row r="19" spans="1:14" s="2" customFormat="1" ht="15">
      <c r="A19" s="4" t="str">
        <f>F_Inputs_adjusted!A22</f>
        <v>WSH</v>
      </c>
      <c r="B19" s="4" t="str">
        <f>F_Inputs_adjusted!B22</f>
        <v>BN1603_PR24</v>
      </c>
      <c r="C19" s="4" t="str">
        <f>F_Inputs_adjusted!C22</f>
        <v>Sewage treatment data - Current population equivalent served by STWs</v>
      </c>
      <c r="D19" s="4" t="str">
        <f>F_Inputs_adjusted!D22</f>
        <v>000s</v>
      </c>
      <c r="E19" s="4" t="str">
        <f>F_Inputs_adjusted!E22</f>
        <v>Price Review 2024</v>
      </c>
      <c r="F19" s="4">
        <f>F_Inputs_adjusted!N22</f>
        <v>3946.3209999999999</v>
      </c>
      <c r="G19" s="4">
        <f>F_Inputs_adjusted!O22</f>
        <v>3970.4409999999998</v>
      </c>
      <c r="H19" s="4">
        <f>F_Inputs_adjusted!P22</f>
        <v>3994.5369999999998</v>
      </c>
      <c r="I19" s="4">
        <f>F_Inputs_adjusted!Q22</f>
        <v>4018.6320000000001</v>
      </c>
      <c r="J19" s="4">
        <f>F_Inputs_adjusted!R22</f>
        <v>4042.5520000000001</v>
      </c>
      <c r="K19" s="4">
        <f>F_Inputs_adjusted!S22</f>
        <v>4066.57</v>
      </c>
      <c r="L19" s="4">
        <f>F_Inputs_adjusted!T22</f>
        <v>4090.5610000000001</v>
      </c>
      <c r="N19" s="123"/>
    </row>
    <row r="20" spans="1:14" s="2" customFormat="1" ht="15">
      <c r="A20" s="4" t="str">
        <f>F_Inputs_adjusted!A23</f>
        <v>WSH</v>
      </c>
      <c r="B20" s="4" t="str">
        <f>F_Inputs_adjusted!B23</f>
        <v>CWW12_052TOT_PR24</v>
      </c>
      <c r="C20" s="4" t="str">
        <f>F_Inputs_adjusted!C23</f>
        <v>EA/NRW environmental programme wastewater (WINEP/NEP) - Chemicals and emerging contaminants monitoring, investigations, options appraisals; (WINEP/NEP) wastewater capex - Total</v>
      </c>
      <c r="D20" s="4" t="str">
        <f>F_Inputs_adjusted!D23</f>
        <v>£m</v>
      </c>
      <c r="E20" s="4" t="str">
        <f>F_Inputs_adjusted!E23</f>
        <v>Price Review 2024</v>
      </c>
      <c r="F20" s="4">
        <f>F_Inputs_adjusted!N23</f>
        <v>0</v>
      </c>
      <c r="G20" s="4">
        <f>F_Inputs_adjusted!O23</f>
        <v>0</v>
      </c>
      <c r="H20" s="4">
        <f>F_Inputs_adjusted!P23</f>
        <v>0</v>
      </c>
      <c r="I20" s="4">
        <f>F_Inputs_adjusted!Q23</f>
        <v>0</v>
      </c>
      <c r="J20" s="4">
        <f>F_Inputs_adjusted!R23</f>
        <v>0</v>
      </c>
      <c r="K20" s="4">
        <f>F_Inputs_adjusted!S23</f>
        <v>0</v>
      </c>
      <c r="L20" s="4">
        <f>F_Inputs_adjusted!T23</f>
        <v>0</v>
      </c>
      <c r="N20" s="123"/>
    </row>
    <row r="21" spans="1:14" s="2" customFormat="1" ht="15">
      <c r="A21" s="4" t="str">
        <f>F_Inputs_adjusted!A24</f>
        <v>WSH</v>
      </c>
      <c r="B21" s="4" t="str">
        <f>F_Inputs_adjusted!B24</f>
        <v>CWW17_052TOT_PR24</v>
      </c>
      <c r="C21" s="4" t="str">
        <f>F_Inputs_adjusted!C24</f>
        <v>EA/NRW environmental programme wastewater (WINEP/NEP) - Chemicals and emerging contaminants monitoring, investigations, options appraisals; (WINEP/NEP) wastewater capex - Total</v>
      </c>
      <c r="D21" s="4" t="str">
        <f>F_Inputs_adjusted!D24</f>
        <v>£m</v>
      </c>
      <c r="E21" s="4" t="str">
        <f>F_Inputs_adjusted!E24</f>
        <v>Price Review 2024</v>
      </c>
      <c r="F21" s="4">
        <f>F_Inputs_adjusted!N24</f>
        <v>0</v>
      </c>
      <c r="G21" s="4">
        <f>F_Inputs_adjusted!O24</f>
        <v>0</v>
      </c>
      <c r="H21" s="4">
        <f>F_Inputs_adjusted!P24</f>
        <v>0</v>
      </c>
      <c r="I21" s="4">
        <f>F_Inputs_adjusted!Q24</f>
        <v>0</v>
      </c>
      <c r="J21" s="4">
        <f>F_Inputs_adjusted!R24</f>
        <v>0</v>
      </c>
      <c r="K21" s="4">
        <f>F_Inputs_adjusted!S24</f>
        <v>0</v>
      </c>
      <c r="L21" s="4">
        <f>F_Inputs_adjusted!T24</f>
        <v>0</v>
      </c>
      <c r="N21" s="123"/>
    </row>
    <row r="22" spans="1:14" s="2" customFormat="1" ht="15">
      <c r="A22" s="4" t="str">
        <f>F_Inputs_adjusted!A25</f>
        <v>WSH</v>
      </c>
      <c r="B22" s="4" t="str">
        <f>F_Inputs_adjusted!B25</f>
        <v>CWW12_053TOT_PR24</v>
      </c>
      <c r="C22" s="4" t="str">
        <f>F_Inputs_adjusted!C25</f>
        <v>EA/NRW environmental programme wastewater (WINEP/NEP) - Chemicals and emerging contaminants monitoring, investigations, options appraisals; (WINEP/NEP) wastewater opex - Total</v>
      </c>
      <c r="D22" s="4" t="str">
        <f>F_Inputs_adjusted!D25</f>
        <v>£m</v>
      </c>
      <c r="E22" s="4" t="str">
        <f>F_Inputs_adjusted!E25</f>
        <v>Price Review 2024</v>
      </c>
      <c r="F22" s="4">
        <f>F_Inputs_adjusted!N25</f>
        <v>0</v>
      </c>
      <c r="G22" s="4">
        <f>F_Inputs_adjusted!O25</f>
        <v>0</v>
      </c>
      <c r="H22" s="4">
        <f>F_Inputs_adjusted!P25</f>
        <v>0</v>
      </c>
      <c r="I22" s="4">
        <f>F_Inputs_adjusted!Q25</f>
        <v>0</v>
      </c>
      <c r="J22" s="4">
        <f>F_Inputs_adjusted!R25</f>
        <v>0</v>
      </c>
      <c r="K22" s="4">
        <f>F_Inputs_adjusted!S25</f>
        <v>0</v>
      </c>
      <c r="L22" s="4">
        <f>F_Inputs_adjusted!T25</f>
        <v>0</v>
      </c>
      <c r="N22" s="123"/>
    </row>
    <row r="23" spans="1:14" s="2" customFormat="1" ht="15">
      <c r="A23" s="4" t="str">
        <f>F_Inputs_adjusted!A26</f>
        <v>WSH</v>
      </c>
      <c r="B23" s="4" t="str">
        <f>F_Inputs_adjusted!B26</f>
        <v>CWW17_053TOT_PR24</v>
      </c>
      <c r="C23" s="4" t="str">
        <f>F_Inputs_adjusted!C26</f>
        <v>EA/NRW environmental programme wastewater (WINEP/NEP) - Chemicals and emerging contaminants monitoring, investigations, options appraisals; (WINEP/NEP) wastewater opex - Total</v>
      </c>
      <c r="D23" s="4" t="str">
        <f>F_Inputs_adjusted!D26</f>
        <v>£m</v>
      </c>
      <c r="E23" s="4" t="str">
        <f>F_Inputs_adjusted!E26</f>
        <v>Price Review 2024</v>
      </c>
      <c r="F23" s="4">
        <f>F_Inputs_adjusted!N26</f>
        <v>0</v>
      </c>
      <c r="G23" s="4">
        <f>F_Inputs_adjusted!O26</f>
        <v>0</v>
      </c>
      <c r="H23" s="4">
        <f>F_Inputs_adjusted!P26</f>
        <v>0</v>
      </c>
      <c r="I23" s="4">
        <f>F_Inputs_adjusted!Q26</f>
        <v>0</v>
      </c>
      <c r="J23" s="4">
        <f>F_Inputs_adjusted!R26</f>
        <v>0</v>
      </c>
      <c r="K23" s="4">
        <f>F_Inputs_adjusted!S26</f>
        <v>0</v>
      </c>
      <c r="L23" s="4">
        <f>F_Inputs_adjusted!T26</f>
        <v>0</v>
      </c>
      <c r="N23" s="123"/>
    </row>
    <row r="24" spans="1:14" s="2" customFormat="1" ht="15">
      <c r="A24" s="4" t="str">
        <f>F_Inputs_adjusted!A27</f>
        <v>WSH</v>
      </c>
      <c r="B24" s="4" t="str">
        <f>F_Inputs_adjusted!B27</f>
        <v>CWW12_054TOT_PR24</v>
      </c>
      <c r="C24" s="4" t="str">
        <f>F_Inputs_adjusted!C27</f>
        <v>EA/NRW environmental programme wastewater (WINEP/NEP) - Chemicals and emerging contaminants monitoring, investigations, options appraisals; (WINEP/NEP) wastewater totex - Total</v>
      </c>
      <c r="D24" s="4" t="str">
        <f>F_Inputs_adjusted!D27</f>
        <v>£m</v>
      </c>
      <c r="E24" s="4" t="str">
        <f>F_Inputs_adjusted!E27</f>
        <v>Price Review 2024</v>
      </c>
      <c r="F24" s="4">
        <f>F_Inputs_adjusted!N27</f>
        <v>0</v>
      </c>
      <c r="G24" s="4">
        <f>F_Inputs_adjusted!O27</f>
        <v>0</v>
      </c>
      <c r="H24" s="4">
        <f>F_Inputs_adjusted!P27</f>
        <v>0</v>
      </c>
      <c r="I24" s="4">
        <f>F_Inputs_adjusted!Q27</f>
        <v>0</v>
      </c>
      <c r="J24" s="4">
        <f>F_Inputs_adjusted!R27</f>
        <v>0</v>
      </c>
      <c r="K24" s="4">
        <f>F_Inputs_adjusted!S27</f>
        <v>0</v>
      </c>
      <c r="L24" s="4">
        <f>F_Inputs_adjusted!T27</f>
        <v>0</v>
      </c>
      <c r="N24" s="123"/>
    </row>
    <row r="25" spans="1:14" s="2" customFormat="1" ht="15">
      <c r="A25" s="4" t="str">
        <f>F_Inputs_adjusted!A28</f>
        <v>WSH</v>
      </c>
      <c r="B25" s="4" t="str">
        <f>F_Inputs_adjusted!B28</f>
        <v>CWW17_054TOT_PR24</v>
      </c>
      <c r="C25" s="4" t="str">
        <f>F_Inputs_adjusted!C28</f>
        <v>EA/NRW environmental programme wastewater (WINEP/NEP) - Chemicals and emerging contaminants monitoring, investigations, options appraisals; (WINEP/NEP) wastewater totex - Total</v>
      </c>
      <c r="D25" s="4" t="str">
        <f>F_Inputs_adjusted!D28</f>
        <v>£m</v>
      </c>
      <c r="E25" s="4" t="str">
        <f>F_Inputs_adjusted!E28</f>
        <v>Price Review 2024</v>
      </c>
      <c r="F25" s="4">
        <f>F_Inputs_adjusted!N28</f>
        <v>0</v>
      </c>
      <c r="G25" s="4">
        <f>F_Inputs_adjusted!O28</f>
        <v>0</v>
      </c>
      <c r="H25" s="4">
        <f>F_Inputs_adjusted!P28</f>
        <v>0</v>
      </c>
      <c r="I25" s="4">
        <f>F_Inputs_adjusted!Q28</f>
        <v>0</v>
      </c>
      <c r="J25" s="4">
        <f>F_Inputs_adjusted!R28</f>
        <v>0</v>
      </c>
      <c r="K25" s="4">
        <f>F_Inputs_adjusted!S28</f>
        <v>0</v>
      </c>
      <c r="L25" s="4">
        <f>F_Inputs_adjusted!T28</f>
        <v>0</v>
      </c>
      <c r="N25" s="123"/>
    </row>
    <row r="26" spans="1:14" s="2" customFormat="1" ht="15">
      <c r="A26" s="4" t="str">
        <f>F_Inputs_adjusted!A29</f>
        <v>WSH</v>
      </c>
      <c r="B26" s="4" t="str">
        <f>F_Inputs_adjusted!B29</f>
        <v>PR24_NETTOTEX_WASTE</v>
      </c>
      <c r="C26" s="4" t="str">
        <f>F_Inputs_adjusted!C29</f>
        <v>PR24 BP Net totex - Total inc. accelerated &amp; transition costs</v>
      </c>
      <c r="D26" s="4" t="str">
        <f>F_Inputs_adjusted!D29</f>
        <v>£m</v>
      </c>
      <c r="E26" s="4" t="str">
        <f>F_Inputs_adjusted!E29</f>
        <v>Price Review 2024</v>
      </c>
      <c r="F26" s="4">
        <f>F_Inputs_adjusted!N29</f>
        <v>0</v>
      </c>
      <c r="G26" s="4">
        <f>F_Inputs_adjusted!O29</f>
        <v>0</v>
      </c>
      <c r="H26" s="4">
        <f>F_Inputs_adjusted!P29</f>
        <v>0</v>
      </c>
      <c r="I26" s="4">
        <f>F_Inputs_adjusted!Q29</f>
        <v>0</v>
      </c>
      <c r="J26" s="4">
        <f>F_Inputs_adjusted!R29</f>
        <v>0</v>
      </c>
      <c r="K26" s="4">
        <f>F_Inputs_adjusted!S29</f>
        <v>0</v>
      </c>
      <c r="L26" s="4">
        <f>F_Inputs_adjusted!T29</f>
        <v>0</v>
      </c>
      <c r="N26" s="123"/>
    </row>
    <row r="27" spans="1:14" s="2" customFormat="1" ht="15">
      <c r="A27" s="4" t="str">
        <f>F_Inputs_adjusted!A30</f>
        <v>HDD</v>
      </c>
      <c r="B27" s="4" t="str">
        <f>F_Inputs_adjusted!B30</f>
        <v>CWW3_052TOT_PR24</v>
      </c>
      <c r="C27" s="4" t="str">
        <f>F_Inputs_adjusted!C30</f>
        <v>EA/NRW environmental programme wastewater (WINEP/NEP) - Chemicals and emerging contaminants monitoring, investigations, options appraisals; (WINEP/NEP) wastewater capex - Total</v>
      </c>
      <c r="D27" s="4" t="str">
        <f>F_Inputs_adjusted!D30</f>
        <v>£m</v>
      </c>
      <c r="E27" s="4" t="str">
        <f>F_Inputs_adjusted!E30</f>
        <v>Price Review 2024</v>
      </c>
      <c r="F27" s="4">
        <f>F_Inputs_adjusted!N30</f>
        <v>0</v>
      </c>
      <c r="G27" s="4">
        <f>F_Inputs_adjusted!O30</f>
        <v>0</v>
      </c>
      <c r="H27" s="4">
        <f>F_Inputs_adjusted!P30</f>
        <v>0</v>
      </c>
      <c r="I27" s="4">
        <f>F_Inputs_adjusted!Q30</f>
        <v>0</v>
      </c>
      <c r="J27" s="4">
        <f>F_Inputs_adjusted!R30</f>
        <v>0</v>
      </c>
      <c r="K27" s="4">
        <f>F_Inputs_adjusted!S30</f>
        <v>0</v>
      </c>
      <c r="L27" s="4">
        <f>F_Inputs_adjusted!T30</f>
        <v>0</v>
      </c>
      <c r="N27" s="123"/>
    </row>
    <row r="28" spans="1:14" s="2" customFormat="1" ht="15">
      <c r="A28" s="4" t="str">
        <f>F_Inputs_adjusted!A31</f>
        <v>HDD</v>
      </c>
      <c r="B28" s="4" t="str">
        <f>F_Inputs_adjusted!B31</f>
        <v>CWW3_053TOT_PR24</v>
      </c>
      <c r="C28" s="4" t="str">
        <f>F_Inputs_adjusted!C31</f>
        <v>EA/NRW environmental programme wastewater (WINEP/NEP) - Chemicals and emerging contaminants monitoring, investigations, options appraisals; (WINEP/NEP) wastewater opex - Total</v>
      </c>
      <c r="D28" s="4" t="str">
        <f>F_Inputs_adjusted!D31</f>
        <v>£m</v>
      </c>
      <c r="E28" s="4" t="str">
        <f>F_Inputs_adjusted!E31</f>
        <v>Price Review 2024</v>
      </c>
      <c r="F28" s="4">
        <f>F_Inputs_adjusted!N31</f>
        <v>0</v>
      </c>
      <c r="G28" s="4">
        <f>F_Inputs_adjusted!O31</f>
        <v>0</v>
      </c>
      <c r="H28" s="4">
        <f>F_Inputs_adjusted!P31</f>
        <v>0</v>
      </c>
      <c r="I28" s="4">
        <f>F_Inputs_adjusted!Q31</f>
        <v>0</v>
      </c>
      <c r="J28" s="4">
        <f>F_Inputs_adjusted!R31</f>
        <v>0</v>
      </c>
      <c r="K28" s="4">
        <f>F_Inputs_adjusted!S31</f>
        <v>0</v>
      </c>
      <c r="L28" s="4">
        <f>F_Inputs_adjusted!T31</f>
        <v>0</v>
      </c>
      <c r="N28" s="123"/>
    </row>
    <row r="29" spans="1:14" s="2" customFormat="1" ht="15">
      <c r="A29" s="4" t="str">
        <f>F_Inputs_adjusted!A32</f>
        <v>HDD</v>
      </c>
      <c r="B29" s="4" t="str">
        <f>F_Inputs_adjusted!B32</f>
        <v>CWW3_054TOT_PR24</v>
      </c>
      <c r="C29" s="4" t="str">
        <f>F_Inputs_adjusted!C32</f>
        <v>EA/NRW environmental programme wastewater (WINEP/NEP) - Chemicals and emerging contaminants monitoring, investigations, options appraisals; (WINEP/NEP) wastewater totex - Total</v>
      </c>
      <c r="D29" s="4" t="str">
        <f>F_Inputs_adjusted!D32</f>
        <v>£m</v>
      </c>
      <c r="E29" s="4" t="str">
        <f>F_Inputs_adjusted!E32</f>
        <v>Price Review 2024</v>
      </c>
      <c r="F29" s="4">
        <f>F_Inputs_adjusted!N32</f>
        <v>0</v>
      </c>
      <c r="G29" s="4">
        <f>F_Inputs_adjusted!O32</f>
        <v>0</v>
      </c>
      <c r="H29" s="4">
        <f>F_Inputs_adjusted!P32</f>
        <v>0</v>
      </c>
      <c r="I29" s="4">
        <f>F_Inputs_adjusted!Q32</f>
        <v>0</v>
      </c>
      <c r="J29" s="4">
        <f>F_Inputs_adjusted!R32</f>
        <v>0</v>
      </c>
      <c r="K29" s="4">
        <f>F_Inputs_adjusted!S32</f>
        <v>0</v>
      </c>
      <c r="L29" s="4">
        <f>F_Inputs_adjusted!T32</f>
        <v>0</v>
      </c>
      <c r="N29" s="123"/>
    </row>
    <row r="30" spans="1:14" s="2" customFormat="1" ht="15">
      <c r="A30" s="4" t="str">
        <f>F_Inputs_adjusted!A33</f>
        <v>HDD</v>
      </c>
      <c r="B30" s="4" t="str">
        <f>F_Inputs_adjusted!B33</f>
        <v>BN1603_PR24</v>
      </c>
      <c r="C30" s="4" t="str">
        <f>F_Inputs_adjusted!C33</f>
        <v>Sewage treatment data - Current population equivalent served by STWs</v>
      </c>
      <c r="D30" s="4" t="str">
        <f>F_Inputs_adjusted!D33</f>
        <v>000s</v>
      </c>
      <c r="E30" s="4" t="str">
        <f>F_Inputs_adjusted!E33</f>
        <v>Price Review 2024</v>
      </c>
      <c r="F30" s="4">
        <f>F_Inputs_adjusted!N33</f>
        <v>44.999000000000002</v>
      </c>
      <c r="G30" s="4">
        <f>F_Inputs_adjusted!O33</f>
        <v>44.225853655244187</v>
      </c>
      <c r="H30" s="4">
        <f>F_Inputs_adjusted!P33</f>
        <v>44.676414318998333</v>
      </c>
      <c r="I30" s="4">
        <f>F_Inputs_adjusted!Q33</f>
        <v>45.117056899328233</v>
      </c>
      <c r="J30" s="4">
        <f>F_Inputs_adjusted!R33</f>
        <v>45.547841835992948</v>
      </c>
      <c r="K30" s="4">
        <f>F_Inputs_adjusted!S33</f>
        <v>45.995621426845148</v>
      </c>
      <c r="L30" s="4">
        <f>F_Inputs_adjusted!T33</f>
        <v>46.407751999142697</v>
      </c>
      <c r="N30" s="123"/>
    </row>
    <row r="31" spans="1:14" s="2" customFormat="1" ht="15">
      <c r="A31" s="4" t="str">
        <f>F_Inputs_adjusted!A34</f>
        <v>HDD</v>
      </c>
      <c r="B31" s="4" t="str">
        <f>F_Inputs_adjusted!B34</f>
        <v>CWW12_052TOT_PR24</v>
      </c>
      <c r="C31" s="4" t="str">
        <f>F_Inputs_adjusted!C34</f>
        <v>EA/NRW environmental programme wastewater (WINEP/NEP) - Chemicals and emerging contaminants monitoring, investigations, options appraisals; (WINEP/NEP) wastewater capex - Total</v>
      </c>
      <c r="D31" s="4" t="str">
        <f>F_Inputs_adjusted!D34</f>
        <v>£m</v>
      </c>
      <c r="E31" s="4" t="str">
        <f>F_Inputs_adjusted!E34</f>
        <v>Price Review 2024</v>
      </c>
      <c r="F31" s="4">
        <f>F_Inputs_adjusted!N34</f>
        <v>0</v>
      </c>
      <c r="G31" s="4">
        <f>F_Inputs_adjusted!O34</f>
        <v>0</v>
      </c>
      <c r="H31" s="4">
        <f>F_Inputs_adjusted!P34</f>
        <v>0</v>
      </c>
      <c r="I31" s="4">
        <f>F_Inputs_adjusted!Q34</f>
        <v>0</v>
      </c>
      <c r="J31" s="4">
        <f>F_Inputs_adjusted!R34</f>
        <v>0</v>
      </c>
      <c r="K31" s="4">
        <f>F_Inputs_adjusted!S34</f>
        <v>0</v>
      </c>
      <c r="L31" s="4">
        <f>F_Inputs_adjusted!T34</f>
        <v>0</v>
      </c>
      <c r="N31" s="123"/>
    </row>
    <row r="32" spans="1:14" s="2" customFormat="1" ht="15">
      <c r="A32" s="4" t="str">
        <f>F_Inputs_adjusted!A35</f>
        <v>HDD</v>
      </c>
      <c r="B32" s="4" t="str">
        <f>F_Inputs_adjusted!B35</f>
        <v>CWW17_052TOT_PR24</v>
      </c>
      <c r="C32" s="4" t="str">
        <f>F_Inputs_adjusted!C35</f>
        <v>EA/NRW environmental programme wastewater (WINEP/NEP) - Chemicals and emerging contaminants monitoring, investigations, options appraisals; (WINEP/NEP) wastewater capex - Total</v>
      </c>
      <c r="D32" s="4" t="str">
        <f>F_Inputs_adjusted!D35</f>
        <v>£m</v>
      </c>
      <c r="E32" s="4" t="str">
        <f>F_Inputs_adjusted!E35</f>
        <v>Price Review 2024</v>
      </c>
      <c r="F32" s="4">
        <f>F_Inputs_adjusted!N35</f>
        <v>0</v>
      </c>
      <c r="G32" s="4">
        <f>F_Inputs_adjusted!O35</f>
        <v>0</v>
      </c>
      <c r="H32" s="4">
        <f>F_Inputs_adjusted!P35</f>
        <v>0</v>
      </c>
      <c r="I32" s="4">
        <f>F_Inputs_adjusted!Q35</f>
        <v>0</v>
      </c>
      <c r="J32" s="4">
        <f>F_Inputs_adjusted!R35</f>
        <v>0</v>
      </c>
      <c r="K32" s="4">
        <f>F_Inputs_adjusted!S35</f>
        <v>0</v>
      </c>
      <c r="L32" s="4">
        <f>F_Inputs_adjusted!T35</f>
        <v>0</v>
      </c>
      <c r="N32" s="123"/>
    </row>
    <row r="33" spans="1:14" s="2" customFormat="1" ht="15">
      <c r="A33" s="4" t="str">
        <f>F_Inputs_adjusted!A36</f>
        <v>HDD</v>
      </c>
      <c r="B33" s="4" t="str">
        <f>F_Inputs_adjusted!B36</f>
        <v>CWW12_053TOT_PR24</v>
      </c>
      <c r="C33" s="4" t="str">
        <f>F_Inputs_adjusted!C36</f>
        <v>EA/NRW environmental programme wastewater (WINEP/NEP) - Chemicals and emerging contaminants monitoring, investigations, options appraisals; (WINEP/NEP) wastewater opex - Total</v>
      </c>
      <c r="D33" s="4" t="str">
        <f>F_Inputs_adjusted!D36</f>
        <v>£m</v>
      </c>
      <c r="E33" s="4" t="str">
        <f>F_Inputs_adjusted!E36</f>
        <v>Price Review 2024</v>
      </c>
      <c r="F33" s="4">
        <f>F_Inputs_adjusted!N36</f>
        <v>0</v>
      </c>
      <c r="G33" s="4">
        <f>F_Inputs_adjusted!O36</f>
        <v>0</v>
      </c>
      <c r="H33" s="4">
        <f>F_Inputs_adjusted!P36</f>
        <v>0</v>
      </c>
      <c r="I33" s="4">
        <f>F_Inputs_adjusted!Q36</f>
        <v>0</v>
      </c>
      <c r="J33" s="4">
        <f>F_Inputs_adjusted!R36</f>
        <v>0</v>
      </c>
      <c r="K33" s="4">
        <f>F_Inputs_adjusted!S36</f>
        <v>0</v>
      </c>
      <c r="L33" s="4">
        <f>F_Inputs_adjusted!T36</f>
        <v>0</v>
      </c>
      <c r="N33" s="123"/>
    </row>
    <row r="34" spans="1:14" s="2" customFormat="1" ht="15">
      <c r="A34" s="4" t="str">
        <f>F_Inputs_adjusted!A37</f>
        <v>HDD</v>
      </c>
      <c r="B34" s="4" t="str">
        <f>F_Inputs_adjusted!B37</f>
        <v>CWW17_053TOT_PR24</v>
      </c>
      <c r="C34" s="4" t="str">
        <f>F_Inputs_adjusted!C37</f>
        <v>EA/NRW environmental programme wastewater (WINEP/NEP) - Chemicals and emerging contaminants monitoring, investigations, options appraisals; (WINEP/NEP) wastewater opex - Total</v>
      </c>
      <c r="D34" s="4" t="str">
        <f>F_Inputs_adjusted!D37</f>
        <v>£m</v>
      </c>
      <c r="E34" s="4" t="str">
        <f>F_Inputs_adjusted!E37</f>
        <v>Price Review 2024</v>
      </c>
      <c r="F34" s="4">
        <f>F_Inputs_adjusted!N37</f>
        <v>0</v>
      </c>
      <c r="G34" s="4">
        <f>F_Inputs_adjusted!O37</f>
        <v>0</v>
      </c>
      <c r="H34" s="4">
        <f>F_Inputs_adjusted!P37</f>
        <v>0</v>
      </c>
      <c r="I34" s="4">
        <f>F_Inputs_adjusted!Q37</f>
        <v>0</v>
      </c>
      <c r="J34" s="4">
        <f>F_Inputs_adjusted!R37</f>
        <v>0</v>
      </c>
      <c r="K34" s="4">
        <f>F_Inputs_adjusted!S37</f>
        <v>0</v>
      </c>
      <c r="L34" s="4">
        <f>F_Inputs_adjusted!T37</f>
        <v>0</v>
      </c>
      <c r="N34" s="123"/>
    </row>
    <row r="35" spans="1:14" s="2" customFormat="1" ht="15">
      <c r="A35" s="4" t="str">
        <f>F_Inputs_adjusted!A38</f>
        <v>HDD</v>
      </c>
      <c r="B35" s="4" t="str">
        <f>F_Inputs_adjusted!B38</f>
        <v>CWW12_054TOT_PR24</v>
      </c>
      <c r="C35" s="4" t="str">
        <f>F_Inputs_adjusted!C38</f>
        <v>EA/NRW environmental programme wastewater (WINEP/NEP) - Chemicals and emerging contaminants monitoring, investigations, options appraisals; (WINEP/NEP) wastewater totex - Total</v>
      </c>
      <c r="D35" s="4" t="str">
        <f>F_Inputs_adjusted!D38</f>
        <v>£m</v>
      </c>
      <c r="E35" s="4" t="str">
        <f>F_Inputs_adjusted!E38</f>
        <v>Price Review 2024</v>
      </c>
      <c r="F35" s="4">
        <f>F_Inputs_adjusted!N38</f>
        <v>0</v>
      </c>
      <c r="G35" s="4">
        <f>F_Inputs_adjusted!O38</f>
        <v>0</v>
      </c>
      <c r="H35" s="4">
        <f>F_Inputs_adjusted!P38</f>
        <v>0</v>
      </c>
      <c r="I35" s="4">
        <f>F_Inputs_adjusted!Q38</f>
        <v>0</v>
      </c>
      <c r="J35" s="4">
        <f>F_Inputs_adjusted!R38</f>
        <v>0</v>
      </c>
      <c r="K35" s="4">
        <f>F_Inputs_adjusted!S38</f>
        <v>0</v>
      </c>
      <c r="L35" s="4">
        <f>F_Inputs_adjusted!T38</f>
        <v>0</v>
      </c>
      <c r="N35" s="123"/>
    </row>
    <row r="36" spans="1:14" s="2" customFormat="1" ht="15">
      <c r="A36" s="4" t="str">
        <f>F_Inputs_adjusted!A39</f>
        <v>HDD</v>
      </c>
      <c r="B36" s="4" t="str">
        <f>F_Inputs_adjusted!B39</f>
        <v>CWW17_054TOT_PR24</v>
      </c>
      <c r="C36" s="4" t="str">
        <f>F_Inputs_adjusted!C39</f>
        <v>EA/NRW environmental programme wastewater (WINEP/NEP) - Chemicals and emerging contaminants monitoring, investigations, options appraisals; (WINEP/NEP) wastewater totex - Total</v>
      </c>
      <c r="D36" s="4" t="str">
        <f>F_Inputs_adjusted!D39</f>
        <v>£m</v>
      </c>
      <c r="E36" s="4" t="str">
        <f>F_Inputs_adjusted!E39</f>
        <v>Price Review 2024</v>
      </c>
      <c r="F36" s="4">
        <f>F_Inputs_adjusted!N39</f>
        <v>0</v>
      </c>
      <c r="G36" s="4">
        <f>F_Inputs_adjusted!O39</f>
        <v>0</v>
      </c>
      <c r="H36" s="4">
        <f>F_Inputs_adjusted!P39</f>
        <v>0</v>
      </c>
      <c r="I36" s="4">
        <f>F_Inputs_adjusted!Q39</f>
        <v>0</v>
      </c>
      <c r="J36" s="4">
        <f>F_Inputs_adjusted!R39</f>
        <v>0</v>
      </c>
      <c r="K36" s="4">
        <f>F_Inputs_adjusted!S39</f>
        <v>0</v>
      </c>
      <c r="L36" s="4">
        <f>F_Inputs_adjusted!T39</f>
        <v>0</v>
      </c>
      <c r="N36" s="123"/>
    </row>
    <row r="37" spans="1:14" s="2" customFormat="1" ht="15">
      <c r="A37" s="4" t="str">
        <f>F_Inputs_adjusted!A40</f>
        <v>HDD</v>
      </c>
      <c r="B37" s="4" t="str">
        <f>F_Inputs_adjusted!B40</f>
        <v>PR24_NETTOTEX_WASTE</v>
      </c>
      <c r="C37" s="4" t="str">
        <f>F_Inputs_adjusted!C40</f>
        <v>PR24 BP Net totex - Total inc. accelerated &amp; transition costs</v>
      </c>
      <c r="D37" s="4" t="str">
        <f>F_Inputs_adjusted!D40</f>
        <v>£m</v>
      </c>
      <c r="E37" s="4" t="str">
        <f>F_Inputs_adjusted!E40</f>
        <v>Price Review 2024</v>
      </c>
      <c r="F37" s="4">
        <f>F_Inputs_adjusted!N40</f>
        <v>0</v>
      </c>
      <c r="G37" s="4">
        <f>F_Inputs_adjusted!O40</f>
        <v>0</v>
      </c>
      <c r="H37" s="4">
        <f>F_Inputs_adjusted!P40</f>
        <v>0</v>
      </c>
      <c r="I37" s="4">
        <f>F_Inputs_adjusted!Q40</f>
        <v>0</v>
      </c>
      <c r="J37" s="4">
        <f>F_Inputs_adjusted!R40</f>
        <v>0</v>
      </c>
      <c r="K37" s="4">
        <f>F_Inputs_adjusted!S40</f>
        <v>0</v>
      </c>
      <c r="L37" s="4">
        <f>F_Inputs_adjusted!T40</f>
        <v>0</v>
      </c>
      <c r="N37" s="123"/>
    </row>
    <row r="38" spans="1:14" s="2" customFormat="1" ht="15">
      <c r="A38" s="4" t="str">
        <f>F_Inputs_adjusted!A41</f>
        <v>NES</v>
      </c>
      <c r="B38" s="4" t="str">
        <f>F_Inputs_adjusted!B41</f>
        <v>CWW3_052TOT_PR24</v>
      </c>
      <c r="C38" s="4" t="str">
        <f>F_Inputs_adjusted!C41</f>
        <v>EA/NRW environmental programme wastewater (WINEP/NEP) - Chemicals and emerging contaminants monitoring, investigations, options appraisals; (WINEP/NEP) wastewater capex - Total</v>
      </c>
      <c r="D38" s="4" t="str">
        <f>F_Inputs_adjusted!D41</f>
        <v>£m</v>
      </c>
      <c r="E38" s="4" t="str">
        <f>F_Inputs_adjusted!E41</f>
        <v>Price Review 2024</v>
      </c>
      <c r="F38" s="4">
        <f>F_Inputs_adjusted!N41</f>
        <v>0</v>
      </c>
      <c r="G38" s="4">
        <f>F_Inputs_adjusted!O41</f>
        <v>0</v>
      </c>
      <c r="H38" s="4">
        <f>F_Inputs_adjusted!P41</f>
        <v>2.6019999999999999</v>
      </c>
      <c r="I38" s="4">
        <f>F_Inputs_adjusted!Q41</f>
        <v>2.6019999999999999</v>
      </c>
      <c r="J38" s="4">
        <f>F_Inputs_adjusted!R41</f>
        <v>0</v>
      </c>
      <c r="K38" s="4">
        <f>F_Inputs_adjusted!S41</f>
        <v>0</v>
      </c>
      <c r="L38" s="4">
        <f>F_Inputs_adjusted!T41</f>
        <v>0</v>
      </c>
      <c r="N38" s="123"/>
    </row>
    <row r="39" spans="1:14" s="2" customFormat="1" ht="15">
      <c r="A39" s="4" t="str">
        <f>F_Inputs_adjusted!A42</f>
        <v>NES</v>
      </c>
      <c r="B39" s="4" t="str">
        <f>F_Inputs_adjusted!B42</f>
        <v>CWW3_053TOT_PR24</v>
      </c>
      <c r="C39" s="4" t="str">
        <f>F_Inputs_adjusted!C42</f>
        <v>EA/NRW environmental programme wastewater (WINEP/NEP) - Chemicals and emerging contaminants monitoring, investigations, options appraisals; (WINEP/NEP) wastewater opex - Total</v>
      </c>
      <c r="D39" s="4" t="str">
        <f>F_Inputs_adjusted!D42</f>
        <v>£m</v>
      </c>
      <c r="E39" s="4" t="str">
        <f>F_Inputs_adjusted!E42</f>
        <v>Price Review 2024</v>
      </c>
      <c r="F39" s="4">
        <f>F_Inputs_adjusted!N42</f>
        <v>0</v>
      </c>
      <c r="G39" s="4">
        <f>F_Inputs_adjusted!O42</f>
        <v>0</v>
      </c>
      <c r="H39" s="4">
        <f>F_Inputs_adjusted!P42</f>
        <v>0</v>
      </c>
      <c r="I39" s="4">
        <f>F_Inputs_adjusted!Q42</f>
        <v>0</v>
      </c>
      <c r="J39" s="4">
        <f>F_Inputs_adjusted!R42</f>
        <v>0</v>
      </c>
      <c r="K39" s="4">
        <f>F_Inputs_adjusted!S42</f>
        <v>0</v>
      </c>
      <c r="L39" s="4">
        <f>F_Inputs_adjusted!T42</f>
        <v>0</v>
      </c>
      <c r="N39" s="123"/>
    </row>
    <row r="40" spans="1:14" s="2" customFormat="1" ht="15">
      <c r="A40" s="4" t="str">
        <f>F_Inputs_adjusted!A43</f>
        <v>NES</v>
      </c>
      <c r="B40" s="4" t="str">
        <f>F_Inputs_adjusted!B43</f>
        <v>CWW3_054TOT_PR24</v>
      </c>
      <c r="C40" s="4" t="str">
        <f>F_Inputs_adjusted!C43</f>
        <v>EA/NRW environmental programme wastewater (WINEP/NEP) - Chemicals and emerging contaminants monitoring, investigations, options appraisals; (WINEP/NEP) wastewater totex - Total</v>
      </c>
      <c r="D40" s="4" t="str">
        <f>F_Inputs_adjusted!D43</f>
        <v>£m</v>
      </c>
      <c r="E40" s="4" t="str">
        <f>F_Inputs_adjusted!E43</f>
        <v>Price Review 2024</v>
      </c>
      <c r="F40" s="4">
        <f>F_Inputs_adjusted!N43</f>
        <v>0</v>
      </c>
      <c r="G40" s="4">
        <f>F_Inputs_adjusted!O43</f>
        <v>0</v>
      </c>
      <c r="H40" s="4">
        <f>F_Inputs_adjusted!P43</f>
        <v>2.6019999999999999</v>
      </c>
      <c r="I40" s="4">
        <f>F_Inputs_adjusted!Q43</f>
        <v>2.6019999999999999</v>
      </c>
      <c r="J40" s="4">
        <f>F_Inputs_adjusted!R43</f>
        <v>0</v>
      </c>
      <c r="K40" s="4">
        <f>F_Inputs_adjusted!S43</f>
        <v>0</v>
      </c>
      <c r="L40" s="4">
        <f>F_Inputs_adjusted!T43</f>
        <v>0</v>
      </c>
      <c r="N40" s="123"/>
    </row>
    <row r="41" spans="1:14" s="2" customFormat="1" ht="15">
      <c r="A41" s="4" t="str">
        <f>F_Inputs_adjusted!A44</f>
        <v>NES</v>
      </c>
      <c r="B41" s="4" t="str">
        <f>F_Inputs_adjusted!B44</f>
        <v>BN1603_PR24</v>
      </c>
      <c r="C41" s="4" t="str">
        <f>F_Inputs_adjusted!C44</f>
        <v>Sewage treatment data - Current population equivalent served by STWs</v>
      </c>
      <c r="D41" s="4" t="str">
        <f>F_Inputs_adjusted!D44</f>
        <v>000s</v>
      </c>
      <c r="E41" s="4" t="str">
        <f>F_Inputs_adjusted!E44</f>
        <v>Price Review 2024</v>
      </c>
      <c r="F41" s="4">
        <f>F_Inputs_adjusted!N44</f>
        <v>2832.5329999999999</v>
      </c>
      <c r="G41" s="4">
        <f>F_Inputs_adjusted!O44</f>
        <v>2911.4040393</v>
      </c>
      <c r="H41" s="4">
        <f>F_Inputs_adjusted!P44</f>
        <v>2937.2584393100001</v>
      </c>
      <c r="I41" s="4">
        <f>F_Inputs_adjusted!Q44</f>
        <v>2961.0601993199998</v>
      </c>
      <c r="J41" s="4">
        <f>F_Inputs_adjusted!R44</f>
        <v>2984.86195933</v>
      </c>
      <c r="K41" s="4">
        <f>F_Inputs_adjusted!S44</f>
        <v>3008.6637193400002</v>
      </c>
      <c r="L41" s="4">
        <f>F_Inputs_adjusted!T44</f>
        <v>3032.4654793499999</v>
      </c>
      <c r="N41" s="123"/>
    </row>
    <row r="42" spans="1:14" s="2" customFormat="1" ht="15">
      <c r="A42" s="4" t="str">
        <f>F_Inputs_adjusted!A45</f>
        <v>NES</v>
      </c>
      <c r="B42" s="4" t="str">
        <f>F_Inputs_adjusted!B45</f>
        <v>CWW12_052TOT_PR24</v>
      </c>
      <c r="C42" s="4" t="str">
        <f>F_Inputs_adjusted!C45</f>
        <v>EA/NRW environmental programme wastewater (WINEP/NEP) - Chemicals and emerging contaminants monitoring, investigations, options appraisals; (WINEP/NEP) wastewater capex - Total</v>
      </c>
      <c r="D42" s="4" t="str">
        <f>F_Inputs_adjusted!D45</f>
        <v>£m</v>
      </c>
      <c r="E42" s="4" t="str">
        <f>F_Inputs_adjusted!E45</f>
        <v>Price Review 2024</v>
      </c>
      <c r="F42" s="4">
        <f>F_Inputs_adjusted!N45</f>
        <v>0.03</v>
      </c>
      <c r="G42" s="4">
        <f>F_Inputs_adjusted!O45</f>
        <v>0.03</v>
      </c>
      <c r="H42" s="4">
        <f>F_Inputs_adjusted!P45</f>
        <v>0</v>
      </c>
      <c r="I42" s="4">
        <f>F_Inputs_adjusted!Q45</f>
        <v>0</v>
      </c>
      <c r="J42" s="4">
        <f>F_Inputs_adjusted!R45</f>
        <v>0</v>
      </c>
      <c r="K42" s="4">
        <f>F_Inputs_adjusted!S45</f>
        <v>0</v>
      </c>
      <c r="L42" s="4">
        <f>F_Inputs_adjusted!T45</f>
        <v>0</v>
      </c>
      <c r="N42" s="123"/>
    </row>
    <row r="43" spans="1:14" s="2" customFormat="1" ht="15">
      <c r="A43" s="4" t="str">
        <f>F_Inputs_adjusted!A46</f>
        <v>NES</v>
      </c>
      <c r="B43" s="4" t="str">
        <f>F_Inputs_adjusted!B46</f>
        <v>CWW17_052TOT_PR24</v>
      </c>
      <c r="C43" s="4" t="str">
        <f>F_Inputs_adjusted!C46</f>
        <v>EA/NRW environmental programme wastewater (WINEP/NEP) - Chemicals and emerging contaminants monitoring, investigations, options appraisals; (WINEP/NEP) wastewater capex - Total</v>
      </c>
      <c r="D43" s="4" t="str">
        <f>F_Inputs_adjusted!D46</f>
        <v>£m</v>
      </c>
      <c r="E43" s="4" t="str">
        <f>F_Inputs_adjusted!E46</f>
        <v>Price Review 2024</v>
      </c>
      <c r="F43" s="4">
        <f>F_Inputs_adjusted!N46</f>
        <v>0</v>
      </c>
      <c r="G43" s="4">
        <f>F_Inputs_adjusted!O46</f>
        <v>0</v>
      </c>
      <c r="H43" s="4">
        <f>F_Inputs_adjusted!P46</f>
        <v>0</v>
      </c>
      <c r="I43" s="4">
        <f>F_Inputs_adjusted!Q46</f>
        <v>0</v>
      </c>
      <c r="J43" s="4">
        <f>F_Inputs_adjusted!R46</f>
        <v>0</v>
      </c>
      <c r="K43" s="4">
        <f>F_Inputs_adjusted!S46</f>
        <v>0</v>
      </c>
      <c r="L43" s="4">
        <f>F_Inputs_adjusted!T46</f>
        <v>0</v>
      </c>
      <c r="N43" s="123"/>
    </row>
    <row r="44" spans="1:14" s="2" customFormat="1" ht="15">
      <c r="A44" s="4" t="str">
        <f>F_Inputs_adjusted!A47</f>
        <v>NES</v>
      </c>
      <c r="B44" s="4" t="str">
        <f>F_Inputs_adjusted!B47</f>
        <v>CWW12_053TOT_PR24</v>
      </c>
      <c r="C44" s="4" t="str">
        <f>F_Inputs_adjusted!C47</f>
        <v>EA/NRW environmental programme wastewater (WINEP/NEP) - Chemicals and emerging contaminants monitoring, investigations, options appraisals; (WINEP/NEP) wastewater opex - Total</v>
      </c>
      <c r="D44" s="4" t="str">
        <f>F_Inputs_adjusted!D47</f>
        <v>£m</v>
      </c>
      <c r="E44" s="4" t="str">
        <f>F_Inputs_adjusted!E47</f>
        <v>Price Review 2024</v>
      </c>
      <c r="F44" s="4">
        <f>F_Inputs_adjusted!N47</f>
        <v>0</v>
      </c>
      <c r="G44" s="4">
        <f>F_Inputs_adjusted!O47</f>
        <v>0</v>
      </c>
      <c r="H44" s="4">
        <f>F_Inputs_adjusted!P47</f>
        <v>0</v>
      </c>
      <c r="I44" s="4">
        <f>F_Inputs_adjusted!Q47</f>
        <v>0</v>
      </c>
      <c r="J44" s="4">
        <f>F_Inputs_adjusted!R47</f>
        <v>0</v>
      </c>
      <c r="K44" s="4">
        <f>F_Inputs_adjusted!S47</f>
        <v>0</v>
      </c>
      <c r="L44" s="4">
        <f>F_Inputs_adjusted!T47</f>
        <v>0</v>
      </c>
      <c r="N44" s="123"/>
    </row>
    <row r="45" spans="1:14" s="2" customFormat="1" ht="15">
      <c r="A45" s="4" t="str">
        <f>F_Inputs_adjusted!A48</f>
        <v>NES</v>
      </c>
      <c r="B45" s="4" t="str">
        <f>F_Inputs_adjusted!B48</f>
        <v>CWW17_053TOT_PR24</v>
      </c>
      <c r="C45" s="4" t="str">
        <f>F_Inputs_adjusted!C48</f>
        <v>EA/NRW environmental programme wastewater (WINEP/NEP) - Chemicals and emerging contaminants monitoring, investigations, options appraisals; (WINEP/NEP) wastewater opex - Total</v>
      </c>
      <c r="D45" s="4" t="str">
        <f>F_Inputs_adjusted!D48</f>
        <v>£m</v>
      </c>
      <c r="E45" s="4" t="str">
        <f>F_Inputs_adjusted!E48</f>
        <v>Price Review 2024</v>
      </c>
      <c r="F45" s="4">
        <f>F_Inputs_adjusted!N48</f>
        <v>0</v>
      </c>
      <c r="G45" s="4">
        <f>F_Inputs_adjusted!O48</f>
        <v>0</v>
      </c>
      <c r="H45" s="4">
        <f>F_Inputs_adjusted!P48</f>
        <v>0</v>
      </c>
      <c r="I45" s="4">
        <f>F_Inputs_adjusted!Q48</f>
        <v>0</v>
      </c>
      <c r="J45" s="4">
        <f>F_Inputs_adjusted!R48</f>
        <v>0</v>
      </c>
      <c r="K45" s="4">
        <f>F_Inputs_adjusted!S48</f>
        <v>0</v>
      </c>
      <c r="L45" s="4">
        <f>F_Inputs_adjusted!T48</f>
        <v>0</v>
      </c>
    </row>
    <row r="46" spans="1:14" s="2" customFormat="1" ht="15">
      <c r="A46" s="4" t="str">
        <f>F_Inputs_adjusted!A49</f>
        <v>NES</v>
      </c>
      <c r="B46" s="4" t="str">
        <f>F_Inputs_adjusted!B49</f>
        <v>CWW12_054TOT_PR24</v>
      </c>
      <c r="C46" s="4" t="str">
        <f>F_Inputs_adjusted!C49</f>
        <v>EA/NRW environmental programme wastewater (WINEP/NEP) - Chemicals and emerging contaminants monitoring, investigations, options appraisals; (WINEP/NEP) wastewater totex - Total</v>
      </c>
      <c r="D46" s="4" t="str">
        <f>F_Inputs_adjusted!D49</f>
        <v>£m</v>
      </c>
      <c r="E46" s="4" t="str">
        <f>F_Inputs_adjusted!E49</f>
        <v>Price Review 2024</v>
      </c>
      <c r="F46" s="4">
        <f>F_Inputs_adjusted!N49</f>
        <v>0.03</v>
      </c>
      <c r="G46" s="4">
        <f>F_Inputs_adjusted!O49</f>
        <v>0.03</v>
      </c>
      <c r="H46" s="4">
        <f>F_Inputs_adjusted!P49</f>
        <v>0</v>
      </c>
      <c r="I46" s="4">
        <f>F_Inputs_adjusted!Q49</f>
        <v>0</v>
      </c>
      <c r="J46" s="4">
        <f>F_Inputs_adjusted!R49</f>
        <v>0</v>
      </c>
      <c r="K46" s="4">
        <f>F_Inputs_adjusted!S49</f>
        <v>0</v>
      </c>
      <c r="L46" s="4">
        <f>F_Inputs_adjusted!T49</f>
        <v>0</v>
      </c>
    </row>
    <row r="47" spans="1:14" s="2" customFormat="1" ht="15">
      <c r="A47" s="4" t="str">
        <f>F_Inputs_adjusted!A50</f>
        <v>NES</v>
      </c>
      <c r="B47" s="4" t="str">
        <f>F_Inputs_adjusted!B50</f>
        <v>CWW17_054TOT_PR24</v>
      </c>
      <c r="C47" s="4" t="str">
        <f>F_Inputs_adjusted!C50</f>
        <v>EA/NRW environmental programme wastewater (WINEP/NEP) - Chemicals and emerging contaminants monitoring, investigations, options appraisals; (WINEP/NEP) wastewater totex - Total</v>
      </c>
      <c r="D47" s="4" t="str">
        <f>F_Inputs_adjusted!D50</f>
        <v>£m</v>
      </c>
      <c r="E47" s="4" t="str">
        <f>F_Inputs_adjusted!E50</f>
        <v>Price Review 2024</v>
      </c>
      <c r="F47" s="4">
        <f>F_Inputs_adjusted!N50</f>
        <v>0</v>
      </c>
      <c r="G47" s="4">
        <f>F_Inputs_adjusted!O50</f>
        <v>0</v>
      </c>
      <c r="H47" s="4">
        <f>F_Inputs_adjusted!P50</f>
        <v>0</v>
      </c>
      <c r="I47" s="4">
        <f>F_Inputs_adjusted!Q50</f>
        <v>0</v>
      </c>
      <c r="J47" s="4">
        <f>F_Inputs_adjusted!R50</f>
        <v>0</v>
      </c>
      <c r="K47" s="4">
        <f>F_Inputs_adjusted!S50</f>
        <v>0</v>
      </c>
      <c r="L47" s="4">
        <f>F_Inputs_adjusted!T50</f>
        <v>0</v>
      </c>
    </row>
    <row r="48" spans="1:14" s="2" customFormat="1" ht="15">
      <c r="A48" s="4" t="str">
        <f>F_Inputs_adjusted!A51</f>
        <v>NES</v>
      </c>
      <c r="B48" s="4" t="str">
        <f>F_Inputs_adjusted!B51</f>
        <v>PR24_NETTOTEX_WASTE</v>
      </c>
      <c r="C48" s="4" t="str">
        <f>F_Inputs_adjusted!C51</f>
        <v>PR24 BP Net totex - Total inc. accelerated &amp; transition costs</v>
      </c>
      <c r="D48" s="4" t="str">
        <f>F_Inputs_adjusted!D51</f>
        <v>£m</v>
      </c>
      <c r="E48" s="4" t="str">
        <f>F_Inputs_adjusted!E51</f>
        <v>Price Review 2024</v>
      </c>
      <c r="F48" s="4">
        <f>F_Inputs_adjusted!N51</f>
        <v>0</v>
      </c>
      <c r="G48" s="4">
        <f>F_Inputs_adjusted!O51</f>
        <v>0</v>
      </c>
      <c r="H48" s="4">
        <f>F_Inputs_adjusted!P51</f>
        <v>0</v>
      </c>
      <c r="I48" s="4">
        <f>F_Inputs_adjusted!Q51</f>
        <v>0</v>
      </c>
      <c r="J48" s="4">
        <f>F_Inputs_adjusted!R51</f>
        <v>0</v>
      </c>
      <c r="K48" s="4">
        <f>F_Inputs_adjusted!S51</f>
        <v>0</v>
      </c>
      <c r="L48" s="4">
        <f>F_Inputs_adjusted!T51</f>
        <v>0</v>
      </c>
    </row>
    <row r="49" spans="1:12" s="2" customFormat="1" ht="15">
      <c r="A49" s="4" t="str">
        <f>F_Inputs_adjusted!A52</f>
        <v>SVE</v>
      </c>
      <c r="B49" s="4" t="str">
        <f>F_Inputs_adjusted!B52</f>
        <v>CWW3_052TOT_PR24</v>
      </c>
      <c r="C49" s="4" t="str">
        <f>F_Inputs_adjusted!C52</f>
        <v>EA/NRW environmental programme wastewater (WINEP/NEP) - Chemicals and emerging contaminants monitoring, investigations, options appraisals; (WINEP/NEP) wastewater capex - Total</v>
      </c>
      <c r="D49" s="4" t="str">
        <f>F_Inputs_adjusted!D52</f>
        <v>£m</v>
      </c>
      <c r="E49" s="4" t="str">
        <f>F_Inputs_adjusted!E52</f>
        <v>Price Review 2024</v>
      </c>
      <c r="F49" s="4">
        <f>F_Inputs_adjusted!N52</f>
        <v>0</v>
      </c>
      <c r="G49" s="4">
        <f>F_Inputs_adjusted!O52</f>
        <v>0</v>
      </c>
      <c r="H49" s="4">
        <f>F_Inputs_adjusted!P52</f>
        <v>1.0951869413392581</v>
      </c>
      <c r="I49" s="4">
        <f>F_Inputs_adjusted!Q52</f>
        <v>2.62753219832075</v>
      </c>
      <c r="J49" s="4">
        <f>F_Inputs_adjusted!R52</f>
        <v>0.18554710569434299</v>
      </c>
      <c r="K49" s="4">
        <f>F_Inputs_adjusted!S52</f>
        <v>0.186676871668983</v>
      </c>
      <c r="L49" s="4">
        <f>F_Inputs_adjusted!T52</f>
        <v>0.188</v>
      </c>
    </row>
    <row r="50" spans="1:12" s="2" customFormat="1" ht="15">
      <c r="A50" s="4" t="str">
        <f>F_Inputs_adjusted!A53</f>
        <v>SVE</v>
      </c>
      <c r="B50" s="4" t="str">
        <f>F_Inputs_adjusted!B53</f>
        <v>CWW3_053TOT_PR24</v>
      </c>
      <c r="C50" s="4" t="str">
        <f>F_Inputs_adjusted!C53</f>
        <v>EA/NRW environmental programme wastewater (WINEP/NEP) - Chemicals and emerging contaminants monitoring, investigations, options appraisals; (WINEP/NEP) wastewater opex - Total</v>
      </c>
      <c r="D50" s="4" t="str">
        <f>F_Inputs_adjusted!D53</f>
        <v>£m</v>
      </c>
      <c r="E50" s="4" t="str">
        <f>F_Inputs_adjusted!E53</f>
        <v>Price Review 2024</v>
      </c>
      <c r="F50" s="4">
        <f>F_Inputs_adjusted!N53</f>
        <v>0</v>
      </c>
      <c r="G50" s="4">
        <f>F_Inputs_adjusted!O53</f>
        <v>0</v>
      </c>
      <c r="H50" s="4">
        <f>F_Inputs_adjusted!P53</f>
        <v>0</v>
      </c>
      <c r="I50" s="4">
        <f>F_Inputs_adjusted!Q53</f>
        <v>0</v>
      </c>
      <c r="J50" s="4">
        <f>F_Inputs_adjusted!R53</f>
        <v>0</v>
      </c>
      <c r="K50" s="4">
        <f>F_Inputs_adjusted!S53</f>
        <v>0</v>
      </c>
      <c r="L50" s="4">
        <f>F_Inputs_adjusted!T53</f>
        <v>0</v>
      </c>
    </row>
    <row r="51" spans="1:12" s="2" customFormat="1" ht="15">
      <c r="A51" s="4" t="str">
        <f>F_Inputs_adjusted!A54</f>
        <v>SVE</v>
      </c>
      <c r="B51" s="4" t="str">
        <f>F_Inputs_adjusted!B54</f>
        <v>CWW3_054TOT_PR24</v>
      </c>
      <c r="C51" s="4" t="str">
        <f>F_Inputs_adjusted!C54</f>
        <v>EA/NRW environmental programme wastewater (WINEP/NEP) - Chemicals and emerging contaminants monitoring, investigations, options appraisals; (WINEP/NEP) wastewater totex - Total</v>
      </c>
      <c r="D51" s="4" t="str">
        <f>F_Inputs_adjusted!D54</f>
        <v>£m</v>
      </c>
      <c r="E51" s="4" t="str">
        <f>F_Inputs_adjusted!E54</f>
        <v>Price Review 2024</v>
      </c>
      <c r="F51" s="4">
        <f>F_Inputs_adjusted!N54</f>
        <v>0</v>
      </c>
      <c r="G51" s="4">
        <f>F_Inputs_adjusted!O54</f>
        <v>0</v>
      </c>
      <c r="H51" s="4">
        <f>F_Inputs_adjusted!P54</f>
        <v>1.0951869413392581</v>
      </c>
      <c r="I51" s="4">
        <f>F_Inputs_adjusted!Q54</f>
        <v>2.62753219832075</v>
      </c>
      <c r="J51" s="4">
        <f>F_Inputs_adjusted!R54</f>
        <v>0.18554710569434299</v>
      </c>
      <c r="K51" s="4">
        <f>F_Inputs_adjusted!S54</f>
        <v>0.186676871668983</v>
      </c>
      <c r="L51" s="4">
        <f>F_Inputs_adjusted!T54</f>
        <v>0.188</v>
      </c>
    </row>
    <row r="52" spans="1:12" s="2" customFormat="1" ht="15">
      <c r="A52" s="4" t="str">
        <f>F_Inputs_adjusted!A55</f>
        <v>SVE</v>
      </c>
      <c r="B52" s="4" t="str">
        <f>F_Inputs_adjusted!B55</f>
        <v>BN1603_PR24</v>
      </c>
      <c r="C52" s="4" t="str">
        <f>F_Inputs_adjusted!C55</f>
        <v>Sewage treatment data - Current population equivalent served by STWs</v>
      </c>
      <c r="D52" s="4" t="str">
        <f>F_Inputs_adjusted!D55</f>
        <v>000s</v>
      </c>
      <c r="E52" s="4" t="str">
        <f>F_Inputs_adjusted!E55</f>
        <v>Price Review 2024</v>
      </c>
      <c r="F52" s="4">
        <f>F_Inputs_adjusted!N55</f>
        <v>10610.32</v>
      </c>
      <c r="G52" s="4">
        <f>F_Inputs_adjusted!O55</f>
        <v>10468.344897887</v>
      </c>
      <c r="H52" s="4">
        <f>F_Inputs_adjusted!P55</f>
        <v>10540.49547222977</v>
      </c>
      <c r="I52" s="4">
        <f>F_Inputs_adjusted!Q55</f>
        <v>10601.77377574383</v>
      </c>
      <c r="J52" s="4">
        <f>F_Inputs_adjusted!R55</f>
        <v>10661.29669568924</v>
      </c>
      <c r="K52" s="4">
        <f>F_Inputs_adjusted!S55</f>
        <v>10826.83120593638</v>
      </c>
      <c r="L52" s="4">
        <f>F_Inputs_adjusted!T55</f>
        <v>10884.84595566423</v>
      </c>
    </row>
    <row r="53" spans="1:12" s="2" customFormat="1" ht="15">
      <c r="A53" s="4" t="str">
        <f>F_Inputs_adjusted!A56</f>
        <v>SVE</v>
      </c>
      <c r="B53" s="4" t="str">
        <f>F_Inputs_adjusted!B56</f>
        <v>CWW12_052TOT_PR24</v>
      </c>
      <c r="C53" s="4" t="str">
        <f>F_Inputs_adjusted!C56</f>
        <v>EA/NRW environmental programme wastewater (WINEP/NEP) - Chemicals and emerging contaminants monitoring, investigations, options appraisals; (WINEP/NEP) wastewater capex - Total</v>
      </c>
      <c r="D53" s="4" t="str">
        <f>F_Inputs_adjusted!D56</f>
        <v>£m</v>
      </c>
      <c r="E53" s="4" t="str">
        <f>F_Inputs_adjusted!E56</f>
        <v>Price Review 2024</v>
      </c>
      <c r="F53" s="4">
        <f>F_Inputs_adjusted!N56</f>
        <v>0</v>
      </c>
      <c r="G53" s="4">
        <f>F_Inputs_adjusted!O56</f>
        <v>1.5077451020150889</v>
      </c>
      <c r="H53" s="4">
        <f>F_Inputs_adjusted!P56</f>
        <v>0</v>
      </c>
      <c r="I53" s="4">
        <f>F_Inputs_adjusted!Q56</f>
        <v>0</v>
      </c>
      <c r="J53" s="4">
        <f>F_Inputs_adjusted!R56</f>
        <v>0</v>
      </c>
      <c r="K53" s="4">
        <f>F_Inputs_adjusted!S56</f>
        <v>0</v>
      </c>
      <c r="L53" s="4">
        <f>F_Inputs_adjusted!T56</f>
        <v>0</v>
      </c>
    </row>
    <row r="54" spans="1:12" s="2" customFormat="1" ht="15">
      <c r="A54" s="4" t="str">
        <f>F_Inputs_adjusted!A57</f>
        <v>SVE</v>
      </c>
      <c r="B54" s="4" t="str">
        <f>F_Inputs_adjusted!B57</f>
        <v>CWW17_052TOT_PR24</v>
      </c>
      <c r="C54" s="4" t="str">
        <f>F_Inputs_adjusted!C57</f>
        <v>EA/NRW environmental programme wastewater (WINEP/NEP) - Chemicals and emerging contaminants monitoring, investigations, options appraisals; (WINEP/NEP) wastewater capex - Total</v>
      </c>
      <c r="D54" s="4" t="str">
        <f>F_Inputs_adjusted!D57</f>
        <v>£m</v>
      </c>
      <c r="E54" s="4" t="str">
        <f>F_Inputs_adjusted!E57</f>
        <v>Price Review 2024</v>
      </c>
      <c r="F54" s="4">
        <f>F_Inputs_adjusted!N57</f>
        <v>0</v>
      </c>
      <c r="G54" s="4">
        <f>F_Inputs_adjusted!O57</f>
        <v>0</v>
      </c>
      <c r="H54" s="4">
        <f>F_Inputs_adjusted!P57</f>
        <v>0</v>
      </c>
      <c r="I54" s="4">
        <f>F_Inputs_adjusted!Q57</f>
        <v>0</v>
      </c>
      <c r="J54" s="4">
        <f>F_Inputs_adjusted!R57</f>
        <v>0</v>
      </c>
      <c r="K54" s="4">
        <f>F_Inputs_adjusted!S57</f>
        <v>0</v>
      </c>
      <c r="L54" s="4">
        <f>F_Inputs_adjusted!T57</f>
        <v>0</v>
      </c>
    </row>
    <row r="55" spans="1:12" s="2" customFormat="1" ht="15">
      <c r="A55" s="4" t="str">
        <f>F_Inputs_adjusted!A58</f>
        <v>SVE</v>
      </c>
      <c r="B55" s="4" t="str">
        <f>F_Inputs_adjusted!B58</f>
        <v>CWW12_053TOT_PR24</v>
      </c>
      <c r="C55" s="4" t="str">
        <f>F_Inputs_adjusted!C58</f>
        <v>EA/NRW environmental programme wastewater (WINEP/NEP) - Chemicals and emerging contaminants monitoring, investigations, options appraisals; (WINEP/NEP) wastewater opex - Total</v>
      </c>
      <c r="D55" s="4" t="str">
        <f>F_Inputs_adjusted!D58</f>
        <v>£m</v>
      </c>
      <c r="E55" s="4" t="str">
        <f>F_Inputs_adjusted!E58</f>
        <v>Price Review 2024</v>
      </c>
      <c r="F55" s="4">
        <f>F_Inputs_adjusted!N58</f>
        <v>0</v>
      </c>
      <c r="G55" s="4">
        <f>F_Inputs_adjusted!O58</f>
        <v>0</v>
      </c>
      <c r="H55" s="4">
        <f>F_Inputs_adjusted!P58</f>
        <v>0</v>
      </c>
      <c r="I55" s="4">
        <f>F_Inputs_adjusted!Q58</f>
        <v>0</v>
      </c>
      <c r="J55" s="4">
        <f>F_Inputs_adjusted!R58</f>
        <v>0</v>
      </c>
      <c r="K55" s="4">
        <f>F_Inputs_adjusted!S58</f>
        <v>0</v>
      </c>
      <c r="L55" s="4">
        <f>F_Inputs_adjusted!T58</f>
        <v>0</v>
      </c>
    </row>
    <row r="56" spans="1:12" s="2" customFormat="1" ht="15">
      <c r="A56" s="4" t="str">
        <f>F_Inputs_adjusted!A59</f>
        <v>SVE</v>
      </c>
      <c r="B56" s="4" t="str">
        <f>F_Inputs_adjusted!B59</f>
        <v>CWW17_053TOT_PR24</v>
      </c>
      <c r="C56" s="4" t="str">
        <f>F_Inputs_adjusted!C59</f>
        <v>EA/NRW environmental programme wastewater (WINEP/NEP) - Chemicals and emerging contaminants monitoring, investigations, options appraisals; (WINEP/NEP) wastewater opex - Total</v>
      </c>
      <c r="D56" s="4" t="str">
        <f>F_Inputs_adjusted!D59</f>
        <v>£m</v>
      </c>
      <c r="E56" s="4" t="str">
        <f>F_Inputs_adjusted!E59</f>
        <v>Price Review 2024</v>
      </c>
      <c r="F56" s="4">
        <f>F_Inputs_adjusted!N59</f>
        <v>0</v>
      </c>
      <c r="G56" s="4">
        <f>F_Inputs_adjusted!O59</f>
        <v>0</v>
      </c>
      <c r="H56" s="4">
        <f>F_Inputs_adjusted!P59</f>
        <v>0</v>
      </c>
      <c r="I56" s="4">
        <f>F_Inputs_adjusted!Q59</f>
        <v>0</v>
      </c>
      <c r="J56" s="4">
        <f>F_Inputs_adjusted!R59</f>
        <v>0</v>
      </c>
      <c r="K56" s="4">
        <f>F_Inputs_adjusted!S59</f>
        <v>0</v>
      </c>
      <c r="L56" s="4">
        <f>F_Inputs_adjusted!T59</f>
        <v>0</v>
      </c>
    </row>
    <row r="57" spans="1:12" s="2" customFormat="1" ht="15">
      <c r="A57" s="4" t="str">
        <f>F_Inputs_adjusted!A60</f>
        <v>SVE</v>
      </c>
      <c r="B57" s="4" t="str">
        <f>F_Inputs_adjusted!B60</f>
        <v>CWW12_054TOT_PR24</v>
      </c>
      <c r="C57" s="4" t="str">
        <f>F_Inputs_adjusted!C60</f>
        <v>EA/NRW environmental programme wastewater (WINEP/NEP) - Chemicals and emerging contaminants monitoring, investigations, options appraisals; (WINEP/NEP) wastewater totex - Total</v>
      </c>
      <c r="D57" s="4" t="str">
        <f>F_Inputs_adjusted!D60</f>
        <v>£m</v>
      </c>
      <c r="E57" s="4" t="str">
        <f>F_Inputs_adjusted!E60</f>
        <v>Price Review 2024</v>
      </c>
      <c r="F57" s="4">
        <f>F_Inputs_adjusted!N60</f>
        <v>0</v>
      </c>
      <c r="G57" s="4">
        <f>F_Inputs_adjusted!O60</f>
        <v>1.5077451020150889</v>
      </c>
      <c r="H57" s="4">
        <f>F_Inputs_adjusted!P60</f>
        <v>0</v>
      </c>
      <c r="I57" s="4">
        <f>F_Inputs_adjusted!Q60</f>
        <v>0</v>
      </c>
      <c r="J57" s="4">
        <f>F_Inputs_adjusted!R60</f>
        <v>0</v>
      </c>
      <c r="K57" s="4">
        <f>F_Inputs_adjusted!S60</f>
        <v>0</v>
      </c>
      <c r="L57" s="4">
        <f>F_Inputs_adjusted!T60</f>
        <v>0</v>
      </c>
    </row>
    <row r="58" spans="1:12" s="2" customFormat="1" ht="15">
      <c r="A58" s="4" t="str">
        <f>F_Inputs_adjusted!A61</f>
        <v>SVE</v>
      </c>
      <c r="B58" s="4" t="str">
        <f>F_Inputs_adjusted!B61</f>
        <v>CWW17_054TOT_PR24</v>
      </c>
      <c r="C58" s="4" t="str">
        <f>F_Inputs_adjusted!C61</f>
        <v>EA/NRW environmental programme wastewater (WINEP/NEP) - Chemicals and emerging contaminants monitoring, investigations, options appraisals; (WINEP/NEP) wastewater totex - Total</v>
      </c>
      <c r="D58" s="4" t="str">
        <f>F_Inputs_adjusted!D61</f>
        <v>£m</v>
      </c>
      <c r="E58" s="4" t="str">
        <f>F_Inputs_adjusted!E61</f>
        <v>Price Review 2024</v>
      </c>
      <c r="F58" s="4">
        <f>F_Inputs_adjusted!N61</f>
        <v>0</v>
      </c>
      <c r="G58" s="4">
        <f>F_Inputs_adjusted!O61</f>
        <v>0</v>
      </c>
      <c r="H58" s="4">
        <f>F_Inputs_adjusted!P61</f>
        <v>0</v>
      </c>
      <c r="I58" s="4">
        <f>F_Inputs_adjusted!Q61</f>
        <v>0</v>
      </c>
      <c r="J58" s="4">
        <f>F_Inputs_adjusted!R61</f>
        <v>0</v>
      </c>
      <c r="K58" s="4">
        <f>F_Inputs_adjusted!S61</f>
        <v>0</v>
      </c>
      <c r="L58" s="4">
        <f>F_Inputs_adjusted!T61</f>
        <v>0</v>
      </c>
    </row>
    <row r="59" spans="1:12" s="2" customFormat="1" ht="15">
      <c r="A59" s="4" t="str">
        <f>F_Inputs_adjusted!A62</f>
        <v>SVE</v>
      </c>
      <c r="B59" s="4" t="str">
        <f>F_Inputs_adjusted!B62</f>
        <v>PR24_NETTOTEX_WASTE</v>
      </c>
      <c r="C59" s="4" t="str">
        <f>F_Inputs_adjusted!C62</f>
        <v>PR24 BP Net totex - Total inc. accelerated &amp; transition costs</v>
      </c>
      <c r="D59" s="4" t="str">
        <f>F_Inputs_adjusted!D62</f>
        <v>£m</v>
      </c>
      <c r="E59" s="4" t="str">
        <f>F_Inputs_adjusted!E62</f>
        <v>Price Review 2024</v>
      </c>
      <c r="F59" s="4">
        <f>F_Inputs_adjusted!N62</f>
        <v>0</v>
      </c>
      <c r="G59" s="4">
        <f>F_Inputs_adjusted!O62</f>
        <v>0</v>
      </c>
      <c r="H59" s="4">
        <f>F_Inputs_adjusted!P62</f>
        <v>0</v>
      </c>
      <c r="I59" s="4">
        <f>F_Inputs_adjusted!Q62</f>
        <v>0</v>
      </c>
      <c r="J59" s="4">
        <f>F_Inputs_adjusted!R62</f>
        <v>0</v>
      </c>
      <c r="K59" s="4">
        <f>F_Inputs_adjusted!S62</f>
        <v>0</v>
      </c>
      <c r="L59" s="4">
        <f>F_Inputs_adjusted!T62</f>
        <v>0</v>
      </c>
    </row>
    <row r="60" spans="1:12" s="2" customFormat="1" ht="15">
      <c r="A60" s="4" t="str">
        <f>F_Inputs_adjusted!A63</f>
        <v>SWB</v>
      </c>
      <c r="B60" s="4" t="str">
        <f>F_Inputs_adjusted!B63</f>
        <v>CWW3_052TOT_PR24</v>
      </c>
      <c r="C60" s="4" t="str">
        <f>F_Inputs_adjusted!C63</f>
        <v>EA/NRW environmental programme wastewater (WINEP/NEP) - Chemicals and emerging contaminants monitoring, investigations, options appraisals; (WINEP/NEP) wastewater capex - Total</v>
      </c>
      <c r="D60" s="4" t="str">
        <f>F_Inputs_adjusted!D63</f>
        <v>£m</v>
      </c>
      <c r="E60" s="4" t="str">
        <f>F_Inputs_adjusted!E63</f>
        <v>Price Review 2024</v>
      </c>
      <c r="F60" s="4">
        <f>F_Inputs_adjusted!N63</f>
        <v>0</v>
      </c>
      <c r="G60" s="4">
        <f>F_Inputs_adjusted!O63</f>
        <v>0</v>
      </c>
      <c r="H60" s="4">
        <f>F_Inputs_adjusted!P63</f>
        <v>0.56999999999999995</v>
      </c>
      <c r="I60" s="4">
        <f>F_Inputs_adjusted!Q63</f>
        <v>0.67200000000000004</v>
      </c>
      <c r="J60" s="4">
        <f>F_Inputs_adjusted!R63</f>
        <v>0.70599999999999996</v>
      </c>
      <c r="K60" s="4">
        <f>F_Inputs_adjusted!S63</f>
        <v>0.17</v>
      </c>
      <c r="L60" s="4">
        <f>F_Inputs_adjusted!T63</f>
        <v>6.8000000000000005E-2</v>
      </c>
    </row>
    <row r="61" spans="1:12" s="2" customFormat="1" ht="15">
      <c r="A61" s="4" t="str">
        <f>F_Inputs_adjusted!A64</f>
        <v>SWB</v>
      </c>
      <c r="B61" s="4" t="str">
        <f>F_Inputs_adjusted!B64</f>
        <v>CWW3_053TOT_PR24</v>
      </c>
      <c r="C61" s="4" t="str">
        <f>F_Inputs_adjusted!C64</f>
        <v>EA/NRW environmental programme wastewater (WINEP/NEP) - Chemicals and emerging contaminants monitoring, investigations, options appraisals; (WINEP/NEP) wastewater opex - Total</v>
      </c>
      <c r="D61" s="4" t="str">
        <f>F_Inputs_adjusted!D64</f>
        <v>£m</v>
      </c>
      <c r="E61" s="4" t="str">
        <f>F_Inputs_adjusted!E64</f>
        <v>Price Review 2024</v>
      </c>
      <c r="F61" s="4">
        <f>F_Inputs_adjusted!N64</f>
        <v>0</v>
      </c>
      <c r="G61" s="4">
        <f>F_Inputs_adjusted!O64</f>
        <v>0</v>
      </c>
      <c r="H61" s="4">
        <f>F_Inputs_adjusted!P64</f>
        <v>0</v>
      </c>
      <c r="I61" s="4">
        <f>F_Inputs_adjusted!Q64</f>
        <v>0</v>
      </c>
      <c r="J61" s="4">
        <f>F_Inputs_adjusted!R64</f>
        <v>0</v>
      </c>
      <c r="K61" s="4">
        <f>F_Inputs_adjusted!S64</f>
        <v>0</v>
      </c>
      <c r="L61" s="4">
        <f>F_Inputs_adjusted!T64</f>
        <v>0</v>
      </c>
    </row>
    <row r="62" spans="1:12" s="2" customFormat="1" ht="15">
      <c r="A62" s="4" t="str">
        <f>F_Inputs_adjusted!A65</f>
        <v>SWB</v>
      </c>
      <c r="B62" s="4" t="str">
        <f>F_Inputs_adjusted!B65</f>
        <v>CWW3_054TOT_PR24</v>
      </c>
      <c r="C62" s="4" t="str">
        <f>F_Inputs_adjusted!C65</f>
        <v>EA/NRW environmental programme wastewater (WINEP/NEP) - Chemicals and emerging contaminants monitoring, investigations, options appraisals; (WINEP/NEP) wastewater totex - Total</v>
      </c>
      <c r="D62" s="4" t="str">
        <f>F_Inputs_adjusted!D65</f>
        <v>£m</v>
      </c>
      <c r="E62" s="4" t="str">
        <f>F_Inputs_adjusted!E65</f>
        <v>Price Review 2024</v>
      </c>
      <c r="F62" s="4">
        <f>F_Inputs_adjusted!N65</f>
        <v>0</v>
      </c>
      <c r="G62" s="4">
        <f>F_Inputs_adjusted!O65</f>
        <v>0</v>
      </c>
      <c r="H62" s="4">
        <f>F_Inputs_adjusted!P65</f>
        <v>0.56999999999999995</v>
      </c>
      <c r="I62" s="4">
        <f>F_Inputs_adjusted!Q65</f>
        <v>0.67200000000000004</v>
      </c>
      <c r="J62" s="4">
        <f>F_Inputs_adjusted!R65</f>
        <v>0.70599999999999996</v>
      </c>
      <c r="K62" s="4">
        <f>F_Inputs_adjusted!S65</f>
        <v>0.17</v>
      </c>
      <c r="L62" s="4">
        <f>F_Inputs_adjusted!T65</f>
        <v>6.8000000000000005E-2</v>
      </c>
    </row>
    <row r="63" spans="1:12" s="2" customFormat="1" ht="15">
      <c r="A63" s="4" t="str">
        <f>F_Inputs_adjusted!A66</f>
        <v>SWB</v>
      </c>
      <c r="B63" s="4" t="str">
        <f>F_Inputs_adjusted!B66</f>
        <v>BN1603_PR24</v>
      </c>
      <c r="C63" s="4" t="str">
        <f>F_Inputs_adjusted!C66</f>
        <v>Sewage treatment data - Current population equivalent served by STWs</v>
      </c>
      <c r="D63" s="4" t="str">
        <f>F_Inputs_adjusted!D66</f>
        <v>000s</v>
      </c>
      <c r="E63" s="4" t="str">
        <f>F_Inputs_adjusted!E66</f>
        <v>Price Review 2024</v>
      </c>
      <c r="F63" s="4">
        <f>F_Inputs_adjusted!N66</f>
        <v>1743.2239999999999</v>
      </c>
      <c r="G63" s="4">
        <f>F_Inputs_adjusted!O66</f>
        <v>1751.7670000000001</v>
      </c>
      <c r="H63" s="4">
        <f>F_Inputs_adjusted!P66</f>
        <v>1774.5709999999999</v>
      </c>
      <c r="I63" s="4">
        <f>F_Inputs_adjusted!Q66</f>
        <v>1796.923</v>
      </c>
      <c r="J63" s="4">
        <f>F_Inputs_adjusted!R66</f>
        <v>1818.9839999999999</v>
      </c>
      <c r="K63" s="4">
        <f>F_Inputs_adjusted!S66</f>
        <v>1840.02</v>
      </c>
      <c r="L63" s="4">
        <f>F_Inputs_adjusted!T66</f>
        <v>1860.396</v>
      </c>
    </row>
    <row r="64" spans="1:12" s="2" customFormat="1" ht="15">
      <c r="A64" s="4" t="str">
        <f>F_Inputs_adjusted!A67</f>
        <v>SWB</v>
      </c>
      <c r="B64" s="4" t="str">
        <f>F_Inputs_adjusted!B67</f>
        <v>CWW12_052TOT_PR24</v>
      </c>
      <c r="C64" s="4" t="str">
        <f>F_Inputs_adjusted!C67</f>
        <v>EA/NRW environmental programme wastewater (WINEP/NEP) - Chemicals and emerging contaminants monitoring, investigations, options appraisals; (WINEP/NEP) wastewater capex - Total</v>
      </c>
      <c r="D64" s="4" t="str">
        <f>F_Inputs_adjusted!D67</f>
        <v>£m</v>
      </c>
      <c r="E64" s="4" t="str">
        <f>F_Inputs_adjusted!E67</f>
        <v>Price Review 2024</v>
      </c>
      <c r="F64" s="4">
        <f>F_Inputs_adjusted!N67</f>
        <v>0</v>
      </c>
      <c r="G64" s="4">
        <f>F_Inputs_adjusted!O67</f>
        <v>0</v>
      </c>
      <c r="H64" s="4">
        <f>F_Inputs_adjusted!P67</f>
        <v>0</v>
      </c>
      <c r="I64" s="4">
        <f>F_Inputs_adjusted!Q67</f>
        <v>0</v>
      </c>
      <c r="J64" s="4">
        <f>F_Inputs_adjusted!R67</f>
        <v>0</v>
      </c>
      <c r="K64" s="4">
        <f>F_Inputs_adjusted!S67</f>
        <v>0</v>
      </c>
      <c r="L64" s="4">
        <f>F_Inputs_adjusted!T67</f>
        <v>0</v>
      </c>
    </row>
    <row r="65" spans="1:12" s="2" customFormat="1" ht="15">
      <c r="A65" s="4" t="str">
        <f>F_Inputs_adjusted!A68</f>
        <v>SWB</v>
      </c>
      <c r="B65" s="4" t="str">
        <f>F_Inputs_adjusted!B68</f>
        <v>CWW17_052TOT_PR24</v>
      </c>
      <c r="C65" s="4" t="str">
        <f>F_Inputs_adjusted!C68</f>
        <v>EA/NRW environmental programme wastewater (WINEP/NEP) - Chemicals and emerging contaminants monitoring, investigations, options appraisals; (WINEP/NEP) wastewater capex - Total</v>
      </c>
      <c r="D65" s="4" t="str">
        <f>F_Inputs_adjusted!D68</f>
        <v>£m</v>
      </c>
      <c r="E65" s="4" t="str">
        <f>F_Inputs_adjusted!E68</f>
        <v>Price Review 2024</v>
      </c>
      <c r="F65" s="4">
        <f>F_Inputs_adjusted!N68</f>
        <v>0</v>
      </c>
      <c r="G65" s="4">
        <f>F_Inputs_adjusted!O68</f>
        <v>0</v>
      </c>
      <c r="H65" s="4">
        <f>F_Inputs_adjusted!P68</f>
        <v>0</v>
      </c>
      <c r="I65" s="4">
        <f>F_Inputs_adjusted!Q68</f>
        <v>0</v>
      </c>
      <c r="J65" s="4">
        <f>F_Inputs_adjusted!R68</f>
        <v>0</v>
      </c>
      <c r="K65" s="4">
        <f>F_Inputs_adjusted!S68</f>
        <v>0</v>
      </c>
      <c r="L65" s="4">
        <f>F_Inputs_adjusted!T68</f>
        <v>0</v>
      </c>
    </row>
    <row r="66" spans="1:12" s="2" customFormat="1" ht="15">
      <c r="A66" s="4" t="str">
        <f>F_Inputs_adjusted!A69</f>
        <v>SWB</v>
      </c>
      <c r="B66" s="4" t="str">
        <f>F_Inputs_adjusted!B69</f>
        <v>CWW12_053TOT_PR24</v>
      </c>
      <c r="C66" s="4" t="str">
        <f>F_Inputs_adjusted!C69</f>
        <v>EA/NRW environmental programme wastewater (WINEP/NEP) - Chemicals and emerging contaminants monitoring, investigations, options appraisals; (WINEP/NEP) wastewater opex - Total</v>
      </c>
      <c r="D66" s="4" t="str">
        <f>F_Inputs_adjusted!D69</f>
        <v>£m</v>
      </c>
      <c r="E66" s="4" t="str">
        <f>F_Inputs_adjusted!E69</f>
        <v>Price Review 2024</v>
      </c>
      <c r="F66" s="4">
        <f>F_Inputs_adjusted!N69</f>
        <v>0</v>
      </c>
      <c r="G66" s="4">
        <f>F_Inputs_adjusted!O69</f>
        <v>0</v>
      </c>
      <c r="H66" s="4">
        <f>F_Inputs_adjusted!P69</f>
        <v>0</v>
      </c>
      <c r="I66" s="4">
        <f>F_Inputs_adjusted!Q69</f>
        <v>0</v>
      </c>
      <c r="J66" s="4">
        <f>F_Inputs_adjusted!R69</f>
        <v>0</v>
      </c>
      <c r="K66" s="4">
        <f>F_Inputs_adjusted!S69</f>
        <v>0</v>
      </c>
      <c r="L66" s="4">
        <f>F_Inputs_adjusted!T69</f>
        <v>0</v>
      </c>
    </row>
    <row r="67" spans="1:12" s="2" customFormat="1" ht="15">
      <c r="A67" s="4" t="str">
        <f>F_Inputs_adjusted!A70</f>
        <v>SWB</v>
      </c>
      <c r="B67" s="4" t="str">
        <f>F_Inputs_adjusted!B70</f>
        <v>CWW17_053TOT_PR24</v>
      </c>
      <c r="C67" s="4" t="str">
        <f>F_Inputs_adjusted!C70</f>
        <v>EA/NRW environmental programme wastewater (WINEP/NEP) - Chemicals and emerging contaminants monitoring, investigations, options appraisals; (WINEP/NEP) wastewater opex - Total</v>
      </c>
      <c r="D67" s="4" t="str">
        <f>F_Inputs_adjusted!D70</f>
        <v>£m</v>
      </c>
      <c r="E67" s="4" t="str">
        <f>F_Inputs_adjusted!E70</f>
        <v>Price Review 2024</v>
      </c>
      <c r="F67" s="4">
        <f>F_Inputs_adjusted!N70</f>
        <v>0</v>
      </c>
      <c r="G67" s="4">
        <f>F_Inputs_adjusted!O70</f>
        <v>0</v>
      </c>
      <c r="H67" s="4">
        <f>F_Inputs_adjusted!P70</f>
        <v>0</v>
      </c>
      <c r="I67" s="4">
        <f>F_Inputs_adjusted!Q70</f>
        <v>0</v>
      </c>
      <c r="J67" s="4">
        <f>F_Inputs_adjusted!R70</f>
        <v>0</v>
      </c>
      <c r="K67" s="4">
        <f>F_Inputs_adjusted!S70</f>
        <v>0</v>
      </c>
      <c r="L67" s="4">
        <f>F_Inputs_adjusted!T70</f>
        <v>0</v>
      </c>
    </row>
    <row r="68" spans="1:12" s="2" customFormat="1" ht="15">
      <c r="A68" s="4" t="str">
        <f>F_Inputs_adjusted!A71</f>
        <v>SWB</v>
      </c>
      <c r="B68" s="4" t="str">
        <f>F_Inputs_adjusted!B71</f>
        <v>CWW12_054TOT_PR24</v>
      </c>
      <c r="C68" s="4" t="str">
        <f>F_Inputs_adjusted!C71</f>
        <v>EA/NRW environmental programme wastewater (WINEP/NEP) - Chemicals and emerging contaminants monitoring, investigations, options appraisals; (WINEP/NEP) wastewater totex - Total</v>
      </c>
      <c r="D68" s="4" t="str">
        <f>F_Inputs_adjusted!D71</f>
        <v>£m</v>
      </c>
      <c r="E68" s="4" t="str">
        <f>F_Inputs_adjusted!E71</f>
        <v>Price Review 2024</v>
      </c>
      <c r="F68" s="4">
        <f>F_Inputs_adjusted!N71</f>
        <v>0</v>
      </c>
      <c r="G68" s="4">
        <f>F_Inputs_adjusted!O71</f>
        <v>0</v>
      </c>
      <c r="H68" s="4">
        <f>F_Inputs_adjusted!P71</f>
        <v>0</v>
      </c>
      <c r="I68" s="4">
        <f>F_Inputs_adjusted!Q71</f>
        <v>0</v>
      </c>
      <c r="J68" s="4">
        <f>F_Inputs_adjusted!R71</f>
        <v>0</v>
      </c>
      <c r="K68" s="4">
        <f>F_Inputs_adjusted!S71</f>
        <v>0</v>
      </c>
      <c r="L68" s="4">
        <f>F_Inputs_adjusted!T71</f>
        <v>0</v>
      </c>
    </row>
    <row r="69" spans="1:12" s="2" customFormat="1" ht="15">
      <c r="A69" s="4" t="str">
        <f>F_Inputs_adjusted!A72</f>
        <v>SWB</v>
      </c>
      <c r="B69" s="4" t="str">
        <f>F_Inputs_adjusted!B72</f>
        <v>CWW17_054TOT_PR24</v>
      </c>
      <c r="C69" s="4" t="str">
        <f>F_Inputs_adjusted!C72</f>
        <v>EA/NRW environmental programme wastewater (WINEP/NEP) - Chemicals and emerging contaminants monitoring, investigations, options appraisals; (WINEP/NEP) wastewater totex - Total</v>
      </c>
      <c r="D69" s="4" t="str">
        <f>F_Inputs_adjusted!D72</f>
        <v>£m</v>
      </c>
      <c r="E69" s="4" t="str">
        <f>F_Inputs_adjusted!E72</f>
        <v>Price Review 2024</v>
      </c>
      <c r="F69" s="4">
        <f>F_Inputs_adjusted!N72</f>
        <v>0</v>
      </c>
      <c r="G69" s="4">
        <f>F_Inputs_adjusted!O72</f>
        <v>0</v>
      </c>
      <c r="H69" s="4">
        <f>F_Inputs_adjusted!P72</f>
        <v>0</v>
      </c>
      <c r="I69" s="4">
        <f>F_Inputs_adjusted!Q72</f>
        <v>0</v>
      </c>
      <c r="J69" s="4">
        <f>F_Inputs_adjusted!R72</f>
        <v>0</v>
      </c>
      <c r="K69" s="4">
        <f>F_Inputs_adjusted!S72</f>
        <v>0</v>
      </c>
      <c r="L69" s="4">
        <f>F_Inputs_adjusted!T72</f>
        <v>0</v>
      </c>
    </row>
    <row r="70" spans="1:12" s="2" customFormat="1" ht="15">
      <c r="A70" s="4" t="str">
        <f>F_Inputs_adjusted!A73</f>
        <v>SWB</v>
      </c>
      <c r="B70" s="4" t="str">
        <f>F_Inputs_adjusted!B73</f>
        <v>PR24_NETTOTEX_WASTE</v>
      </c>
      <c r="C70" s="4" t="str">
        <f>F_Inputs_adjusted!C73</f>
        <v>PR24 BP Net totex - Total inc. accelerated &amp; transition costs</v>
      </c>
      <c r="D70" s="4" t="str">
        <f>F_Inputs_adjusted!D73</f>
        <v>£m</v>
      </c>
      <c r="E70" s="4" t="str">
        <f>F_Inputs_adjusted!E73</f>
        <v>Price Review 2024</v>
      </c>
      <c r="F70" s="4">
        <f>F_Inputs_adjusted!N73</f>
        <v>0</v>
      </c>
      <c r="G70" s="4">
        <f>F_Inputs_adjusted!O73</f>
        <v>0</v>
      </c>
      <c r="H70" s="4">
        <f>F_Inputs_adjusted!P73</f>
        <v>0</v>
      </c>
      <c r="I70" s="4">
        <f>F_Inputs_adjusted!Q73</f>
        <v>0</v>
      </c>
      <c r="J70" s="4">
        <f>F_Inputs_adjusted!R73</f>
        <v>0</v>
      </c>
      <c r="K70" s="4">
        <f>F_Inputs_adjusted!S73</f>
        <v>0</v>
      </c>
      <c r="L70" s="4">
        <f>F_Inputs_adjusted!T73</f>
        <v>0</v>
      </c>
    </row>
    <row r="71" spans="1:12" s="2" customFormat="1" ht="15">
      <c r="A71" s="4" t="str">
        <f>F_Inputs_adjusted!A74</f>
        <v>SRN</v>
      </c>
      <c r="B71" s="4" t="str">
        <f>F_Inputs_adjusted!B74</f>
        <v>CWW3_052TOT_PR24</v>
      </c>
      <c r="C71" s="4" t="str">
        <f>F_Inputs_adjusted!C74</f>
        <v>EA/NRW environmental programme wastewater (WINEP/NEP) - Chemicals and emerging contaminants monitoring, investigations, options appraisals; (WINEP/NEP) wastewater capex - Total</v>
      </c>
      <c r="D71" s="4" t="str">
        <f>F_Inputs_adjusted!D74</f>
        <v>£m</v>
      </c>
      <c r="E71" s="4" t="str">
        <f>F_Inputs_adjusted!E74</f>
        <v>Price Review 2024</v>
      </c>
      <c r="F71" s="4">
        <f>F_Inputs_adjusted!N74</f>
        <v>0</v>
      </c>
      <c r="G71" s="4">
        <f>F_Inputs_adjusted!O74</f>
        <v>0</v>
      </c>
      <c r="H71" s="4">
        <f>F_Inputs_adjusted!P74</f>
        <v>0.34499999999999997</v>
      </c>
      <c r="I71" s="4">
        <f>F_Inputs_adjusted!Q74</f>
        <v>0.86399999999999999</v>
      </c>
      <c r="J71" s="4">
        <f>F_Inputs_adjusted!R74</f>
        <v>5.5E-2</v>
      </c>
      <c r="K71" s="4">
        <f>F_Inputs_adjusted!S74</f>
        <v>0</v>
      </c>
      <c r="L71" s="4">
        <f>F_Inputs_adjusted!T74</f>
        <v>0</v>
      </c>
    </row>
    <row r="72" spans="1:12" s="2" customFormat="1" ht="15">
      <c r="A72" s="4" t="str">
        <f>F_Inputs_adjusted!A75</f>
        <v>SRN</v>
      </c>
      <c r="B72" s="4" t="str">
        <f>F_Inputs_adjusted!B75</f>
        <v>CWW3_053TOT_PR24</v>
      </c>
      <c r="C72" s="4" t="str">
        <f>F_Inputs_adjusted!C75</f>
        <v>EA/NRW environmental programme wastewater (WINEP/NEP) - Chemicals and emerging contaminants monitoring, investigations, options appraisals; (WINEP/NEP) wastewater opex - Total</v>
      </c>
      <c r="D72" s="4" t="str">
        <f>F_Inputs_adjusted!D75</f>
        <v>£m</v>
      </c>
      <c r="E72" s="4" t="str">
        <f>F_Inputs_adjusted!E75</f>
        <v>Price Review 2024</v>
      </c>
      <c r="F72" s="4">
        <f>F_Inputs_adjusted!N75</f>
        <v>0</v>
      </c>
      <c r="G72" s="4">
        <f>F_Inputs_adjusted!O75</f>
        <v>0</v>
      </c>
      <c r="H72" s="4">
        <f>F_Inputs_adjusted!P75</f>
        <v>0.36399999999999999</v>
      </c>
      <c r="I72" s="4">
        <f>F_Inputs_adjusted!Q75</f>
        <v>0.61099999999999999</v>
      </c>
      <c r="J72" s="4">
        <f>F_Inputs_adjusted!R75</f>
        <v>0</v>
      </c>
      <c r="K72" s="4">
        <f>F_Inputs_adjusted!S75</f>
        <v>0</v>
      </c>
      <c r="L72" s="4">
        <f>F_Inputs_adjusted!T75</f>
        <v>0</v>
      </c>
    </row>
    <row r="73" spans="1:12" s="2" customFormat="1" ht="15">
      <c r="A73" s="4" t="str">
        <f>F_Inputs_adjusted!A76</f>
        <v>SRN</v>
      </c>
      <c r="B73" s="4" t="str">
        <f>F_Inputs_adjusted!B76</f>
        <v>CWW3_054TOT_PR24</v>
      </c>
      <c r="C73" s="4" t="str">
        <f>F_Inputs_adjusted!C76</f>
        <v>EA/NRW environmental programme wastewater (WINEP/NEP) - Chemicals and emerging contaminants monitoring, investigations, options appraisals; (WINEP/NEP) wastewater totex - Total</v>
      </c>
      <c r="D73" s="4" t="str">
        <f>F_Inputs_adjusted!D76</f>
        <v>£m</v>
      </c>
      <c r="E73" s="4" t="str">
        <f>F_Inputs_adjusted!E76</f>
        <v>Price Review 2024</v>
      </c>
      <c r="F73" s="4">
        <f>F_Inputs_adjusted!N76</f>
        <v>0</v>
      </c>
      <c r="G73" s="4">
        <f>F_Inputs_adjusted!O76</f>
        <v>0</v>
      </c>
      <c r="H73" s="4">
        <f>F_Inputs_adjusted!P76</f>
        <v>0.70899999999999996</v>
      </c>
      <c r="I73" s="4">
        <f>F_Inputs_adjusted!Q76</f>
        <v>1.4750000000000001</v>
      </c>
      <c r="J73" s="4">
        <f>F_Inputs_adjusted!R76</f>
        <v>5.5E-2</v>
      </c>
      <c r="K73" s="4">
        <f>F_Inputs_adjusted!S76</f>
        <v>0</v>
      </c>
      <c r="L73" s="4">
        <f>F_Inputs_adjusted!T76</f>
        <v>0</v>
      </c>
    </row>
    <row r="74" spans="1:12" s="2" customFormat="1" ht="15">
      <c r="A74" s="4" t="str">
        <f>F_Inputs_adjusted!A77</f>
        <v>SRN</v>
      </c>
      <c r="B74" s="4" t="str">
        <f>F_Inputs_adjusted!B77</f>
        <v>BN1603_PR24</v>
      </c>
      <c r="C74" s="4" t="str">
        <f>F_Inputs_adjusted!C77</f>
        <v>Sewage treatment data - Current population equivalent served by STWs</v>
      </c>
      <c r="D74" s="4" t="str">
        <f>F_Inputs_adjusted!D77</f>
        <v>000s</v>
      </c>
      <c r="E74" s="4" t="str">
        <f>F_Inputs_adjusted!E77</f>
        <v>Price Review 2024</v>
      </c>
      <c r="F74" s="4">
        <f>F_Inputs_adjusted!N77</f>
        <v>4975.1540000000005</v>
      </c>
      <c r="G74" s="4">
        <f>F_Inputs_adjusted!O77</f>
        <v>5091.7139999999999</v>
      </c>
      <c r="H74" s="4">
        <f>F_Inputs_adjusted!P77</f>
        <v>5135.1840000000002</v>
      </c>
      <c r="I74" s="4">
        <f>F_Inputs_adjusted!Q77</f>
        <v>5172.4110000000001</v>
      </c>
      <c r="J74" s="4">
        <f>F_Inputs_adjusted!R77</f>
        <v>5205.9669999999996</v>
      </c>
      <c r="K74" s="4">
        <f>F_Inputs_adjusted!S77</f>
        <v>5235.5519999999997</v>
      </c>
      <c r="L74" s="4">
        <f>F_Inputs_adjusted!T77</f>
        <v>5265.1540000000005</v>
      </c>
    </row>
    <row r="75" spans="1:12" s="2" customFormat="1" ht="15">
      <c r="A75" s="4" t="str">
        <f>F_Inputs_adjusted!A78</f>
        <v>SRN</v>
      </c>
      <c r="B75" s="4" t="str">
        <f>F_Inputs_adjusted!B78</f>
        <v>CWW12_052TOT_PR24</v>
      </c>
      <c r="C75" s="4" t="str">
        <f>F_Inputs_adjusted!C78</f>
        <v>EA/NRW environmental programme wastewater (WINEP/NEP) - Chemicals and emerging contaminants monitoring, investigations, options appraisals; (WINEP/NEP) wastewater capex - Total</v>
      </c>
      <c r="D75" s="4" t="str">
        <f>F_Inputs_adjusted!D78</f>
        <v>£m</v>
      </c>
      <c r="E75" s="4" t="str">
        <f>F_Inputs_adjusted!E78</f>
        <v>Price Review 2024</v>
      </c>
      <c r="F75" s="4">
        <f>F_Inputs_adjusted!N78</f>
        <v>0</v>
      </c>
      <c r="G75" s="4">
        <f>F_Inputs_adjusted!O78</f>
        <v>0</v>
      </c>
      <c r="H75" s="4">
        <f>F_Inputs_adjusted!P78</f>
        <v>0</v>
      </c>
      <c r="I75" s="4">
        <f>F_Inputs_adjusted!Q78</f>
        <v>0</v>
      </c>
      <c r="J75" s="4">
        <f>F_Inputs_adjusted!R78</f>
        <v>0</v>
      </c>
      <c r="K75" s="4">
        <f>F_Inputs_adjusted!S78</f>
        <v>0</v>
      </c>
      <c r="L75" s="4">
        <f>F_Inputs_adjusted!T78</f>
        <v>0</v>
      </c>
    </row>
    <row r="76" spans="1:12" s="2" customFormat="1" ht="15">
      <c r="A76" s="4" t="str">
        <f>F_Inputs_adjusted!A79</f>
        <v>SRN</v>
      </c>
      <c r="B76" s="4" t="str">
        <f>F_Inputs_adjusted!B79</f>
        <v>CWW17_052TOT_PR24</v>
      </c>
      <c r="C76" s="4" t="str">
        <f>F_Inputs_adjusted!C79</f>
        <v>EA/NRW environmental programme wastewater (WINEP/NEP) - Chemicals and emerging contaminants monitoring, investigations, options appraisals; (WINEP/NEP) wastewater capex - Total</v>
      </c>
      <c r="D76" s="4" t="str">
        <f>F_Inputs_adjusted!D79</f>
        <v>£m</v>
      </c>
      <c r="E76" s="4" t="str">
        <f>F_Inputs_adjusted!E79</f>
        <v>Price Review 2024</v>
      </c>
      <c r="F76" s="4">
        <f>F_Inputs_adjusted!N79</f>
        <v>0</v>
      </c>
      <c r="G76" s="4">
        <f>F_Inputs_adjusted!O79</f>
        <v>0</v>
      </c>
      <c r="H76" s="4">
        <f>F_Inputs_adjusted!P79</f>
        <v>0</v>
      </c>
      <c r="I76" s="4">
        <f>F_Inputs_adjusted!Q79</f>
        <v>0</v>
      </c>
      <c r="J76" s="4">
        <f>F_Inputs_adjusted!R79</f>
        <v>0</v>
      </c>
      <c r="K76" s="4">
        <f>F_Inputs_adjusted!S79</f>
        <v>0</v>
      </c>
      <c r="L76" s="4">
        <f>F_Inputs_adjusted!T79</f>
        <v>0</v>
      </c>
    </row>
    <row r="77" spans="1:12" s="2" customFormat="1" ht="15">
      <c r="A77" s="4" t="str">
        <f>F_Inputs_adjusted!A80</f>
        <v>SRN</v>
      </c>
      <c r="B77" s="4" t="str">
        <f>F_Inputs_adjusted!B80</f>
        <v>CWW12_053TOT_PR24</v>
      </c>
      <c r="C77" s="4" t="str">
        <f>F_Inputs_adjusted!C80</f>
        <v>EA/NRW environmental programme wastewater (WINEP/NEP) - Chemicals and emerging contaminants monitoring, investigations, options appraisals; (WINEP/NEP) wastewater opex - Total</v>
      </c>
      <c r="D77" s="4" t="str">
        <f>F_Inputs_adjusted!D80</f>
        <v>£m</v>
      </c>
      <c r="E77" s="4" t="str">
        <f>F_Inputs_adjusted!E80</f>
        <v>Price Review 2024</v>
      </c>
      <c r="F77" s="4">
        <f>F_Inputs_adjusted!N80</f>
        <v>0</v>
      </c>
      <c r="G77" s="4">
        <f>F_Inputs_adjusted!O80</f>
        <v>0</v>
      </c>
      <c r="H77" s="4">
        <f>F_Inputs_adjusted!P80</f>
        <v>0</v>
      </c>
      <c r="I77" s="4">
        <f>F_Inputs_adjusted!Q80</f>
        <v>0</v>
      </c>
      <c r="J77" s="4">
        <f>F_Inputs_adjusted!R80</f>
        <v>0</v>
      </c>
      <c r="K77" s="4">
        <f>F_Inputs_adjusted!S80</f>
        <v>0</v>
      </c>
      <c r="L77" s="4">
        <f>F_Inputs_adjusted!T80</f>
        <v>0</v>
      </c>
    </row>
    <row r="78" spans="1:12" s="2" customFormat="1" ht="15">
      <c r="A78" s="4" t="str">
        <f>F_Inputs_adjusted!A81</f>
        <v>SRN</v>
      </c>
      <c r="B78" s="4" t="str">
        <f>F_Inputs_adjusted!B81</f>
        <v>CWW17_053TOT_PR24</v>
      </c>
      <c r="C78" s="4" t="str">
        <f>F_Inputs_adjusted!C81</f>
        <v>EA/NRW environmental programme wastewater (WINEP/NEP) - Chemicals and emerging contaminants monitoring, investigations, options appraisals; (WINEP/NEP) wastewater opex - Total</v>
      </c>
      <c r="D78" s="4" t="str">
        <f>F_Inputs_adjusted!D81</f>
        <v>£m</v>
      </c>
      <c r="E78" s="4" t="str">
        <f>F_Inputs_adjusted!E81</f>
        <v>Price Review 2024</v>
      </c>
      <c r="F78" s="4">
        <f>F_Inputs_adjusted!N81</f>
        <v>0</v>
      </c>
      <c r="G78" s="4">
        <f>F_Inputs_adjusted!O81</f>
        <v>0</v>
      </c>
      <c r="H78" s="4">
        <f>F_Inputs_adjusted!P81</f>
        <v>0</v>
      </c>
      <c r="I78" s="4">
        <f>F_Inputs_adjusted!Q81</f>
        <v>0</v>
      </c>
      <c r="J78" s="4">
        <f>F_Inputs_adjusted!R81</f>
        <v>0</v>
      </c>
      <c r="K78" s="4">
        <f>F_Inputs_adjusted!S81</f>
        <v>0</v>
      </c>
      <c r="L78" s="4">
        <f>F_Inputs_adjusted!T81</f>
        <v>0</v>
      </c>
    </row>
    <row r="79" spans="1:12" s="2" customFormat="1" ht="15">
      <c r="A79" s="4" t="str">
        <f>F_Inputs_adjusted!A82</f>
        <v>SRN</v>
      </c>
      <c r="B79" s="4" t="str">
        <f>F_Inputs_adjusted!B82</f>
        <v>CWW12_054TOT_PR24</v>
      </c>
      <c r="C79" s="4" t="str">
        <f>F_Inputs_adjusted!C82</f>
        <v>EA/NRW environmental programme wastewater (WINEP/NEP) - Chemicals and emerging contaminants monitoring, investigations, options appraisals; (WINEP/NEP) wastewater totex - Total</v>
      </c>
      <c r="D79" s="4" t="str">
        <f>F_Inputs_adjusted!D82</f>
        <v>£m</v>
      </c>
      <c r="E79" s="4" t="str">
        <f>F_Inputs_adjusted!E82</f>
        <v>Price Review 2024</v>
      </c>
      <c r="F79" s="4">
        <f>F_Inputs_adjusted!N82</f>
        <v>0</v>
      </c>
      <c r="G79" s="4">
        <f>F_Inputs_adjusted!O82</f>
        <v>0</v>
      </c>
      <c r="H79" s="4">
        <f>F_Inputs_adjusted!P82</f>
        <v>0</v>
      </c>
      <c r="I79" s="4">
        <f>F_Inputs_adjusted!Q82</f>
        <v>0</v>
      </c>
      <c r="J79" s="4">
        <f>F_Inputs_adjusted!R82</f>
        <v>0</v>
      </c>
      <c r="K79" s="4">
        <f>F_Inputs_adjusted!S82</f>
        <v>0</v>
      </c>
      <c r="L79" s="4">
        <f>F_Inputs_adjusted!T82</f>
        <v>0</v>
      </c>
    </row>
    <row r="80" spans="1:12" s="2" customFormat="1" ht="15">
      <c r="A80" s="4" t="str">
        <f>F_Inputs_adjusted!A83</f>
        <v>SRN</v>
      </c>
      <c r="B80" s="4" t="str">
        <f>F_Inputs_adjusted!B83</f>
        <v>CWW17_054TOT_PR24</v>
      </c>
      <c r="C80" s="4" t="str">
        <f>F_Inputs_adjusted!C83</f>
        <v>EA/NRW environmental programme wastewater (WINEP/NEP) - Chemicals and emerging contaminants monitoring, investigations, options appraisals; (WINEP/NEP) wastewater totex - Total</v>
      </c>
      <c r="D80" s="4" t="str">
        <f>F_Inputs_adjusted!D83</f>
        <v>£m</v>
      </c>
      <c r="E80" s="4" t="str">
        <f>F_Inputs_adjusted!E83</f>
        <v>Price Review 2024</v>
      </c>
      <c r="F80" s="4">
        <f>F_Inputs_adjusted!N83</f>
        <v>0</v>
      </c>
      <c r="G80" s="4">
        <f>F_Inputs_adjusted!O83</f>
        <v>0</v>
      </c>
      <c r="H80" s="4">
        <f>F_Inputs_adjusted!P83</f>
        <v>0</v>
      </c>
      <c r="I80" s="4">
        <f>F_Inputs_adjusted!Q83</f>
        <v>0</v>
      </c>
      <c r="J80" s="4">
        <f>F_Inputs_adjusted!R83</f>
        <v>0</v>
      </c>
      <c r="K80" s="4">
        <f>F_Inputs_adjusted!S83</f>
        <v>0</v>
      </c>
      <c r="L80" s="4">
        <f>F_Inputs_adjusted!T83</f>
        <v>0</v>
      </c>
    </row>
    <row r="81" spans="1:12" s="2" customFormat="1" ht="15">
      <c r="A81" s="4" t="str">
        <f>F_Inputs_adjusted!A84</f>
        <v>SRN</v>
      </c>
      <c r="B81" s="4" t="str">
        <f>F_Inputs_adjusted!B84</f>
        <v>PR24_NETTOTEX_WASTE</v>
      </c>
      <c r="C81" s="4" t="str">
        <f>F_Inputs_adjusted!C84</f>
        <v>PR24 BP Net totex - Total inc. accelerated &amp; transition costs</v>
      </c>
      <c r="D81" s="4" t="str">
        <f>F_Inputs_adjusted!D84</f>
        <v>£m</v>
      </c>
      <c r="E81" s="4" t="str">
        <f>F_Inputs_adjusted!E84</f>
        <v>Price Review 2024</v>
      </c>
      <c r="F81" s="4">
        <f>F_Inputs_adjusted!N84</f>
        <v>0</v>
      </c>
      <c r="G81" s="4">
        <f>F_Inputs_adjusted!O84</f>
        <v>0</v>
      </c>
      <c r="H81" s="4">
        <f>F_Inputs_adjusted!P84</f>
        <v>0</v>
      </c>
      <c r="I81" s="4">
        <f>F_Inputs_adjusted!Q84</f>
        <v>0</v>
      </c>
      <c r="J81" s="4">
        <f>F_Inputs_adjusted!R84</f>
        <v>0</v>
      </c>
      <c r="K81" s="4">
        <f>F_Inputs_adjusted!S84</f>
        <v>0</v>
      </c>
      <c r="L81" s="4">
        <f>F_Inputs_adjusted!T84</f>
        <v>0</v>
      </c>
    </row>
    <row r="82" spans="1:12" s="2" customFormat="1" ht="15">
      <c r="A82" s="4" t="str">
        <f>F_Inputs_adjusted!A85</f>
        <v>TMS</v>
      </c>
      <c r="B82" s="4" t="str">
        <f>F_Inputs_adjusted!B85</f>
        <v>CWW3_052TOT_PR24</v>
      </c>
      <c r="C82" s="4" t="str">
        <f>F_Inputs_adjusted!C85</f>
        <v>EA/NRW environmental programme wastewater (WINEP/NEP) - Chemicals and emerging contaminants monitoring, investigations, options appraisals; (WINEP/NEP) wastewater capex - Total</v>
      </c>
      <c r="D82" s="4" t="str">
        <f>F_Inputs_adjusted!D85</f>
        <v>£m</v>
      </c>
      <c r="E82" s="4" t="str">
        <f>F_Inputs_adjusted!E85</f>
        <v>Price Review 2024</v>
      </c>
      <c r="F82" s="4">
        <f>F_Inputs_adjusted!N85</f>
        <v>0</v>
      </c>
      <c r="G82" s="4">
        <f>F_Inputs_adjusted!O85</f>
        <v>0</v>
      </c>
      <c r="H82" s="4">
        <f>F_Inputs_adjusted!P85</f>
        <v>1.177</v>
      </c>
      <c r="I82" s="4">
        <f>F_Inputs_adjusted!Q85</f>
        <v>1.1830000000000001</v>
      </c>
      <c r="J82" s="4">
        <f>F_Inputs_adjusted!R85</f>
        <v>0.59399999999999997</v>
      </c>
      <c r="K82" s="4">
        <f>F_Inputs_adjusted!S85</f>
        <v>0</v>
      </c>
      <c r="L82" s="4">
        <f>F_Inputs_adjusted!T85</f>
        <v>0</v>
      </c>
    </row>
    <row r="83" spans="1:12" s="2" customFormat="1" ht="15">
      <c r="A83" s="4" t="str">
        <f>F_Inputs_adjusted!A86</f>
        <v>TMS</v>
      </c>
      <c r="B83" s="4" t="str">
        <f>F_Inputs_adjusted!B86</f>
        <v>CWW3_053TOT_PR24</v>
      </c>
      <c r="C83" s="4" t="str">
        <f>F_Inputs_adjusted!C86</f>
        <v>EA/NRW environmental programme wastewater (WINEP/NEP) - Chemicals and emerging contaminants monitoring, investigations, options appraisals; (WINEP/NEP) wastewater opex - Total</v>
      </c>
      <c r="D83" s="4" t="str">
        <f>F_Inputs_adjusted!D86</f>
        <v>£m</v>
      </c>
      <c r="E83" s="4" t="str">
        <f>F_Inputs_adjusted!E86</f>
        <v>Price Review 2024</v>
      </c>
      <c r="F83" s="4">
        <f>F_Inputs_adjusted!N86</f>
        <v>0</v>
      </c>
      <c r="G83" s="4">
        <f>F_Inputs_adjusted!O86</f>
        <v>0</v>
      </c>
      <c r="H83" s="4">
        <f>F_Inputs_adjusted!P86</f>
        <v>0.57499999999999996</v>
      </c>
      <c r="I83" s="4">
        <f>F_Inputs_adjusted!Q86</f>
        <v>1.429</v>
      </c>
      <c r="J83" s="4">
        <f>F_Inputs_adjusted!R86</f>
        <v>2.1930000000000001</v>
      </c>
      <c r="K83" s="4">
        <f>F_Inputs_adjusted!S86</f>
        <v>8.5000000000000006E-2</v>
      </c>
      <c r="L83" s="4">
        <f>F_Inputs_adjusted!T86</f>
        <v>8.5999999999999993E-2</v>
      </c>
    </row>
    <row r="84" spans="1:12" s="2" customFormat="1" ht="15">
      <c r="A84" s="4" t="str">
        <f>F_Inputs_adjusted!A87</f>
        <v>TMS</v>
      </c>
      <c r="B84" s="4" t="str">
        <f>F_Inputs_adjusted!B87</f>
        <v>CWW3_054TOT_PR24</v>
      </c>
      <c r="C84" s="4" t="str">
        <f>F_Inputs_adjusted!C87</f>
        <v>EA/NRW environmental programme wastewater (WINEP/NEP) - Chemicals and emerging contaminants monitoring, investigations, options appraisals; (WINEP/NEP) wastewater totex - Total</v>
      </c>
      <c r="D84" s="4" t="str">
        <f>F_Inputs_adjusted!D87</f>
        <v>£m</v>
      </c>
      <c r="E84" s="4" t="str">
        <f>F_Inputs_adjusted!E87</f>
        <v>Price Review 2024</v>
      </c>
      <c r="F84" s="4">
        <f>F_Inputs_adjusted!N87</f>
        <v>0</v>
      </c>
      <c r="G84" s="4">
        <f>F_Inputs_adjusted!O87</f>
        <v>0</v>
      </c>
      <c r="H84" s="4">
        <f>F_Inputs_adjusted!P87</f>
        <v>1.752</v>
      </c>
      <c r="I84" s="4">
        <f>F_Inputs_adjusted!Q87</f>
        <v>2.6120000000000001</v>
      </c>
      <c r="J84" s="4">
        <f>F_Inputs_adjusted!R87</f>
        <v>2.7869999999999999</v>
      </c>
      <c r="K84" s="4">
        <f>F_Inputs_adjusted!S87</f>
        <v>8.5000000000000006E-2</v>
      </c>
      <c r="L84" s="4">
        <f>F_Inputs_adjusted!T87</f>
        <v>8.5999999999999993E-2</v>
      </c>
    </row>
    <row r="85" spans="1:12" s="2" customFormat="1" ht="15">
      <c r="A85" s="4" t="str">
        <f>F_Inputs_adjusted!A88</f>
        <v>TMS</v>
      </c>
      <c r="B85" s="4" t="str">
        <f>F_Inputs_adjusted!B88</f>
        <v>BN1603_PR24</v>
      </c>
      <c r="C85" s="4" t="str">
        <f>F_Inputs_adjusted!C88</f>
        <v>Sewage treatment data - Current population equivalent served by STWs</v>
      </c>
      <c r="D85" s="4" t="str">
        <f>F_Inputs_adjusted!D88</f>
        <v>000s</v>
      </c>
      <c r="E85" s="4" t="str">
        <f>F_Inputs_adjusted!E88</f>
        <v>Price Review 2024</v>
      </c>
      <c r="F85" s="4">
        <f>F_Inputs_adjusted!N88</f>
        <v>15428.745999999999</v>
      </c>
      <c r="G85" s="4">
        <f>F_Inputs_adjusted!O88</f>
        <v>15703.163270516319</v>
      </c>
      <c r="H85" s="4">
        <f>F_Inputs_adjusted!P88</f>
        <v>15862.103270516331</v>
      </c>
      <c r="I85" s="4">
        <f>F_Inputs_adjusted!Q88</f>
        <v>16007.703270516329</v>
      </c>
      <c r="J85" s="4">
        <f>F_Inputs_adjusted!R88</f>
        <v>16139.98327051633</v>
      </c>
      <c r="K85" s="4">
        <f>F_Inputs_adjusted!S88</f>
        <v>16266.33327051633</v>
      </c>
      <c r="L85" s="4">
        <f>F_Inputs_adjusted!T88</f>
        <v>16369.74327051633</v>
      </c>
    </row>
    <row r="86" spans="1:12" s="2" customFormat="1" ht="15">
      <c r="A86" s="4" t="str">
        <f>F_Inputs_adjusted!A89</f>
        <v>TMS</v>
      </c>
      <c r="B86" s="4" t="str">
        <f>F_Inputs_adjusted!B89</f>
        <v>CWW12_052TOT_PR24</v>
      </c>
      <c r="C86" s="4" t="str">
        <f>F_Inputs_adjusted!C89</f>
        <v>EA/NRW environmental programme wastewater (WINEP/NEP) - Chemicals and emerging contaminants monitoring, investigations, options appraisals; (WINEP/NEP) wastewater capex - Total</v>
      </c>
      <c r="D86" s="4" t="str">
        <f>F_Inputs_adjusted!D89</f>
        <v>£m</v>
      </c>
      <c r="E86" s="4" t="str">
        <f>F_Inputs_adjusted!E89</f>
        <v>Price Review 2024</v>
      </c>
      <c r="F86" s="4">
        <f>F_Inputs_adjusted!N89</f>
        <v>0</v>
      </c>
      <c r="G86" s="4">
        <f>F_Inputs_adjusted!O89</f>
        <v>0</v>
      </c>
      <c r="H86" s="4">
        <f>F_Inputs_adjusted!P89</f>
        <v>0</v>
      </c>
      <c r="I86" s="4">
        <f>F_Inputs_adjusted!Q89</f>
        <v>0</v>
      </c>
      <c r="J86" s="4">
        <f>F_Inputs_adjusted!R89</f>
        <v>0</v>
      </c>
      <c r="K86" s="4">
        <f>F_Inputs_adjusted!S89</f>
        <v>0</v>
      </c>
      <c r="L86" s="4">
        <f>F_Inputs_adjusted!T89</f>
        <v>0</v>
      </c>
    </row>
    <row r="87" spans="1:12" s="2" customFormat="1" ht="15">
      <c r="A87" s="4" t="str">
        <f>F_Inputs_adjusted!A90</f>
        <v>TMS</v>
      </c>
      <c r="B87" s="4" t="str">
        <f>F_Inputs_adjusted!B90</f>
        <v>CWW17_052TOT_PR24</v>
      </c>
      <c r="C87" s="4" t="str">
        <f>F_Inputs_adjusted!C90</f>
        <v>EA/NRW environmental programme wastewater (WINEP/NEP) - Chemicals and emerging contaminants monitoring, investigations, options appraisals; (WINEP/NEP) wastewater capex - Total</v>
      </c>
      <c r="D87" s="4" t="str">
        <f>F_Inputs_adjusted!D90</f>
        <v>£m</v>
      </c>
      <c r="E87" s="4" t="str">
        <f>F_Inputs_adjusted!E90</f>
        <v>Price Review 2024</v>
      </c>
      <c r="F87" s="4">
        <f>F_Inputs_adjusted!N90</f>
        <v>0</v>
      </c>
      <c r="G87" s="4">
        <f>F_Inputs_adjusted!O90</f>
        <v>0</v>
      </c>
      <c r="H87" s="4">
        <f>F_Inputs_adjusted!P90</f>
        <v>0</v>
      </c>
      <c r="I87" s="4">
        <f>F_Inputs_adjusted!Q90</f>
        <v>0</v>
      </c>
      <c r="J87" s="4">
        <f>F_Inputs_adjusted!R90</f>
        <v>0</v>
      </c>
      <c r="K87" s="4">
        <f>F_Inputs_adjusted!S90</f>
        <v>0</v>
      </c>
      <c r="L87" s="4">
        <f>F_Inputs_adjusted!T90</f>
        <v>0</v>
      </c>
    </row>
    <row r="88" spans="1:12" s="2" customFormat="1" ht="15">
      <c r="A88" s="4" t="str">
        <f>F_Inputs_adjusted!A91</f>
        <v>TMS</v>
      </c>
      <c r="B88" s="4" t="str">
        <f>F_Inputs_adjusted!B91</f>
        <v>CWW12_053TOT_PR24</v>
      </c>
      <c r="C88" s="4" t="str">
        <f>F_Inputs_adjusted!C91</f>
        <v>EA/NRW environmental programme wastewater (WINEP/NEP) - Chemicals and emerging contaminants monitoring, investigations, options appraisals; (WINEP/NEP) wastewater opex - Total</v>
      </c>
      <c r="D88" s="4" t="str">
        <f>F_Inputs_adjusted!D91</f>
        <v>£m</v>
      </c>
      <c r="E88" s="4" t="str">
        <f>F_Inputs_adjusted!E91</f>
        <v>Price Review 2024</v>
      </c>
      <c r="F88" s="4">
        <f>F_Inputs_adjusted!N91</f>
        <v>0</v>
      </c>
      <c r="G88" s="4">
        <f>F_Inputs_adjusted!O91</f>
        <v>0</v>
      </c>
      <c r="H88" s="4">
        <f>F_Inputs_adjusted!P91</f>
        <v>0</v>
      </c>
      <c r="I88" s="4">
        <f>F_Inputs_adjusted!Q91</f>
        <v>0</v>
      </c>
      <c r="J88" s="4">
        <f>F_Inputs_adjusted!R91</f>
        <v>0</v>
      </c>
      <c r="K88" s="4">
        <f>F_Inputs_adjusted!S91</f>
        <v>0</v>
      </c>
      <c r="L88" s="4">
        <f>F_Inputs_adjusted!T91</f>
        <v>0</v>
      </c>
    </row>
    <row r="89" spans="1:12" s="2" customFormat="1" ht="15">
      <c r="A89" s="4" t="str">
        <f>F_Inputs_adjusted!A92</f>
        <v>TMS</v>
      </c>
      <c r="B89" s="4" t="str">
        <f>F_Inputs_adjusted!B92</f>
        <v>CWW17_053TOT_PR24</v>
      </c>
      <c r="C89" s="4" t="str">
        <f>F_Inputs_adjusted!C92</f>
        <v>EA/NRW environmental programme wastewater (WINEP/NEP) - Chemicals and emerging contaminants monitoring, investigations, options appraisals; (WINEP/NEP) wastewater opex - Total</v>
      </c>
      <c r="D89" s="4" t="str">
        <f>F_Inputs_adjusted!D92</f>
        <v>£m</v>
      </c>
      <c r="E89" s="4" t="str">
        <f>F_Inputs_adjusted!E92</f>
        <v>Price Review 2024</v>
      </c>
      <c r="F89" s="4">
        <f>F_Inputs_adjusted!N92</f>
        <v>0</v>
      </c>
      <c r="G89" s="4">
        <f>F_Inputs_adjusted!O92</f>
        <v>0</v>
      </c>
      <c r="H89" s="4">
        <f>F_Inputs_adjusted!P92</f>
        <v>0</v>
      </c>
      <c r="I89" s="4">
        <f>F_Inputs_adjusted!Q92</f>
        <v>0</v>
      </c>
      <c r="J89" s="4">
        <f>F_Inputs_adjusted!R92</f>
        <v>0</v>
      </c>
      <c r="K89" s="4">
        <f>F_Inputs_adjusted!S92</f>
        <v>0</v>
      </c>
      <c r="L89" s="4">
        <f>F_Inputs_adjusted!T92</f>
        <v>0</v>
      </c>
    </row>
    <row r="90" spans="1:12" s="2" customFormat="1" ht="15">
      <c r="A90" s="4" t="str">
        <f>F_Inputs_adjusted!A93</f>
        <v>TMS</v>
      </c>
      <c r="B90" s="4" t="str">
        <f>F_Inputs_adjusted!B93</f>
        <v>CWW12_054TOT_PR24</v>
      </c>
      <c r="C90" s="4" t="str">
        <f>F_Inputs_adjusted!C93</f>
        <v>EA/NRW environmental programme wastewater (WINEP/NEP) - Chemicals and emerging contaminants monitoring, investigations, options appraisals; (WINEP/NEP) wastewater totex - Total</v>
      </c>
      <c r="D90" s="4" t="str">
        <f>F_Inputs_adjusted!D93</f>
        <v>£m</v>
      </c>
      <c r="E90" s="4" t="str">
        <f>F_Inputs_adjusted!E93</f>
        <v>Price Review 2024</v>
      </c>
      <c r="F90" s="4">
        <f>F_Inputs_adjusted!N93</f>
        <v>0</v>
      </c>
      <c r="G90" s="4">
        <f>F_Inputs_adjusted!O93</f>
        <v>0</v>
      </c>
      <c r="H90" s="4">
        <f>F_Inputs_adjusted!P93</f>
        <v>0</v>
      </c>
      <c r="I90" s="4">
        <f>F_Inputs_adjusted!Q93</f>
        <v>0</v>
      </c>
      <c r="J90" s="4">
        <f>F_Inputs_adjusted!R93</f>
        <v>0</v>
      </c>
      <c r="K90" s="4">
        <f>F_Inputs_adjusted!S93</f>
        <v>0</v>
      </c>
      <c r="L90" s="4">
        <f>F_Inputs_adjusted!T93</f>
        <v>0</v>
      </c>
    </row>
    <row r="91" spans="1:12" s="2" customFormat="1" ht="15">
      <c r="A91" s="4" t="str">
        <f>F_Inputs_adjusted!A94</f>
        <v>TMS</v>
      </c>
      <c r="B91" s="4" t="str">
        <f>F_Inputs_adjusted!B94</f>
        <v>CWW17_054TOT_PR24</v>
      </c>
      <c r="C91" s="4" t="str">
        <f>F_Inputs_adjusted!C94</f>
        <v>EA/NRW environmental programme wastewater (WINEP/NEP) - Chemicals and emerging contaminants monitoring, investigations, options appraisals; (WINEP/NEP) wastewater totex - Total</v>
      </c>
      <c r="D91" s="4" t="str">
        <f>F_Inputs_adjusted!D94</f>
        <v>£m</v>
      </c>
      <c r="E91" s="4" t="str">
        <f>F_Inputs_adjusted!E94</f>
        <v>Price Review 2024</v>
      </c>
      <c r="F91" s="4">
        <f>F_Inputs_adjusted!N94</f>
        <v>0</v>
      </c>
      <c r="G91" s="4">
        <f>F_Inputs_adjusted!O94</f>
        <v>0</v>
      </c>
      <c r="H91" s="4">
        <f>F_Inputs_adjusted!P94</f>
        <v>0</v>
      </c>
      <c r="I91" s="4">
        <f>F_Inputs_adjusted!Q94</f>
        <v>0</v>
      </c>
      <c r="J91" s="4">
        <f>F_Inputs_adjusted!R94</f>
        <v>0</v>
      </c>
      <c r="K91" s="4">
        <f>F_Inputs_adjusted!S94</f>
        <v>0</v>
      </c>
      <c r="L91" s="4">
        <f>F_Inputs_adjusted!T94</f>
        <v>0</v>
      </c>
    </row>
    <row r="92" spans="1:12" s="2" customFormat="1" ht="15">
      <c r="A92" s="4" t="str">
        <f>F_Inputs_adjusted!A95</f>
        <v>TMS</v>
      </c>
      <c r="B92" s="4" t="str">
        <f>F_Inputs_adjusted!B95</f>
        <v>PR24_NETTOTEX_WASTE</v>
      </c>
      <c r="C92" s="4" t="str">
        <f>F_Inputs_adjusted!C95</f>
        <v>PR24 BP Net totex - Total inc. accelerated &amp; transition costs</v>
      </c>
      <c r="D92" s="4" t="str">
        <f>F_Inputs_adjusted!D95</f>
        <v>£m</v>
      </c>
      <c r="E92" s="4" t="str">
        <f>F_Inputs_adjusted!E95</f>
        <v>Price Review 2024</v>
      </c>
      <c r="F92" s="4">
        <f>F_Inputs_adjusted!N95</f>
        <v>0</v>
      </c>
      <c r="G92" s="4">
        <f>F_Inputs_adjusted!O95</f>
        <v>0</v>
      </c>
      <c r="H92" s="4">
        <f>F_Inputs_adjusted!P95</f>
        <v>0</v>
      </c>
      <c r="I92" s="4">
        <f>F_Inputs_adjusted!Q95</f>
        <v>0</v>
      </c>
      <c r="J92" s="4">
        <f>F_Inputs_adjusted!R95</f>
        <v>0</v>
      </c>
      <c r="K92" s="4">
        <f>F_Inputs_adjusted!S95</f>
        <v>0</v>
      </c>
      <c r="L92" s="4">
        <f>F_Inputs_adjusted!T95</f>
        <v>0</v>
      </c>
    </row>
    <row r="93" spans="1:12" s="2" customFormat="1" ht="15">
      <c r="A93" s="4" t="str">
        <f>F_Inputs_adjusted!A96</f>
        <v>NWT</v>
      </c>
      <c r="B93" s="4" t="str">
        <f>F_Inputs_adjusted!B96</f>
        <v>CWW3_052TOT_PR24</v>
      </c>
      <c r="C93" s="4" t="str">
        <f>F_Inputs_adjusted!C96</f>
        <v>EA/NRW environmental programme wastewater (WINEP/NEP) - Chemicals and emerging contaminants monitoring, investigations, options appraisals; (WINEP/NEP) wastewater capex - Total</v>
      </c>
      <c r="D93" s="4" t="str">
        <f>F_Inputs_adjusted!D96</f>
        <v>£m</v>
      </c>
      <c r="E93" s="4" t="str">
        <f>F_Inputs_adjusted!E96</f>
        <v>Price Review 2024</v>
      </c>
      <c r="F93" s="4">
        <f>F_Inputs_adjusted!N96</f>
        <v>0</v>
      </c>
      <c r="G93" s="4">
        <f>F_Inputs_adjusted!O96</f>
        <v>0</v>
      </c>
      <c r="H93" s="4">
        <f>F_Inputs_adjusted!P96</f>
        <v>3.24249915219084</v>
      </c>
      <c r="I93" s="4">
        <f>F_Inputs_adjusted!Q96</f>
        <v>2.681757880249751</v>
      </c>
      <c r="J93" s="4">
        <f>F_Inputs_adjusted!R96</f>
        <v>2.6708585818780169E-2</v>
      </c>
      <c r="K93" s="4">
        <f>F_Inputs_adjusted!S96</f>
        <v>4.8949017942832122E-2</v>
      </c>
      <c r="L93" s="4">
        <f>F_Inputs_adjusted!T96</f>
        <v>2.723625577579002E-2</v>
      </c>
    </row>
    <row r="94" spans="1:12" s="2" customFormat="1" ht="15">
      <c r="A94" s="4" t="str">
        <f>F_Inputs_adjusted!A97</f>
        <v>NWT</v>
      </c>
      <c r="B94" s="4" t="str">
        <f>F_Inputs_adjusted!B97</f>
        <v>CWW3_053TOT_PR24</v>
      </c>
      <c r="C94" s="4" t="str">
        <f>F_Inputs_adjusted!C97</f>
        <v>EA/NRW environmental programme wastewater (WINEP/NEP) - Chemicals and emerging contaminants monitoring, investigations, options appraisals; (WINEP/NEP) wastewater opex - Total</v>
      </c>
      <c r="D94" s="4" t="str">
        <f>F_Inputs_adjusted!D97</f>
        <v>£m</v>
      </c>
      <c r="E94" s="4" t="str">
        <f>F_Inputs_adjusted!E97</f>
        <v>Price Review 2024</v>
      </c>
      <c r="F94" s="4">
        <f>F_Inputs_adjusted!N97</f>
        <v>0</v>
      </c>
      <c r="G94" s="4">
        <f>F_Inputs_adjusted!O97</f>
        <v>0</v>
      </c>
      <c r="H94" s="4">
        <f>F_Inputs_adjusted!P97</f>
        <v>0</v>
      </c>
      <c r="I94" s="4">
        <f>F_Inputs_adjusted!Q97</f>
        <v>0</v>
      </c>
      <c r="J94" s="4">
        <f>F_Inputs_adjusted!R97</f>
        <v>7.2939106740041622E-3</v>
      </c>
      <c r="K94" s="4">
        <f>F_Inputs_adjusted!S97</f>
        <v>7.407598233106401E-3</v>
      </c>
      <c r="L94" s="4">
        <f>F_Inputs_adjusted!T97</f>
        <v>7.3847520989665369E-3</v>
      </c>
    </row>
    <row r="95" spans="1:12" s="2" customFormat="1" ht="15">
      <c r="A95" s="4" t="str">
        <f>F_Inputs_adjusted!A98</f>
        <v>NWT</v>
      </c>
      <c r="B95" s="4" t="str">
        <f>F_Inputs_adjusted!B98</f>
        <v>CWW3_054TOT_PR24</v>
      </c>
      <c r="C95" s="4" t="str">
        <f>F_Inputs_adjusted!C98</f>
        <v>EA/NRW environmental programme wastewater (WINEP/NEP) - Chemicals and emerging contaminants monitoring, investigations, options appraisals; (WINEP/NEP) wastewater totex - Total</v>
      </c>
      <c r="D95" s="4" t="str">
        <f>F_Inputs_adjusted!D98</f>
        <v>£m</v>
      </c>
      <c r="E95" s="4" t="str">
        <f>F_Inputs_adjusted!E98</f>
        <v>Price Review 2024</v>
      </c>
      <c r="F95" s="4">
        <f>F_Inputs_adjusted!N98</f>
        <v>0</v>
      </c>
      <c r="G95" s="4">
        <f>F_Inputs_adjusted!O98</f>
        <v>0</v>
      </c>
      <c r="H95" s="4">
        <f>F_Inputs_adjusted!P98</f>
        <v>3.24249915219084</v>
      </c>
      <c r="I95" s="4">
        <f>F_Inputs_adjusted!Q98</f>
        <v>2.681757880249751</v>
      </c>
      <c r="J95" s="4">
        <f>F_Inputs_adjusted!R98</f>
        <v>3.4002496492784327E-2</v>
      </c>
      <c r="K95" s="4">
        <f>F_Inputs_adjusted!S98</f>
        <v>5.6356616175938533E-2</v>
      </c>
      <c r="L95" s="4">
        <f>F_Inputs_adjusted!T98</f>
        <v>3.4621007874756547E-2</v>
      </c>
    </row>
    <row r="96" spans="1:12" s="2" customFormat="1" ht="15">
      <c r="A96" s="4" t="str">
        <f>F_Inputs_adjusted!A99</f>
        <v>NWT</v>
      </c>
      <c r="B96" s="4" t="str">
        <f>F_Inputs_adjusted!B99</f>
        <v>BN1603_PR24</v>
      </c>
      <c r="C96" s="4" t="str">
        <f>F_Inputs_adjusted!C99</f>
        <v>Sewage treatment data - Current population equivalent served by STWs</v>
      </c>
      <c r="D96" s="4" t="str">
        <f>F_Inputs_adjusted!D99</f>
        <v>000s</v>
      </c>
      <c r="E96" s="4" t="str">
        <f>F_Inputs_adjusted!E99</f>
        <v>Price Review 2024</v>
      </c>
      <c r="F96" s="4">
        <f>F_Inputs_adjusted!N99</f>
        <v>8857.8136265519515</v>
      </c>
      <c r="G96" s="4">
        <f>F_Inputs_adjusted!O99</f>
        <v>9108.1712246259121</v>
      </c>
      <c r="H96" s="4">
        <f>F_Inputs_adjusted!P99</f>
        <v>9152.5088208313791</v>
      </c>
      <c r="I96" s="4">
        <f>F_Inputs_adjusted!Q99</f>
        <v>9195.4192354562092</v>
      </c>
      <c r="J96" s="4">
        <f>F_Inputs_adjusted!R99</f>
        <v>9238.7504614982663</v>
      </c>
      <c r="K96" s="4">
        <f>F_Inputs_adjusted!S99</f>
        <v>9279.6902324039256</v>
      </c>
      <c r="L96" s="4">
        <f>F_Inputs_adjusted!T99</f>
        <v>9318.818686880124</v>
      </c>
    </row>
    <row r="97" spans="1:12" s="2" customFormat="1" ht="15">
      <c r="A97" s="4" t="str">
        <f>F_Inputs_adjusted!A100</f>
        <v>NWT</v>
      </c>
      <c r="B97" s="4" t="str">
        <f>F_Inputs_adjusted!B100</f>
        <v>CWW12_052TOT_PR24</v>
      </c>
      <c r="C97" s="4" t="str">
        <f>F_Inputs_adjusted!C100</f>
        <v>EA/NRW environmental programme wastewater (WINEP/NEP) - Chemicals and emerging contaminants monitoring, investigations, options appraisals; (WINEP/NEP) wastewater capex - Total</v>
      </c>
      <c r="D97" s="4" t="str">
        <f>F_Inputs_adjusted!D100</f>
        <v>£m</v>
      </c>
      <c r="E97" s="4" t="str">
        <f>F_Inputs_adjusted!E100</f>
        <v>Price Review 2024</v>
      </c>
      <c r="F97" s="4">
        <f>F_Inputs_adjusted!N100</f>
        <v>0.31084484288372688</v>
      </c>
      <c r="G97" s="4">
        <f>F_Inputs_adjusted!O100</f>
        <v>2.019469543117149</v>
      </c>
      <c r="H97" s="4">
        <f>F_Inputs_adjusted!P100</f>
        <v>0</v>
      </c>
      <c r="I97" s="4">
        <f>F_Inputs_adjusted!Q100</f>
        <v>0</v>
      </c>
      <c r="J97" s="4">
        <f>F_Inputs_adjusted!R100</f>
        <v>0</v>
      </c>
      <c r="K97" s="4">
        <f>F_Inputs_adjusted!S100</f>
        <v>0</v>
      </c>
      <c r="L97" s="4">
        <f>F_Inputs_adjusted!T100</f>
        <v>0</v>
      </c>
    </row>
    <row r="98" spans="1:12" s="2" customFormat="1" ht="15">
      <c r="A98" s="4" t="str">
        <f>F_Inputs_adjusted!A101</f>
        <v>NWT</v>
      </c>
      <c r="B98" s="4" t="str">
        <f>F_Inputs_adjusted!B101</f>
        <v>CWW17_052TOT_PR24</v>
      </c>
      <c r="C98" s="4" t="str">
        <f>F_Inputs_adjusted!C101</f>
        <v>EA/NRW environmental programme wastewater (WINEP/NEP) - Chemicals and emerging contaminants monitoring, investigations, options appraisals; (WINEP/NEP) wastewater capex - Total</v>
      </c>
      <c r="D98" s="4" t="str">
        <f>F_Inputs_adjusted!D101</f>
        <v>£m</v>
      </c>
      <c r="E98" s="4" t="str">
        <f>F_Inputs_adjusted!E101</f>
        <v>Price Review 2024</v>
      </c>
      <c r="F98" s="4">
        <f>F_Inputs_adjusted!N101</f>
        <v>0</v>
      </c>
      <c r="G98" s="4">
        <f>F_Inputs_adjusted!O101</f>
        <v>0</v>
      </c>
      <c r="H98" s="4">
        <f>F_Inputs_adjusted!P101</f>
        <v>0</v>
      </c>
      <c r="I98" s="4">
        <f>F_Inputs_adjusted!Q101</f>
        <v>0</v>
      </c>
      <c r="J98" s="4">
        <f>F_Inputs_adjusted!R101</f>
        <v>0</v>
      </c>
      <c r="K98" s="4">
        <f>F_Inputs_adjusted!S101</f>
        <v>0</v>
      </c>
      <c r="L98" s="4">
        <f>F_Inputs_adjusted!T101</f>
        <v>0</v>
      </c>
    </row>
    <row r="99" spans="1:12" s="2" customFormat="1" ht="15">
      <c r="A99" s="4" t="str">
        <f>F_Inputs_adjusted!A102</f>
        <v>NWT</v>
      </c>
      <c r="B99" s="4" t="str">
        <f>F_Inputs_adjusted!B102</f>
        <v>CWW12_053TOT_PR24</v>
      </c>
      <c r="C99" s="4" t="str">
        <f>F_Inputs_adjusted!C102</f>
        <v>EA/NRW environmental programme wastewater (WINEP/NEP) - Chemicals and emerging contaminants monitoring, investigations, options appraisals; (WINEP/NEP) wastewater opex - Total</v>
      </c>
      <c r="D99" s="4" t="str">
        <f>F_Inputs_adjusted!D102</f>
        <v>£m</v>
      </c>
      <c r="E99" s="4" t="str">
        <f>F_Inputs_adjusted!E102</f>
        <v>Price Review 2024</v>
      </c>
      <c r="F99" s="4">
        <f>F_Inputs_adjusted!N102</f>
        <v>0</v>
      </c>
      <c r="G99" s="4">
        <f>F_Inputs_adjusted!O102</f>
        <v>0</v>
      </c>
      <c r="H99" s="4">
        <f>F_Inputs_adjusted!P102</f>
        <v>0</v>
      </c>
      <c r="I99" s="4">
        <f>F_Inputs_adjusted!Q102</f>
        <v>0</v>
      </c>
      <c r="J99" s="4">
        <f>F_Inputs_adjusted!R102</f>
        <v>0</v>
      </c>
      <c r="K99" s="4">
        <f>F_Inputs_adjusted!S102</f>
        <v>0</v>
      </c>
      <c r="L99" s="4">
        <f>F_Inputs_adjusted!T102</f>
        <v>0</v>
      </c>
    </row>
    <row r="100" spans="1:12" s="2" customFormat="1" ht="15">
      <c r="A100" s="4" t="str">
        <f>F_Inputs_adjusted!A103</f>
        <v>NWT</v>
      </c>
      <c r="B100" s="4" t="str">
        <f>F_Inputs_adjusted!B103</f>
        <v>CWW17_053TOT_PR24</v>
      </c>
      <c r="C100" s="4" t="str">
        <f>F_Inputs_adjusted!C103</f>
        <v>EA/NRW environmental programme wastewater (WINEP/NEP) - Chemicals and emerging contaminants monitoring, investigations, options appraisals; (WINEP/NEP) wastewater opex - Total</v>
      </c>
      <c r="D100" s="4" t="str">
        <f>F_Inputs_adjusted!D103</f>
        <v>£m</v>
      </c>
      <c r="E100" s="4" t="str">
        <f>F_Inputs_adjusted!E103</f>
        <v>Price Review 2024</v>
      </c>
      <c r="F100" s="4">
        <f>F_Inputs_adjusted!N103</f>
        <v>0</v>
      </c>
      <c r="G100" s="4">
        <f>F_Inputs_adjusted!O103</f>
        <v>0</v>
      </c>
      <c r="H100" s="4">
        <f>F_Inputs_adjusted!P103</f>
        <v>0</v>
      </c>
      <c r="I100" s="4">
        <f>F_Inputs_adjusted!Q103</f>
        <v>0</v>
      </c>
      <c r="J100" s="4">
        <f>F_Inputs_adjusted!R103</f>
        <v>0</v>
      </c>
      <c r="K100" s="4">
        <f>F_Inputs_adjusted!S103</f>
        <v>0</v>
      </c>
      <c r="L100" s="4">
        <f>F_Inputs_adjusted!T103</f>
        <v>0</v>
      </c>
    </row>
    <row r="101" spans="1:12" s="2" customFormat="1" ht="15">
      <c r="A101" s="4" t="str">
        <f>F_Inputs_adjusted!A104</f>
        <v>NWT</v>
      </c>
      <c r="B101" s="4" t="str">
        <f>F_Inputs_adjusted!B104</f>
        <v>CWW12_054TOT_PR24</v>
      </c>
      <c r="C101" s="4" t="str">
        <f>F_Inputs_adjusted!C104</f>
        <v>EA/NRW environmental programme wastewater (WINEP/NEP) - Chemicals and emerging contaminants monitoring, investigations, options appraisals; (WINEP/NEP) wastewater totex - Total</v>
      </c>
      <c r="D101" s="4" t="str">
        <f>F_Inputs_adjusted!D104</f>
        <v>£m</v>
      </c>
      <c r="E101" s="4" t="str">
        <f>F_Inputs_adjusted!E104</f>
        <v>Price Review 2024</v>
      </c>
      <c r="F101" s="4">
        <f>F_Inputs_adjusted!N104</f>
        <v>0.31084484288372688</v>
      </c>
      <c r="G101" s="4">
        <f>F_Inputs_adjusted!O104</f>
        <v>2.019469543117149</v>
      </c>
      <c r="H101" s="4">
        <f>F_Inputs_adjusted!P104</f>
        <v>0</v>
      </c>
      <c r="I101" s="4">
        <f>F_Inputs_adjusted!Q104</f>
        <v>0</v>
      </c>
      <c r="J101" s="4">
        <f>F_Inputs_adjusted!R104</f>
        <v>0</v>
      </c>
      <c r="K101" s="4">
        <f>F_Inputs_adjusted!S104</f>
        <v>0</v>
      </c>
      <c r="L101" s="4">
        <f>F_Inputs_adjusted!T104</f>
        <v>0</v>
      </c>
    </row>
    <row r="102" spans="1:12" s="2" customFormat="1" ht="15">
      <c r="A102" s="4" t="str">
        <f>F_Inputs_adjusted!A105</f>
        <v>NWT</v>
      </c>
      <c r="B102" s="4" t="str">
        <f>F_Inputs_adjusted!B105</f>
        <v>CWW17_054TOT_PR24</v>
      </c>
      <c r="C102" s="4" t="str">
        <f>F_Inputs_adjusted!C105</f>
        <v>EA/NRW environmental programme wastewater (WINEP/NEP) - Chemicals and emerging contaminants monitoring, investigations, options appraisals; (WINEP/NEP) wastewater totex - Total</v>
      </c>
      <c r="D102" s="4" t="str">
        <f>F_Inputs_adjusted!D105</f>
        <v>£m</v>
      </c>
      <c r="E102" s="4" t="str">
        <f>F_Inputs_adjusted!E105</f>
        <v>Price Review 2024</v>
      </c>
      <c r="F102" s="4">
        <f>F_Inputs_adjusted!N105</f>
        <v>0</v>
      </c>
      <c r="G102" s="4">
        <f>F_Inputs_adjusted!O105</f>
        <v>0</v>
      </c>
      <c r="H102" s="4">
        <f>F_Inputs_adjusted!P105</f>
        <v>0</v>
      </c>
      <c r="I102" s="4">
        <f>F_Inputs_adjusted!Q105</f>
        <v>0</v>
      </c>
      <c r="J102" s="4">
        <f>F_Inputs_adjusted!R105</f>
        <v>0</v>
      </c>
      <c r="K102" s="4">
        <f>F_Inputs_adjusted!S105</f>
        <v>0</v>
      </c>
      <c r="L102" s="4">
        <f>F_Inputs_adjusted!T105</f>
        <v>0</v>
      </c>
    </row>
    <row r="103" spans="1:12" s="2" customFormat="1" ht="15">
      <c r="A103" s="4" t="str">
        <f>F_Inputs_adjusted!A106</f>
        <v>NWT</v>
      </c>
      <c r="B103" s="4" t="str">
        <f>F_Inputs_adjusted!B106</f>
        <v>PR24_NETTOTEX_WASTE</v>
      </c>
      <c r="C103" s="4" t="str">
        <f>F_Inputs_adjusted!C106</f>
        <v>PR24 BP Net totex - Total inc. accelerated &amp; transition costs</v>
      </c>
      <c r="D103" s="4" t="str">
        <f>F_Inputs_adjusted!D106</f>
        <v>£m</v>
      </c>
      <c r="E103" s="4" t="str">
        <f>F_Inputs_adjusted!E106</f>
        <v>Price Review 2024</v>
      </c>
      <c r="F103" s="4">
        <f>F_Inputs_adjusted!N106</f>
        <v>0</v>
      </c>
      <c r="G103" s="4">
        <f>F_Inputs_adjusted!O106</f>
        <v>0</v>
      </c>
      <c r="H103" s="4">
        <f>F_Inputs_adjusted!P106</f>
        <v>0</v>
      </c>
      <c r="I103" s="4">
        <f>F_Inputs_adjusted!Q106</f>
        <v>0</v>
      </c>
      <c r="J103" s="4">
        <f>F_Inputs_adjusted!R106</f>
        <v>0</v>
      </c>
      <c r="K103" s="4">
        <f>F_Inputs_adjusted!S106</f>
        <v>0</v>
      </c>
      <c r="L103" s="4">
        <f>F_Inputs_adjusted!T106</f>
        <v>0</v>
      </c>
    </row>
    <row r="104" spans="1:12" s="2" customFormat="1" ht="15">
      <c r="A104" s="4" t="str">
        <f>F_Inputs_adjusted!A107</f>
        <v>WSX</v>
      </c>
      <c r="B104" s="4" t="str">
        <f>F_Inputs_adjusted!B107</f>
        <v>CWW3_052TOT_PR24</v>
      </c>
      <c r="C104" s="4" t="str">
        <f>F_Inputs_adjusted!C107</f>
        <v>EA/NRW environmental programme wastewater (WINEP/NEP) - Chemicals and emerging contaminants monitoring, investigations, options appraisals; (WINEP/NEP) wastewater capex - Total</v>
      </c>
      <c r="D104" s="4" t="str">
        <f>F_Inputs_adjusted!D107</f>
        <v>£m</v>
      </c>
      <c r="E104" s="4" t="str">
        <f>F_Inputs_adjusted!E107</f>
        <v>Price Review 2024</v>
      </c>
      <c r="F104" s="4">
        <f>F_Inputs_adjusted!N107</f>
        <v>0</v>
      </c>
      <c r="G104" s="4">
        <f>F_Inputs_adjusted!O107</f>
        <v>0</v>
      </c>
      <c r="H104" s="4">
        <f>F_Inputs_adjusted!P107</f>
        <v>0</v>
      </c>
      <c r="I104" s="4">
        <f>F_Inputs_adjusted!Q107</f>
        <v>0</v>
      </c>
      <c r="J104" s="4">
        <f>F_Inputs_adjusted!R107</f>
        <v>0</v>
      </c>
      <c r="K104" s="4">
        <f>F_Inputs_adjusted!S107</f>
        <v>0</v>
      </c>
      <c r="L104" s="4">
        <f>F_Inputs_adjusted!T107</f>
        <v>0</v>
      </c>
    </row>
    <row r="105" spans="1:12" s="2" customFormat="1" ht="15">
      <c r="A105" s="4" t="str">
        <f>F_Inputs_adjusted!A108</f>
        <v>WSX</v>
      </c>
      <c r="B105" s="4" t="str">
        <f>F_Inputs_adjusted!B108</f>
        <v>CWW3_053TOT_PR24</v>
      </c>
      <c r="C105" s="4" t="str">
        <f>F_Inputs_adjusted!C108</f>
        <v>EA/NRW environmental programme wastewater (WINEP/NEP) - Chemicals and emerging contaminants monitoring, investigations, options appraisals; (WINEP/NEP) wastewater opex - Total</v>
      </c>
      <c r="D105" s="4" t="str">
        <f>F_Inputs_adjusted!D108</f>
        <v>£m</v>
      </c>
      <c r="E105" s="4" t="str">
        <f>F_Inputs_adjusted!E108</f>
        <v>Price Review 2024</v>
      </c>
      <c r="F105" s="4">
        <f>F_Inputs_adjusted!N108</f>
        <v>0</v>
      </c>
      <c r="G105" s="4">
        <f>F_Inputs_adjusted!O108</f>
        <v>0</v>
      </c>
      <c r="H105" s="4">
        <f>F_Inputs_adjusted!P108</f>
        <v>3.602735</v>
      </c>
      <c r="I105" s="4">
        <f>F_Inputs_adjusted!Q108</f>
        <v>3.3669609999999999</v>
      </c>
      <c r="J105" s="4">
        <f>F_Inputs_adjusted!R108</f>
        <v>1.3767480000000001</v>
      </c>
      <c r="K105" s="4">
        <f>F_Inputs_adjusted!S108</f>
        <v>0.60099900000000006</v>
      </c>
      <c r="L105" s="4">
        <f>F_Inputs_adjusted!T108</f>
        <v>0.110046</v>
      </c>
    </row>
    <row r="106" spans="1:12" s="2" customFormat="1" ht="15">
      <c r="A106" s="4" t="str">
        <f>F_Inputs_adjusted!A109</f>
        <v>WSX</v>
      </c>
      <c r="B106" s="4" t="str">
        <f>F_Inputs_adjusted!B109</f>
        <v>CWW3_054TOT_PR24</v>
      </c>
      <c r="C106" s="4" t="str">
        <f>F_Inputs_adjusted!C109</f>
        <v>EA/NRW environmental programme wastewater (WINEP/NEP) - Chemicals and emerging contaminants monitoring, investigations, options appraisals; (WINEP/NEP) wastewater totex - Total</v>
      </c>
      <c r="D106" s="4" t="str">
        <f>F_Inputs_adjusted!D109</f>
        <v>£m</v>
      </c>
      <c r="E106" s="4" t="str">
        <f>F_Inputs_adjusted!E109</f>
        <v>Price Review 2024</v>
      </c>
      <c r="F106" s="4">
        <f>F_Inputs_adjusted!N109</f>
        <v>0</v>
      </c>
      <c r="G106" s="4">
        <f>F_Inputs_adjusted!O109</f>
        <v>0</v>
      </c>
      <c r="H106" s="4">
        <f>F_Inputs_adjusted!P109</f>
        <v>3.602735</v>
      </c>
      <c r="I106" s="4">
        <f>F_Inputs_adjusted!Q109</f>
        <v>3.3669609999999999</v>
      </c>
      <c r="J106" s="4">
        <f>F_Inputs_adjusted!R109</f>
        <v>1.3767480000000001</v>
      </c>
      <c r="K106" s="4">
        <f>F_Inputs_adjusted!S109</f>
        <v>0.60099900000000006</v>
      </c>
      <c r="L106" s="4">
        <f>F_Inputs_adjusted!T109</f>
        <v>0.110046</v>
      </c>
    </row>
    <row r="107" spans="1:12" s="2" customFormat="1" ht="15">
      <c r="A107" s="4" t="str">
        <f>F_Inputs_adjusted!A110</f>
        <v>WSX</v>
      </c>
      <c r="B107" s="4" t="str">
        <f>F_Inputs_adjusted!B110</f>
        <v>BN1603_PR24</v>
      </c>
      <c r="C107" s="4" t="str">
        <f>F_Inputs_adjusted!C110</f>
        <v>Sewage treatment data - Current population equivalent served by STWs</v>
      </c>
      <c r="D107" s="4" t="str">
        <f>F_Inputs_adjusted!D110</f>
        <v>000s</v>
      </c>
      <c r="E107" s="4" t="str">
        <f>F_Inputs_adjusted!E110</f>
        <v>Price Review 2024</v>
      </c>
      <c r="F107" s="4">
        <f>F_Inputs_adjusted!N110</f>
        <v>3587.0859999999998</v>
      </c>
      <c r="G107" s="4">
        <f>F_Inputs_adjusted!O110</f>
        <v>3587.8960000000002</v>
      </c>
      <c r="H107" s="4">
        <f>F_Inputs_adjusted!P110</f>
        <v>3611.402</v>
      </c>
      <c r="I107" s="4">
        <f>F_Inputs_adjusted!Q110</f>
        <v>3632.9789999999998</v>
      </c>
      <c r="J107" s="4">
        <f>F_Inputs_adjusted!R110</f>
        <v>3654.723</v>
      </c>
      <c r="K107" s="4">
        <f>F_Inputs_adjusted!S110</f>
        <v>3676.623</v>
      </c>
      <c r="L107" s="4">
        <f>F_Inputs_adjusted!T110</f>
        <v>3808.4479999999999</v>
      </c>
    </row>
    <row r="108" spans="1:12" s="2" customFormat="1" ht="15">
      <c r="A108" s="4" t="str">
        <f>F_Inputs_adjusted!A111</f>
        <v>WSX</v>
      </c>
      <c r="B108" s="4" t="str">
        <f>F_Inputs_adjusted!B111</f>
        <v>CWW12_052TOT_PR24</v>
      </c>
      <c r="C108" s="4" t="str">
        <f>F_Inputs_adjusted!C111</f>
        <v>EA/NRW environmental programme wastewater (WINEP/NEP) - Chemicals and emerging contaminants monitoring, investigations, options appraisals; (WINEP/NEP) wastewater capex - Total</v>
      </c>
      <c r="D108" s="4" t="str">
        <f>F_Inputs_adjusted!D111</f>
        <v>£m</v>
      </c>
      <c r="E108" s="4" t="str">
        <f>F_Inputs_adjusted!E111</f>
        <v>Price Review 2024</v>
      </c>
      <c r="F108" s="4">
        <f>F_Inputs_adjusted!N111</f>
        <v>0</v>
      </c>
      <c r="G108" s="4">
        <f>F_Inputs_adjusted!O111</f>
        <v>3.3331000000000013E-2</v>
      </c>
      <c r="H108" s="4">
        <f>F_Inputs_adjusted!P111</f>
        <v>0</v>
      </c>
      <c r="I108" s="4">
        <f>F_Inputs_adjusted!Q111</f>
        <v>0</v>
      </c>
      <c r="J108" s="4">
        <f>F_Inputs_adjusted!R111</f>
        <v>0</v>
      </c>
      <c r="K108" s="4">
        <f>F_Inputs_adjusted!S111</f>
        <v>0</v>
      </c>
      <c r="L108" s="4">
        <f>F_Inputs_adjusted!T111</f>
        <v>0</v>
      </c>
    </row>
    <row r="109" spans="1:12" s="2" customFormat="1" ht="15">
      <c r="A109" s="4" t="str">
        <f>F_Inputs_adjusted!A112</f>
        <v>WSX</v>
      </c>
      <c r="B109" s="4" t="str">
        <f>F_Inputs_adjusted!B112</f>
        <v>CWW17_052TOT_PR24</v>
      </c>
      <c r="C109" s="4" t="str">
        <f>F_Inputs_adjusted!C112</f>
        <v>EA/NRW environmental programme wastewater (WINEP/NEP) - Chemicals and emerging contaminants monitoring, investigations, options appraisals; (WINEP/NEP) wastewater capex - Total</v>
      </c>
      <c r="D109" s="4" t="str">
        <f>F_Inputs_adjusted!D112</f>
        <v>£m</v>
      </c>
      <c r="E109" s="4" t="str">
        <f>F_Inputs_adjusted!E112</f>
        <v>Price Review 2024</v>
      </c>
      <c r="F109" s="4">
        <f>F_Inputs_adjusted!N112</f>
        <v>0</v>
      </c>
      <c r="G109" s="4">
        <f>F_Inputs_adjusted!O112</f>
        <v>0</v>
      </c>
      <c r="H109" s="4">
        <f>F_Inputs_adjusted!P112</f>
        <v>0</v>
      </c>
      <c r="I109" s="4">
        <f>F_Inputs_adjusted!Q112</f>
        <v>0</v>
      </c>
      <c r="J109" s="4">
        <f>F_Inputs_adjusted!R112</f>
        <v>0</v>
      </c>
      <c r="K109" s="4">
        <f>F_Inputs_adjusted!S112</f>
        <v>0</v>
      </c>
      <c r="L109" s="4">
        <f>F_Inputs_adjusted!T112</f>
        <v>0</v>
      </c>
    </row>
    <row r="110" spans="1:12" s="2" customFormat="1" ht="15">
      <c r="A110" s="4" t="str">
        <f>F_Inputs_adjusted!A113</f>
        <v>WSX</v>
      </c>
      <c r="B110" s="4" t="str">
        <f>F_Inputs_adjusted!B113</f>
        <v>CWW12_053TOT_PR24</v>
      </c>
      <c r="C110" s="4" t="str">
        <f>F_Inputs_adjusted!C113</f>
        <v>EA/NRW environmental programme wastewater (WINEP/NEP) - Chemicals and emerging contaminants monitoring, investigations, options appraisals; (WINEP/NEP) wastewater opex - Total</v>
      </c>
      <c r="D110" s="4" t="str">
        <f>F_Inputs_adjusted!D113</f>
        <v>£m</v>
      </c>
      <c r="E110" s="4" t="str">
        <f>F_Inputs_adjusted!E113</f>
        <v>Price Review 2024</v>
      </c>
      <c r="F110" s="4">
        <f>F_Inputs_adjusted!N113</f>
        <v>0.187781</v>
      </c>
      <c r="G110" s="4">
        <f>F_Inputs_adjusted!O113</f>
        <v>0.70255299999999998</v>
      </c>
      <c r="H110" s="4">
        <f>F_Inputs_adjusted!P113</f>
        <v>0</v>
      </c>
      <c r="I110" s="4">
        <f>F_Inputs_adjusted!Q113</f>
        <v>0</v>
      </c>
      <c r="J110" s="4">
        <f>F_Inputs_adjusted!R113</f>
        <v>0</v>
      </c>
      <c r="K110" s="4">
        <f>F_Inputs_adjusted!S113</f>
        <v>0</v>
      </c>
      <c r="L110" s="4">
        <f>F_Inputs_adjusted!T113</f>
        <v>0</v>
      </c>
    </row>
    <row r="111" spans="1:12" s="2" customFormat="1" ht="15">
      <c r="A111" s="4" t="str">
        <f>F_Inputs_adjusted!A114</f>
        <v>WSX</v>
      </c>
      <c r="B111" s="4" t="str">
        <f>F_Inputs_adjusted!B114</f>
        <v>CWW17_053TOT_PR24</v>
      </c>
      <c r="C111" s="4" t="str">
        <f>F_Inputs_adjusted!C114</f>
        <v>EA/NRW environmental programme wastewater (WINEP/NEP) - Chemicals and emerging contaminants monitoring, investigations, options appraisals; (WINEP/NEP) wastewater opex - Total</v>
      </c>
      <c r="D111" s="4" t="str">
        <f>F_Inputs_adjusted!D114</f>
        <v>£m</v>
      </c>
      <c r="E111" s="4" t="str">
        <f>F_Inputs_adjusted!E114</f>
        <v>Price Review 2024</v>
      </c>
      <c r="F111" s="4">
        <f>F_Inputs_adjusted!N114</f>
        <v>0</v>
      </c>
      <c r="G111" s="4">
        <f>F_Inputs_adjusted!O114</f>
        <v>0</v>
      </c>
      <c r="H111" s="4">
        <f>F_Inputs_adjusted!P114</f>
        <v>0</v>
      </c>
      <c r="I111" s="4">
        <f>F_Inputs_adjusted!Q114</f>
        <v>0</v>
      </c>
      <c r="J111" s="4">
        <f>F_Inputs_adjusted!R114</f>
        <v>0</v>
      </c>
      <c r="K111" s="4">
        <f>F_Inputs_adjusted!S114</f>
        <v>0</v>
      </c>
      <c r="L111" s="4">
        <f>F_Inputs_adjusted!T114</f>
        <v>0</v>
      </c>
    </row>
    <row r="112" spans="1:12" s="2" customFormat="1" ht="15">
      <c r="A112" s="4" t="str">
        <f>F_Inputs_adjusted!A115</f>
        <v>WSX</v>
      </c>
      <c r="B112" s="4" t="str">
        <f>F_Inputs_adjusted!B115</f>
        <v>CWW12_054TOT_PR24</v>
      </c>
      <c r="C112" s="4" t="str">
        <f>F_Inputs_adjusted!C115</f>
        <v>EA/NRW environmental programme wastewater (WINEP/NEP) - Chemicals and emerging contaminants monitoring, investigations, options appraisals; (WINEP/NEP) wastewater totex - Total</v>
      </c>
      <c r="D112" s="4" t="str">
        <f>F_Inputs_adjusted!D115</f>
        <v>£m</v>
      </c>
      <c r="E112" s="4" t="str">
        <f>F_Inputs_adjusted!E115</f>
        <v>Price Review 2024</v>
      </c>
      <c r="F112" s="4">
        <f>F_Inputs_adjusted!N115</f>
        <v>0.187781</v>
      </c>
      <c r="G112" s="4">
        <f>F_Inputs_adjusted!O115</f>
        <v>0.73588399999999998</v>
      </c>
      <c r="H112" s="4">
        <f>F_Inputs_adjusted!P115</f>
        <v>0</v>
      </c>
      <c r="I112" s="4">
        <f>F_Inputs_adjusted!Q115</f>
        <v>0</v>
      </c>
      <c r="J112" s="4">
        <f>F_Inputs_adjusted!R115</f>
        <v>0</v>
      </c>
      <c r="K112" s="4">
        <f>F_Inputs_adjusted!S115</f>
        <v>0</v>
      </c>
      <c r="L112" s="4">
        <f>F_Inputs_adjusted!T115</f>
        <v>0</v>
      </c>
    </row>
    <row r="113" spans="1:12" s="2" customFormat="1" ht="15">
      <c r="A113" s="4" t="str">
        <f>F_Inputs_adjusted!A116</f>
        <v>WSX</v>
      </c>
      <c r="B113" s="4" t="str">
        <f>F_Inputs_adjusted!B116</f>
        <v>CWW17_054TOT_PR24</v>
      </c>
      <c r="C113" s="4" t="str">
        <f>F_Inputs_adjusted!C116</f>
        <v>EA/NRW environmental programme wastewater (WINEP/NEP) - Chemicals and emerging contaminants monitoring, investigations, options appraisals; (WINEP/NEP) wastewater totex - Total</v>
      </c>
      <c r="D113" s="4" t="str">
        <f>F_Inputs_adjusted!D116</f>
        <v>£m</v>
      </c>
      <c r="E113" s="4" t="str">
        <f>F_Inputs_adjusted!E116</f>
        <v>Price Review 2024</v>
      </c>
      <c r="F113" s="4">
        <f>F_Inputs_adjusted!N116</f>
        <v>0</v>
      </c>
      <c r="G113" s="4">
        <f>F_Inputs_adjusted!O116</f>
        <v>0</v>
      </c>
      <c r="H113" s="4">
        <f>F_Inputs_adjusted!P116</f>
        <v>0</v>
      </c>
      <c r="I113" s="4">
        <f>F_Inputs_adjusted!Q116</f>
        <v>0</v>
      </c>
      <c r="J113" s="4">
        <f>F_Inputs_adjusted!R116</f>
        <v>0</v>
      </c>
      <c r="K113" s="4">
        <f>F_Inputs_adjusted!S116</f>
        <v>0</v>
      </c>
      <c r="L113" s="4">
        <f>F_Inputs_adjusted!T116</f>
        <v>0</v>
      </c>
    </row>
    <row r="114" spans="1:12" s="2" customFormat="1" ht="15">
      <c r="A114" s="4" t="str">
        <f>F_Inputs_adjusted!A117</f>
        <v>WSX</v>
      </c>
      <c r="B114" s="4" t="str">
        <f>F_Inputs_adjusted!B117</f>
        <v>PR24_NETTOTEX_WASTE</v>
      </c>
      <c r="C114" s="4" t="str">
        <f>F_Inputs_adjusted!C117</f>
        <v>PR24 BP Net totex - Total inc. accelerated &amp; transition costs</v>
      </c>
      <c r="D114" s="4" t="str">
        <f>F_Inputs_adjusted!D117</f>
        <v>£m</v>
      </c>
      <c r="E114" s="4" t="str">
        <f>F_Inputs_adjusted!E117</f>
        <v>Price Review 2024</v>
      </c>
      <c r="F114" s="4">
        <f>F_Inputs_adjusted!N117</f>
        <v>0</v>
      </c>
      <c r="G114" s="4">
        <f>F_Inputs_adjusted!O117</f>
        <v>0</v>
      </c>
      <c r="H114" s="4">
        <f>F_Inputs_adjusted!P117</f>
        <v>0</v>
      </c>
      <c r="I114" s="4">
        <f>F_Inputs_adjusted!Q117</f>
        <v>0</v>
      </c>
      <c r="J114" s="4">
        <f>F_Inputs_adjusted!R117</f>
        <v>0</v>
      </c>
      <c r="K114" s="4">
        <f>F_Inputs_adjusted!S117</f>
        <v>0</v>
      </c>
      <c r="L114" s="4">
        <f>F_Inputs_adjusted!T117</f>
        <v>0</v>
      </c>
    </row>
    <row r="115" spans="1:12" s="2" customFormat="1" ht="15">
      <c r="A115" s="4" t="str">
        <f>F_Inputs_adjusted!A118</f>
        <v>YKY</v>
      </c>
      <c r="B115" s="4" t="str">
        <f>F_Inputs_adjusted!B118</f>
        <v>CWW3_052TOT_PR24</v>
      </c>
      <c r="C115" s="4" t="str">
        <f>F_Inputs_adjusted!C118</f>
        <v>EA/NRW environmental programme wastewater (WINEP/NEP) - Chemicals and emerging contaminants monitoring, investigations, options appraisals; (WINEP/NEP) wastewater capex - Total</v>
      </c>
      <c r="D115" s="4" t="str">
        <f>F_Inputs_adjusted!D118</f>
        <v>£m</v>
      </c>
      <c r="E115" s="4" t="str">
        <f>F_Inputs_adjusted!E118</f>
        <v>Price Review 2024</v>
      </c>
      <c r="F115" s="4">
        <f>F_Inputs_adjusted!N118</f>
        <v>0</v>
      </c>
      <c r="G115" s="4">
        <f>F_Inputs_adjusted!O118</f>
        <v>0</v>
      </c>
      <c r="H115" s="4">
        <f>F_Inputs_adjusted!P118</f>
        <v>1.0758399999999999</v>
      </c>
      <c r="I115" s="4">
        <f>F_Inputs_adjusted!Q118</f>
        <v>1.012864</v>
      </c>
      <c r="J115" s="4">
        <f>F_Inputs_adjusted!R118</f>
        <v>0.75781120000000002</v>
      </c>
      <c r="K115" s="4">
        <f>F_Inputs_adjusted!S118</f>
        <v>0</v>
      </c>
      <c r="L115" s="4">
        <f>F_Inputs_adjusted!T118</f>
        <v>0</v>
      </c>
    </row>
    <row r="116" spans="1:12" s="2" customFormat="1" ht="15">
      <c r="A116" s="4" t="str">
        <f>F_Inputs_adjusted!A119</f>
        <v>YKY</v>
      </c>
      <c r="B116" s="4" t="str">
        <f>F_Inputs_adjusted!B119</f>
        <v>CWW3_053TOT_PR24</v>
      </c>
      <c r="C116" s="4" t="str">
        <f>F_Inputs_adjusted!C119</f>
        <v>EA/NRW environmental programme wastewater (WINEP/NEP) - Chemicals and emerging contaminants monitoring, investigations, options appraisals; (WINEP/NEP) wastewater opex - Total</v>
      </c>
      <c r="D116" s="4" t="str">
        <f>F_Inputs_adjusted!D119</f>
        <v>£m</v>
      </c>
      <c r="E116" s="4" t="str">
        <f>F_Inputs_adjusted!E119</f>
        <v>Price Review 2024</v>
      </c>
      <c r="F116" s="4">
        <f>F_Inputs_adjusted!N119</f>
        <v>0</v>
      </c>
      <c r="G116" s="4">
        <f>F_Inputs_adjusted!O119</f>
        <v>0</v>
      </c>
      <c r="H116" s="4">
        <f>F_Inputs_adjusted!P119</f>
        <v>1.0978816</v>
      </c>
      <c r="I116" s="4">
        <f>F_Inputs_adjusted!Q119</f>
        <v>0.93200000000000005</v>
      </c>
      <c r="J116" s="4">
        <f>F_Inputs_adjusted!R119</f>
        <v>9.4464000000000006E-2</v>
      </c>
      <c r="K116" s="4">
        <f>F_Inputs_adjusted!S119</f>
        <v>9.4E-2</v>
      </c>
      <c r="L116" s="4">
        <f>F_Inputs_adjusted!T119</f>
        <v>9.4E-2</v>
      </c>
    </row>
    <row r="117" spans="1:12" s="2" customFormat="1" ht="15">
      <c r="A117" s="4" t="str">
        <f>F_Inputs_adjusted!A120</f>
        <v>YKY</v>
      </c>
      <c r="B117" s="4" t="str">
        <f>F_Inputs_adjusted!B120</f>
        <v>CWW3_054TOT_PR24</v>
      </c>
      <c r="C117" s="4" t="str">
        <f>F_Inputs_adjusted!C120</f>
        <v>EA/NRW environmental programme wastewater (WINEP/NEP) - Chemicals and emerging contaminants monitoring, investigations, options appraisals; (WINEP/NEP) wastewater totex - Total</v>
      </c>
      <c r="D117" s="4" t="str">
        <f>F_Inputs_adjusted!D120</f>
        <v>£m</v>
      </c>
      <c r="E117" s="4" t="str">
        <f>F_Inputs_adjusted!E120</f>
        <v>Price Review 2024</v>
      </c>
      <c r="F117" s="4">
        <f>F_Inputs_adjusted!N120</f>
        <v>0</v>
      </c>
      <c r="G117" s="4">
        <f>F_Inputs_adjusted!O120</f>
        <v>0</v>
      </c>
      <c r="H117" s="4">
        <f>F_Inputs_adjusted!P120</f>
        <v>2.1737215999999999</v>
      </c>
      <c r="I117" s="4">
        <f>F_Inputs_adjusted!Q120</f>
        <v>1.9448639999999999</v>
      </c>
      <c r="J117" s="4">
        <f>F_Inputs_adjusted!R120</f>
        <v>0.85227520000000001</v>
      </c>
      <c r="K117" s="4">
        <f>F_Inputs_adjusted!S120</f>
        <v>9.4E-2</v>
      </c>
      <c r="L117" s="4">
        <f>F_Inputs_adjusted!T120</f>
        <v>9.4E-2</v>
      </c>
    </row>
    <row r="118" spans="1:12" s="2" customFormat="1" ht="15">
      <c r="A118" s="4" t="str">
        <f>F_Inputs_adjusted!A121</f>
        <v>YKY</v>
      </c>
      <c r="B118" s="4" t="str">
        <f>F_Inputs_adjusted!B121</f>
        <v>BN1603_PR24</v>
      </c>
      <c r="C118" s="4" t="str">
        <f>F_Inputs_adjusted!C121</f>
        <v>Sewage treatment data - Current population equivalent served by STWs</v>
      </c>
      <c r="D118" s="4" t="str">
        <f>F_Inputs_adjusted!D121</f>
        <v>000s</v>
      </c>
      <c r="E118" s="4" t="str">
        <f>F_Inputs_adjusted!E121</f>
        <v>Price Review 2024</v>
      </c>
      <c r="F118" s="4">
        <f>F_Inputs_adjusted!N121</f>
        <v>5966.8530000000001</v>
      </c>
      <c r="G118" s="4">
        <f>F_Inputs_adjusted!O121</f>
        <v>5946.8819999999996</v>
      </c>
      <c r="H118" s="4">
        <f>F_Inputs_adjusted!P121</f>
        <v>5969.9725020951646</v>
      </c>
      <c r="I118" s="4">
        <f>F_Inputs_adjusted!Q121</f>
        <v>5992.907411968441</v>
      </c>
      <c r="J118" s="4">
        <f>F_Inputs_adjusted!R121</f>
        <v>6019.89099514606</v>
      </c>
      <c r="K118" s="4">
        <f>F_Inputs_adjusted!S121</f>
        <v>6032.3946522192846</v>
      </c>
      <c r="L118" s="4">
        <f>F_Inputs_adjusted!T121</f>
        <v>6044.499924989088</v>
      </c>
    </row>
    <row r="119" spans="1:12" s="2" customFormat="1" ht="15">
      <c r="A119" s="4" t="str">
        <f>F_Inputs_adjusted!A122</f>
        <v>YKY</v>
      </c>
      <c r="B119" s="4" t="str">
        <f>F_Inputs_adjusted!B122</f>
        <v>CWW12_052TOT_PR24</v>
      </c>
      <c r="C119" s="4" t="str">
        <f>F_Inputs_adjusted!C122</f>
        <v>EA/NRW environmental programme wastewater (WINEP/NEP) - Chemicals and emerging contaminants monitoring, investigations, options appraisals; (WINEP/NEP) wastewater capex - Total</v>
      </c>
      <c r="D119" s="4" t="str">
        <f>F_Inputs_adjusted!D122</f>
        <v>£m</v>
      </c>
      <c r="E119" s="4" t="str">
        <f>F_Inputs_adjusted!E122</f>
        <v>Price Review 2024</v>
      </c>
      <c r="F119" s="4">
        <f>F_Inputs_adjusted!N122</f>
        <v>0</v>
      </c>
      <c r="G119" s="4">
        <f>F_Inputs_adjusted!O122</f>
        <v>0.41199999999999998</v>
      </c>
      <c r="H119" s="4">
        <f>F_Inputs_adjusted!P122</f>
        <v>0</v>
      </c>
      <c r="I119" s="4">
        <f>F_Inputs_adjusted!Q122</f>
        <v>0</v>
      </c>
      <c r="J119" s="4">
        <f>F_Inputs_adjusted!R122</f>
        <v>0</v>
      </c>
      <c r="K119" s="4">
        <f>F_Inputs_adjusted!S122</f>
        <v>0</v>
      </c>
      <c r="L119" s="4">
        <f>F_Inputs_adjusted!T122</f>
        <v>0</v>
      </c>
    </row>
    <row r="120" spans="1:12" s="2" customFormat="1" ht="15">
      <c r="A120" s="4" t="str">
        <f>F_Inputs_adjusted!A123</f>
        <v>YKY</v>
      </c>
      <c r="B120" s="4" t="str">
        <f>F_Inputs_adjusted!B123</f>
        <v>CWW17_052TOT_PR24</v>
      </c>
      <c r="C120" s="4" t="str">
        <f>F_Inputs_adjusted!C123</f>
        <v>EA/NRW environmental programme wastewater (WINEP/NEP) - Chemicals and emerging contaminants monitoring, investigations, options appraisals; (WINEP/NEP) wastewater capex - Total</v>
      </c>
      <c r="D120" s="4" t="str">
        <f>F_Inputs_adjusted!D123</f>
        <v>£m</v>
      </c>
      <c r="E120" s="4" t="str">
        <f>F_Inputs_adjusted!E123</f>
        <v>Price Review 2024</v>
      </c>
      <c r="F120" s="4">
        <f>F_Inputs_adjusted!N123</f>
        <v>0</v>
      </c>
      <c r="G120" s="4">
        <f>F_Inputs_adjusted!O123</f>
        <v>0</v>
      </c>
      <c r="H120" s="4">
        <f>F_Inputs_adjusted!P123</f>
        <v>0</v>
      </c>
      <c r="I120" s="4">
        <f>F_Inputs_adjusted!Q123</f>
        <v>0</v>
      </c>
      <c r="J120" s="4">
        <f>F_Inputs_adjusted!R123</f>
        <v>0</v>
      </c>
      <c r="K120" s="4">
        <f>F_Inputs_adjusted!S123</f>
        <v>0</v>
      </c>
      <c r="L120" s="4">
        <f>F_Inputs_adjusted!T123</f>
        <v>0</v>
      </c>
    </row>
    <row r="121" spans="1:12" s="2" customFormat="1" ht="15">
      <c r="A121" s="4" t="str">
        <f>F_Inputs_adjusted!A124</f>
        <v>YKY</v>
      </c>
      <c r="B121" s="4" t="str">
        <f>F_Inputs_adjusted!B124</f>
        <v>CWW12_053TOT_PR24</v>
      </c>
      <c r="C121" s="4" t="str">
        <f>F_Inputs_adjusted!C124</f>
        <v>EA/NRW environmental programme wastewater (WINEP/NEP) - Chemicals and emerging contaminants monitoring, investigations, options appraisals; (WINEP/NEP) wastewater opex - Total</v>
      </c>
      <c r="D121" s="4" t="str">
        <f>F_Inputs_adjusted!D124</f>
        <v>£m</v>
      </c>
      <c r="E121" s="4" t="str">
        <f>F_Inputs_adjusted!E124</f>
        <v>Price Review 2024</v>
      </c>
      <c r="F121" s="4">
        <f>F_Inputs_adjusted!N124</f>
        <v>0</v>
      </c>
      <c r="G121" s="4">
        <f>F_Inputs_adjusted!O124</f>
        <v>0</v>
      </c>
      <c r="H121" s="4">
        <f>F_Inputs_adjusted!P124</f>
        <v>0</v>
      </c>
      <c r="I121" s="4">
        <f>F_Inputs_adjusted!Q124</f>
        <v>0</v>
      </c>
      <c r="J121" s="4">
        <f>F_Inputs_adjusted!R124</f>
        <v>0</v>
      </c>
      <c r="K121" s="4">
        <f>F_Inputs_adjusted!S124</f>
        <v>0</v>
      </c>
      <c r="L121" s="4">
        <f>F_Inputs_adjusted!T124</f>
        <v>0</v>
      </c>
    </row>
    <row r="122" spans="1:12" s="2" customFormat="1" ht="15">
      <c r="A122" s="4" t="str">
        <f>F_Inputs_adjusted!A125</f>
        <v>YKY</v>
      </c>
      <c r="B122" s="4" t="str">
        <f>F_Inputs_adjusted!B125</f>
        <v>CWW17_053TOT_PR24</v>
      </c>
      <c r="C122" s="4" t="str">
        <f>F_Inputs_adjusted!C125</f>
        <v>EA/NRW environmental programme wastewater (WINEP/NEP) - Chemicals and emerging contaminants monitoring, investigations, options appraisals; (WINEP/NEP) wastewater opex - Total</v>
      </c>
      <c r="D122" s="4" t="str">
        <f>F_Inputs_adjusted!D125</f>
        <v>£m</v>
      </c>
      <c r="E122" s="4" t="str">
        <f>F_Inputs_adjusted!E125</f>
        <v>Price Review 2024</v>
      </c>
      <c r="F122" s="4">
        <f>F_Inputs_adjusted!N125</f>
        <v>0</v>
      </c>
      <c r="G122" s="4">
        <f>F_Inputs_adjusted!O125</f>
        <v>0</v>
      </c>
      <c r="H122" s="4">
        <f>F_Inputs_adjusted!P125</f>
        <v>0</v>
      </c>
      <c r="I122" s="4">
        <f>F_Inputs_adjusted!Q125</f>
        <v>0</v>
      </c>
      <c r="J122" s="4">
        <f>F_Inputs_adjusted!R125</f>
        <v>0</v>
      </c>
      <c r="K122" s="4">
        <f>F_Inputs_adjusted!S125</f>
        <v>0</v>
      </c>
      <c r="L122" s="4">
        <f>F_Inputs_adjusted!T125</f>
        <v>0</v>
      </c>
    </row>
    <row r="123" spans="1:12" s="2" customFormat="1" ht="15">
      <c r="A123" s="4" t="str">
        <f>F_Inputs_adjusted!A126</f>
        <v>YKY</v>
      </c>
      <c r="B123" s="4" t="str">
        <f>F_Inputs_adjusted!B126</f>
        <v>CWW12_054TOT_PR24</v>
      </c>
      <c r="C123" s="4" t="str">
        <f>F_Inputs_adjusted!C126</f>
        <v>EA/NRW environmental programme wastewater (WINEP/NEP) - Chemicals and emerging contaminants monitoring, investigations, options appraisals; (WINEP/NEP) wastewater totex - Total</v>
      </c>
      <c r="D123" s="4" t="str">
        <f>F_Inputs_adjusted!D126</f>
        <v>£m</v>
      </c>
      <c r="E123" s="4" t="str">
        <f>F_Inputs_adjusted!E126</f>
        <v>Price Review 2024</v>
      </c>
      <c r="F123" s="4">
        <f>F_Inputs_adjusted!N126</f>
        <v>0</v>
      </c>
      <c r="G123" s="4">
        <f>F_Inputs_adjusted!O126</f>
        <v>0.41199999999999998</v>
      </c>
      <c r="H123" s="4">
        <f>F_Inputs_adjusted!P126</f>
        <v>0</v>
      </c>
      <c r="I123" s="4">
        <f>F_Inputs_adjusted!Q126</f>
        <v>0</v>
      </c>
      <c r="J123" s="4">
        <f>F_Inputs_adjusted!R126</f>
        <v>0</v>
      </c>
      <c r="K123" s="4">
        <f>F_Inputs_adjusted!S126</f>
        <v>0</v>
      </c>
      <c r="L123" s="4">
        <f>F_Inputs_adjusted!T126</f>
        <v>0</v>
      </c>
    </row>
    <row r="124" spans="1:12" s="2" customFormat="1" ht="15">
      <c r="A124" s="4" t="str">
        <f>F_Inputs_adjusted!A127</f>
        <v>YKY</v>
      </c>
      <c r="B124" s="4" t="str">
        <f>F_Inputs_adjusted!B127</f>
        <v>CWW17_054TOT_PR24</v>
      </c>
      <c r="C124" s="4" t="str">
        <f>F_Inputs_adjusted!C127</f>
        <v>EA/NRW environmental programme wastewater (WINEP/NEP) - Chemicals and emerging contaminants monitoring, investigations, options appraisals; (WINEP/NEP) wastewater totex - Total</v>
      </c>
      <c r="D124" s="4" t="str">
        <f>F_Inputs_adjusted!D127</f>
        <v>£m</v>
      </c>
      <c r="E124" s="4" t="str">
        <f>F_Inputs_adjusted!E127</f>
        <v>Price Review 2024</v>
      </c>
      <c r="F124" s="4">
        <f>F_Inputs_adjusted!N127</f>
        <v>0</v>
      </c>
      <c r="G124" s="4">
        <f>F_Inputs_adjusted!O127</f>
        <v>0</v>
      </c>
      <c r="H124" s="4">
        <f>F_Inputs_adjusted!P127</f>
        <v>0</v>
      </c>
      <c r="I124" s="4">
        <f>F_Inputs_adjusted!Q127</f>
        <v>0</v>
      </c>
      <c r="J124" s="4">
        <f>F_Inputs_adjusted!R127</f>
        <v>0</v>
      </c>
      <c r="K124" s="4">
        <f>F_Inputs_adjusted!S127</f>
        <v>0</v>
      </c>
      <c r="L124" s="4">
        <f>F_Inputs_adjusted!T127</f>
        <v>0</v>
      </c>
    </row>
    <row r="125" spans="1:12" s="2" customFormat="1" ht="15">
      <c r="A125" s="4" t="str">
        <f>F_Inputs_adjusted!A128</f>
        <v>YKY</v>
      </c>
      <c r="B125" s="4" t="str">
        <f>F_Inputs_adjusted!B128</f>
        <v>PR24_NETTOTEX_WASTE</v>
      </c>
      <c r="C125" s="4" t="str">
        <f>F_Inputs_adjusted!C128</f>
        <v>PR24 BP Net totex - Total inc. accelerated &amp; transition costs</v>
      </c>
      <c r="D125" s="4" t="str">
        <f>F_Inputs_adjusted!D128</f>
        <v>£m</v>
      </c>
      <c r="E125" s="4" t="str">
        <f>F_Inputs_adjusted!E128</f>
        <v>Price Review 2024</v>
      </c>
      <c r="F125" s="4">
        <f>F_Inputs_adjusted!N128</f>
        <v>0</v>
      </c>
      <c r="G125" s="4">
        <f>F_Inputs_adjusted!O128</f>
        <v>0</v>
      </c>
      <c r="H125" s="4">
        <f>F_Inputs_adjusted!P128</f>
        <v>0</v>
      </c>
      <c r="I125" s="4">
        <f>F_Inputs_adjusted!Q128</f>
        <v>0</v>
      </c>
      <c r="J125" s="4">
        <f>F_Inputs_adjusted!R128</f>
        <v>0</v>
      </c>
      <c r="K125" s="4">
        <f>F_Inputs_adjusted!S128</f>
        <v>0</v>
      </c>
      <c r="L125" s="4">
        <f>F_Inputs_adjusted!T128</f>
        <v>0</v>
      </c>
    </row>
  </sheetData>
  <conditionalFormatting sqref="N1:N1048576">
    <cfRule type="cellIs" dxfId="35" priority="1" operator="lessThan">
      <formula>0</formula>
    </cfRule>
    <cfRule type="cellIs" dxfId="34" priority="2" operator="greaterThan">
      <formula>0</formula>
    </cfRule>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30A7-A4B0-4956-823F-5879E324422A}">
  <sheetPr>
    <tabColor rgb="FFFFDB8E"/>
  </sheetPr>
  <dimension ref="A1:M125"/>
  <sheetViews>
    <sheetView zoomScale="80" zoomScaleNormal="80" workbookViewId="0"/>
  </sheetViews>
  <sheetFormatPr defaultRowHeight="12.75"/>
  <cols>
    <col min="1" max="2" width="14.28515625" customWidth="1"/>
    <col min="3" max="3" width="119.28515625" customWidth="1"/>
    <col min="5" max="5" width="17.42578125" customWidth="1"/>
    <col min="13" max="13" width="168" customWidth="1"/>
  </cols>
  <sheetData>
    <row r="1" spans="1:13" ht="31.5">
      <c r="A1" s="1" t="str">
        <f ca="1" xml:space="preserve"> RIGHT(CELL("filename", $A$1), LEN(CELL("filename", $A$1)) - SEARCH("]", CELL("filename", $A$1)))</f>
        <v>F_Input Override</v>
      </c>
      <c r="B1" s="1"/>
      <c r="C1" s="1"/>
      <c r="D1" s="1"/>
      <c r="E1" s="1"/>
      <c r="F1" s="1"/>
      <c r="G1" s="1"/>
      <c r="H1" s="1"/>
      <c r="I1" s="1"/>
      <c r="J1" s="1"/>
      <c r="K1" s="1"/>
      <c r="L1" s="1"/>
    </row>
    <row r="2" spans="1:13" s="2" customFormat="1"/>
    <row r="3" spans="1:13" s="2" customFormat="1"/>
    <row r="4" spans="1:13" s="2" customFormat="1">
      <c r="A4" s="124" t="s">
        <v>59</v>
      </c>
      <c r="B4" s="124" t="s">
        <v>106</v>
      </c>
      <c r="C4" s="124" t="str">
        <f>Table1[[#Headers],[Item Description]]</f>
        <v>Item Description</v>
      </c>
      <c r="D4" s="124" t="str">
        <f>Table1[[#Headers],[Unit]]</f>
        <v>Unit</v>
      </c>
      <c r="E4" s="124" t="str">
        <f>Table1[[#Headers],[Model]]</f>
        <v>Model</v>
      </c>
      <c r="F4" s="124" t="str">
        <f>Table1[[#Headers],[2023-24]]</f>
        <v>2023-24</v>
      </c>
      <c r="G4" s="124" t="str">
        <f>Table1[[#Headers],[2024-25]]</f>
        <v>2024-25</v>
      </c>
      <c r="H4" s="124" t="str">
        <f>Table1[[#Headers],[2025-26]]</f>
        <v>2025-26</v>
      </c>
      <c r="I4" s="124" t="str">
        <f>Table1[[#Headers],[2026-27]]</f>
        <v>2026-27</v>
      </c>
      <c r="J4" s="124" t="str">
        <f>Table1[[#Headers],[2027-28]]</f>
        <v>2027-28</v>
      </c>
      <c r="K4" s="124" t="str">
        <f>Table1[[#Headers],[2028-29]]</f>
        <v>2028-29</v>
      </c>
      <c r="L4" s="124" t="str">
        <f>Table1[[#Headers],[2029-30]]</f>
        <v>2029-30</v>
      </c>
      <c r="M4" s="124" t="s">
        <v>108</v>
      </c>
    </row>
    <row r="5" spans="1:13" s="2" customFormat="1">
      <c r="A5" s="2" t="str">
        <f>Table1[[#This Row],[Acronym]]</f>
        <v>ANH</v>
      </c>
      <c r="B5" s="2" t="str">
        <f>Table1[[#This Row],[BON code]]</f>
        <v>CWW3_052TOT_PR24</v>
      </c>
      <c r="C5" s="2" t="str">
        <f>Table1[[#This Row],[Item Description]]</f>
        <v>EA/NRW environmental programme wastewater (WINEP/NEP) - Chemicals and emerging contaminants monitoring, investigations, options appraisals; (WINEP/NEP) wastewater capex - Total</v>
      </c>
      <c r="D5" s="2" t="str">
        <f>Table1[[#This Row],[Unit]]</f>
        <v>£m</v>
      </c>
      <c r="E5" s="2" t="str">
        <f>Table1[[#This Row],[Model]]</f>
        <v>Price Review 2024</v>
      </c>
    </row>
    <row r="6" spans="1:13" s="2" customFormat="1">
      <c r="A6" s="2" t="str">
        <f>Table1[[#This Row],[Acronym]]</f>
        <v>ANH</v>
      </c>
      <c r="B6" s="2" t="str">
        <f>Table1[[#This Row],[BON code]]</f>
        <v>CWW3_053TOT_PR24</v>
      </c>
      <c r="C6" s="2" t="str">
        <f>Table1[[#This Row],[Item Description]]</f>
        <v>EA/NRW environmental programme wastewater (WINEP/NEP) - Chemicals and emerging contaminants monitoring, investigations, options appraisals; (WINEP/NEP) wastewater opex - Total</v>
      </c>
      <c r="D6" s="2" t="str">
        <f>Table1[[#This Row],[Unit]]</f>
        <v>£m</v>
      </c>
      <c r="E6" s="2" t="str">
        <f>Table1[[#This Row],[Model]]</f>
        <v>Price Review 2024</v>
      </c>
    </row>
    <row r="7" spans="1:13" s="2" customFormat="1">
      <c r="A7" s="2" t="str">
        <f>Table1[[#This Row],[Acronym]]</f>
        <v>ANH</v>
      </c>
      <c r="B7" s="2" t="str">
        <f>Table1[[#This Row],[BON code]]</f>
        <v>CWW3_054TOT_PR24</v>
      </c>
      <c r="C7" s="2" t="str">
        <f>Table1[[#This Row],[Item Description]]</f>
        <v>EA/NRW environmental programme wastewater (WINEP/NEP) - Chemicals and emerging contaminants monitoring, investigations, options appraisals; (WINEP/NEP) wastewater totex - Total</v>
      </c>
      <c r="D7" s="2" t="str">
        <f>Table1[[#This Row],[Unit]]</f>
        <v>£m</v>
      </c>
      <c r="E7" s="2" t="str">
        <f>Table1[[#This Row],[Model]]</f>
        <v>Price Review 2024</v>
      </c>
    </row>
    <row r="8" spans="1:13" s="2" customFormat="1">
      <c r="A8" s="2" t="str">
        <f>Table1[[#This Row],[Acronym]]</f>
        <v>ANH</v>
      </c>
      <c r="B8" s="2" t="str">
        <f>Table1[[#This Row],[BON code]]</f>
        <v>BN1603_PR24</v>
      </c>
      <c r="C8" s="2" t="str">
        <f>Table1[[#This Row],[Item Description]]</f>
        <v>Sewage treatment data - Current population equivalent served by STWs</v>
      </c>
      <c r="D8" s="2" t="str">
        <f>Table1[[#This Row],[Unit]]</f>
        <v>000s</v>
      </c>
      <c r="E8" s="2" t="str">
        <f>Table1[[#This Row],[Model]]</f>
        <v>Price Review 2024</v>
      </c>
    </row>
    <row r="9" spans="1:13" s="2" customFormat="1">
      <c r="A9" s="2" t="str">
        <f>Table1[[#This Row],[Acronym]]</f>
        <v>ANH</v>
      </c>
      <c r="B9" s="2" t="str">
        <f>Table1[[#This Row],[BON code]]</f>
        <v>CWW12_052TOT_PR24</v>
      </c>
      <c r="C9" s="2" t="str">
        <f>Table1[[#This Row],[Item Description]]</f>
        <v>EA/NRW environmental programme wastewater (WINEP/NEP) - Chemicals and emerging contaminants monitoring, investigations, options appraisals; (WINEP/NEP) wastewater capex - Total</v>
      </c>
      <c r="D9" s="2" t="str">
        <f>Table1[[#This Row],[Unit]]</f>
        <v>£m</v>
      </c>
      <c r="E9" s="2" t="str">
        <f>Table1[[#This Row],[Model]]</f>
        <v>Price Review 2024</v>
      </c>
    </row>
    <row r="10" spans="1:13" s="2" customFormat="1">
      <c r="A10" s="2" t="str">
        <f>Table1[[#This Row],[Acronym]]</f>
        <v>ANH</v>
      </c>
      <c r="B10" s="2" t="str">
        <f>Table1[[#This Row],[BON code]]</f>
        <v>CWW17_052TOT_PR24</v>
      </c>
      <c r="C10" s="2" t="str">
        <f>Table1[[#This Row],[Item Description]]</f>
        <v>EA/NRW environmental programme wastewater (WINEP/NEP) - Chemicals and emerging contaminants monitoring, investigations, options appraisals; (WINEP/NEP) wastewater capex - Total</v>
      </c>
      <c r="D10" s="2" t="str">
        <f>Table1[[#This Row],[Unit]]</f>
        <v>£m</v>
      </c>
      <c r="E10" s="2" t="str">
        <f>Table1[[#This Row],[Model]]</f>
        <v>Price Review 2024</v>
      </c>
    </row>
    <row r="11" spans="1:13" s="2" customFormat="1">
      <c r="A11" s="2" t="str">
        <f>Table1[[#This Row],[Acronym]]</f>
        <v>ANH</v>
      </c>
      <c r="B11" s="2" t="str">
        <f>Table1[[#This Row],[BON code]]</f>
        <v>CWW12_053TOT_PR24</v>
      </c>
      <c r="C11" s="2" t="str">
        <f>Table1[[#This Row],[Item Description]]</f>
        <v>EA/NRW environmental programme wastewater (WINEP/NEP) - Chemicals and emerging contaminants monitoring, investigations, options appraisals; (WINEP/NEP) wastewater opex - Total</v>
      </c>
      <c r="D11" s="2" t="str">
        <f>Table1[[#This Row],[Unit]]</f>
        <v>£m</v>
      </c>
      <c r="E11" s="2" t="str">
        <f>Table1[[#This Row],[Model]]</f>
        <v>Price Review 2024</v>
      </c>
    </row>
    <row r="12" spans="1:13" s="2" customFormat="1">
      <c r="A12" s="2" t="str">
        <f>Table1[[#This Row],[Acronym]]</f>
        <v>ANH</v>
      </c>
      <c r="B12" s="2" t="str">
        <f>Table1[[#This Row],[BON code]]</f>
        <v>CWW17_053TOT_PR24</v>
      </c>
      <c r="C12" s="2" t="str">
        <f>Table1[[#This Row],[Item Description]]</f>
        <v>EA/NRW environmental programme wastewater (WINEP/NEP) - Chemicals and emerging contaminants monitoring, investigations, options appraisals; (WINEP/NEP) wastewater opex - Total</v>
      </c>
      <c r="D12" s="2" t="str">
        <f>Table1[[#This Row],[Unit]]</f>
        <v>£m</v>
      </c>
      <c r="E12" s="2" t="str">
        <f>Table1[[#This Row],[Model]]</f>
        <v>Price Review 2024</v>
      </c>
    </row>
    <row r="13" spans="1:13" s="2" customFormat="1">
      <c r="A13" s="2" t="str">
        <f>Table1[[#This Row],[Acronym]]</f>
        <v>ANH</v>
      </c>
      <c r="B13" s="2" t="str">
        <f>Table1[[#This Row],[BON code]]</f>
        <v>CWW12_054TOT_PR24</v>
      </c>
      <c r="C13" s="2" t="str">
        <f>Table1[[#This Row],[Item Description]]</f>
        <v>EA/NRW environmental programme wastewater (WINEP/NEP) - Chemicals and emerging contaminants monitoring, investigations, options appraisals; (WINEP/NEP) wastewater totex - Total</v>
      </c>
      <c r="D13" s="2" t="str">
        <f>Table1[[#This Row],[Unit]]</f>
        <v>£m</v>
      </c>
      <c r="E13" s="2" t="str">
        <f>Table1[[#This Row],[Model]]</f>
        <v>Price Review 2024</v>
      </c>
    </row>
    <row r="14" spans="1:13" s="2" customFormat="1">
      <c r="A14" s="2" t="str">
        <f>Table1[[#This Row],[Acronym]]</f>
        <v>ANH</v>
      </c>
      <c r="B14" s="2" t="str">
        <f>Table1[[#This Row],[BON code]]</f>
        <v>CWW17_054TOT_PR24</v>
      </c>
      <c r="C14" s="2" t="str">
        <f>Table1[[#This Row],[Item Description]]</f>
        <v>EA/NRW environmental programme wastewater (WINEP/NEP) - Chemicals and emerging contaminants monitoring, investigations, options appraisals; (WINEP/NEP) wastewater totex - Total</v>
      </c>
      <c r="D14" s="2" t="str">
        <f>Table1[[#This Row],[Unit]]</f>
        <v>£m</v>
      </c>
      <c r="E14" s="2" t="str">
        <f>Table1[[#This Row],[Model]]</f>
        <v>Price Review 2024</v>
      </c>
    </row>
    <row r="15" spans="1:13" s="2" customFormat="1">
      <c r="A15" s="2" t="str">
        <f>Table1[[#This Row],[Acronym]]</f>
        <v>ANH</v>
      </c>
      <c r="B15" s="2" t="str">
        <f>Table1[[#This Row],[BON code]]</f>
        <v>PR24_NETTOTEX_WASTE</v>
      </c>
      <c r="C15" s="2" t="str">
        <f>Table1[[#This Row],[Item Description]]</f>
        <v>PR24 BP Net totex - Total inc. accelerated &amp; transition costs</v>
      </c>
      <c r="D15" s="2" t="str">
        <f>Table1[[#This Row],[Unit]]</f>
        <v>£m</v>
      </c>
      <c r="E15" s="2" t="str">
        <f>Table1[[#This Row],[Model]]</f>
        <v>Price Review 2024</v>
      </c>
    </row>
    <row r="16" spans="1:13" s="2" customFormat="1">
      <c r="A16" s="2" t="str">
        <f>Table1[[#This Row],[Acronym]]</f>
        <v>WSH</v>
      </c>
      <c r="B16" s="2" t="str">
        <f>Table1[[#This Row],[BON code]]</f>
        <v>CWW3_052TOT_PR24</v>
      </c>
      <c r="C16" s="2" t="str">
        <f>Table1[[#This Row],[Item Description]]</f>
        <v>EA/NRW environmental programme wastewater (WINEP/NEP) - Chemicals and emerging contaminants monitoring, investigations, options appraisals; (WINEP/NEP) wastewater capex - Total</v>
      </c>
      <c r="D16" s="2" t="str">
        <f>Table1[[#This Row],[Unit]]</f>
        <v>£m</v>
      </c>
      <c r="E16" s="2" t="str">
        <f>Table1[[#This Row],[Model]]</f>
        <v>Price Review 2024</v>
      </c>
      <c r="H16" s="2">
        <v>1.3959999999999999</v>
      </c>
      <c r="I16" s="2">
        <v>1.3560000000000001</v>
      </c>
      <c r="M16" s="2" t="s">
        <v>109</v>
      </c>
    </row>
    <row r="17" spans="1:13" s="2" customFormat="1">
      <c r="A17" s="2" t="str">
        <f>Table1[[#This Row],[Acronym]]</f>
        <v>WSH</v>
      </c>
      <c r="B17" s="2" t="str">
        <f>Table1[[#This Row],[BON code]]</f>
        <v>CWW3_053TOT_PR24</v>
      </c>
      <c r="C17" s="2" t="str">
        <f>Table1[[#This Row],[Item Description]]</f>
        <v>EA/NRW environmental programme wastewater (WINEP/NEP) - Chemicals and emerging contaminants monitoring, investigations, options appraisals; (WINEP/NEP) wastewater opex - Total</v>
      </c>
      <c r="D17" s="2" t="str">
        <f>Table1[[#This Row],[Unit]]</f>
        <v>£m</v>
      </c>
      <c r="E17" s="2" t="str">
        <f>Table1[[#This Row],[Model]]</f>
        <v>Price Review 2024</v>
      </c>
    </row>
    <row r="18" spans="1:13" s="2" customFormat="1">
      <c r="A18" s="2" t="str">
        <f>Table1[[#This Row],[Acronym]]</f>
        <v>WSH</v>
      </c>
      <c r="B18" s="2" t="str">
        <f>Table1[[#This Row],[BON code]]</f>
        <v>CWW3_054TOT_PR24</v>
      </c>
      <c r="C18" s="2" t="str">
        <f>Table1[[#This Row],[Item Description]]</f>
        <v>EA/NRW environmental programme wastewater (WINEP/NEP) - Chemicals and emerging contaminants monitoring, investigations, options appraisals; (WINEP/NEP) wastewater totex - Total</v>
      </c>
      <c r="D18" s="2" t="str">
        <f>Table1[[#This Row],[Unit]]</f>
        <v>£m</v>
      </c>
      <c r="E18" s="2" t="str">
        <f>Table1[[#This Row],[Model]]</f>
        <v>Price Review 2024</v>
      </c>
      <c r="H18" s="2">
        <v>1.3959999999999999</v>
      </c>
      <c r="I18" s="2">
        <v>1.3560000000000001</v>
      </c>
      <c r="M18" s="2" t="s">
        <v>109</v>
      </c>
    </row>
    <row r="19" spans="1:13" s="2" customFormat="1">
      <c r="A19" s="2" t="str">
        <f>Table1[[#This Row],[Acronym]]</f>
        <v>WSH</v>
      </c>
      <c r="B19" s="2" t="str">
        <f>Table1[[#This Row],[BON code]]</f>
        <v>BN1603_PR24</v>
      </c>
      <c r="C19" s="2" t="str">
        <f>Table1[[#This Row],[Item Description]]</f>
        <v>Sewage treatment data - Current population equivalent served by STWs</v>
      </c>
      <c r="D19" s="2" t="str">
        <f>Table1[[#This Row],[Unit]]</f>
        <v>000s</v>
      </c>
      <c r="E19" s="2" t="str">
        <f>Table1[[#This Row],[Model]]</f>
        <v>Price Review 2024</v>
      </c>
    </row>
    <row r="20" spans="1:13" s="2" customFormat="1">
      <c r="A20" s="2" t="str">
        <f>Table1[[#This Row],[Acronym]]</f>
        <v>WSH</v>
      </c>
      <c r="B20" s="2" t="str">
        <f>Table1[[#This Row],[BON code]]</f>
        <v>CWW12_052TOT_PR24</v>
      </c>
      <c r="C20" s="2" t="str">
        <f>Table1[[#This Row],[Item Description]]</f>
        <v>EA/NRW environmental programme wastewater (WINEP/NEP) - Chemicals and emerging contaminants monitoring, investigations, options appraisals; (WINEP/NEP) wastewater capex - Total</v>
      </c>
      <c r="D20" s="2" t="str">
        <f>Table1[[#This Row],[Unit]]</f>
        <v>£m</v>
      </c>
      <c r="E20" s="2" t="str">
        <f>Table1[[#This Row],[Model]]</f>
        <v>Price Review 2024</v>
      </c>
    </row>
    <row r="21" spans="1:13" s="2" customFormat="1">
      <c r="A21" s="2" t="str">
        <f>Table1[[#This Row],[Acronym]]</f>
        <v>WSH</v>
      </c>
      <c r="B21" s="2" t="str">
        <f>Table1[[#This Row],[BON code]]</f>
        <v>CWW17_052TOT_PR24</v>
      </c>
      <c r="C21" s="2" t="str">
        <f>Table1[[#This Row],[Item Description]]</f>
        <v>EA/NRW environmental programme wastewater (WINEP/NEP) - Chemicals and emerging contaminants monitoring, investigations, options appraisals; (WINEP/NEP) wastewater capex - Total</v>
      </c>
      <c r="D21" s="2" t="str">
        <f>Table1[[#This Row],[Unit]]</f>
        <v>£m</v>
      </c>
      <c r="E21" s="2" t="str">
        <f>Table1[[#This Row],[Model]]</f>
        <v>Price Review 2024</v>
      </c>
    </row>
    <row r="22" spans="1:13" s="2" customFormat="1">
      <c r="A22" s="2" t="str">
        <f>Table1[[#This Row],[Acronym]]</f>
        <v>WSH</v>
      </c>
      <c r="B22" s="2" t="str">
        <f>Table1[[#This Row],[BON code]]</f>
        <v>CWW12_053TOT_PR24</v>
      </c>
      <c r="C22" s="2" t="str">
        <f>Table1[[#This Row],[Item Description]]</f>
        <v>EA/NRW environmental programme wastewater (WINEP/NEP) - Chemicals and emerging contaminants monitoring, investigations, options appraisals; (WINEP/NEP) wastewater opex - Total</v>
      </c>
      <c r="D22" s="2" t="str">
        <f>Table1[[#This Row],[Unit]]</f>
        <v>£m</v>
      </c>
      <c r="E22" s="2" t="str">
        <f>Table1[[#This Row],[Model]]</f>
        <v>Price Review 2024</v>
      </c>
    </row>
    <row r="23" spans="1:13" s="2" customFormat="1">
      <c r="A23" s="2" t="str">
        <f>Table1[[#This Row],[Acronym]]</f>
        <v>WSH</v>
      </c>
      <c r="B23" s="2" t="str">
        <f>Table1[[#This Row],[BON code]]</f>
        <v>CWW17_053TOT_PR24</v>
      </c>
      <c r="C23" s="2" t="str">
        <f>Table1[[#This Row],[Item Description]]</f>
        <v>EA/NRW environmental programme wastewater (WINEP/NEP) - Chemicals and emerging contaminants monitoring, investigations, options appraisals; (WINEP/NEP) wastewater opex - Total</v>
      </c>
      <c r="D23" s="2" t="str">
        <f>Table1[[#This Row],[Unit]]</f>
        <v>£m</v>
      </c>
      <c r="E23" s="2" t="str">
        <f>Table1[[#This Row],[Model]]</f>
        <v>Price Review 2024</v>
      </c>
    </row>
    <row r="24" spans="1:13" s="2" customFormat="1">
      <c r="A24" s="2" t="str">
        <f>Table1[[#This Row],[Acronym]]</f>
        <v>WSH</v>
      </c>
      <c r="B24" s="2" t="str">
        <f>Table1[[#This Row],[BON code]]</f>
        <v>CWW12_054TOT_PR24</v>
      </c>
      <c r="C24" s="2" t="str">
        <f>Table1[[#This Row],[Item Description]]</f>
        <v>EA/NRW environmental programme wastewater (WINEP/NEP) - Chemicals and emerging contaminants monitoring, investigations, options appraisals; (WINEP/NEP) wastewater totex - Total</v>
      </c>
      <c r="D24" s="2" t="str">
        <f>Table1[[#This Row],[Unit]]</f>
        <v>£m</v>
      </c>
      <c r="E24" s="2" t="str">
        <f>Table1[[#This Row],[Model]]</f>
        <v>Price Review 2024</v>
      </c>
    </row>
    <row r="25" spans="1:13" s="2" customFormat="1">
      <c r="A25" s="2" t="str">
        <f>Table1[[#This Row],[Acronym]]</f>
        <v>WSH</v>
      </c>
      <c r="B25" s="2" t="str">
        <f>Table1[[#This Row],[BON code]]</f>
        <v>CWW17_054TOT_PR24</v>
      </c>
      <c r="C25" s="2" t="str">
        <f>Table1[[#This Row],[Item Description]]</f>
        <v>EA/NRW environmental programme wastewater (WINEP/NEP) - Chemicals and emerging contaminants monitoring, investigations, options appraisals; (WINEP/NEP) wastewater totex - Total</v>
      </c>
      <c r="D25" s="2" t="str">
        <f>Table1[[#This Row],[Unit]]</f>
        <v>£m</v>
      </c>
      <c r="E25" s="2" t="str">
        <f>Table1[[#This Row],[Model]]</f>
        <v>Price Review 2024</v>
      </c>
    </row>
    <row r="26" spans="1:13" s="2" customFormat="1">
      <c r="A26" s="2" t="str">
        <f>Table1[[#This Row],[Acronym]]</f>
        <v>WSH</v>
      </c>
      <c r="B26" s="2" t="str">
        <f>Table1[[#This Row],[BON code]]</f>
        <v>PR24_NETTOTEX_WASTE</v>
      </c>
      <c r="C26" s="2" t="str">
        <f>Table1[[#This Row],[Item Description]]</f>
        <v>PR24 BP Net totex - Total inc. accelerated &amp; transition costs</v>
      </c>
      <c r="D26" s="2" t="str">
        <f>Table1[[#This Row],[Unit]]</f>
        <v>£m</v>
      </c>
      <c r="E26" s="2" t="str">
        <f>Table1[[#This Row],[Model]]</f>
        <v>Price Review 2024</v>
      </c>
    </row>
    <row r="27" spans="1:13" s="2" customFormat="1">
      <c r="A27" s="2" t="str">
        <f>Table1[[#This Row],[Acronym]]</f>
        <v>HDD</v>
      </c>
      <c r="B27" s="2" t="str">
        <f>Table1[[#This Row],[BON code]]</f>
        <v>CWW3_052TOT_PR24</v>
      </c>
      <c r="C27" s="2" t="str">
        <f>Table1[[#This Row],[Item Description]]</f>
        <v>EA/NRW environmental programme wastewater (WINEP/NEP) - Chemicals and emerging contaminants monitoring, investigations, options appraisals; (WINEP/NEP) wastewater capex - Total</v>
      </c>
      <c r="D27" s="2" t="str">
        <f>Table1[[#This Row],[Unit]]</f>
        <v>£m</v>
      </c>
      <c r="E27" s="2" t="str">
        <f>Table1[[#This Row],[Model]]</f>
        <v>Price Review 2024</v>
      </c>
    </row>
    <row r="28" spans="1:13" s="2" customFormat="1">
      <c r="A28" s="2" t="str">
        <f>Table1[[#This Row],[Acronym]]</f>
        <v>HDD</v>
      </c>
      <c r="B28" s="2" t="str">
        <f>Table1[[#This Row],[BON code]]</f>
        <v>CWW3_053TOT_PR24</v>
      </c>
      <c r="C28" s="2" t="str">
        <f>Table1[[#This Row],[Item Description]]</f>
        <v>EA/NRW environmental programme wastewater (WINEP/NEP) - Chemicals and emerging contaminants monitoring, investigations, options appraisals; (WINEP/NEP) wastewater opex - Total</v>
      </c>
      <c r="D28" s="2" t="str">
        <f>Table1[[#This Row],[Unit]]</f>
        <v>£m</v>
      </c>
      <c r="E28" s="2" t="str">
        <f>Table1[[#This Row],[Model]]</f>
        <v>Price Review 2024</v>
      </c>
    </row>
    <row r="29" spans="1:13" s="2" customFormat="1">
      <c r="A29" s="2" t="str">
        <f>Table1[[#This Row],[Acronym]]</f>
        <v>HDD</v>
      </c>
      <c r="B29" s="2" t="str">
        <f>Table1[[#This Row],[BON code]]</f>
        <v>CWW3_054TOT_PR24</v>
      </c>
      <c r="C29" s="2" t="str">
        <f>Table1[[#This Row],[Item Description]]</f>
        <v>EA/NRW environmental programme wastewater (WINEP/NEP) - Chemicals and emerging contaminants monitoring, investigations, options appraisals; (WINEP/NEP) wastewater totex - Total</v>
      </c>
      <c r="D29" s="2" t="str">
        <f>Table1[[#This Row],[Unit]]</f>
        <v>£m</v>
      </c>
      <c r="E29" s="2" t="str">
        <f>Table1[[#This Row],[Model]]</f>
        <v>Price Review 2024</v>
      </c>
    </row>
    <row r="30" spans="1:13" s="2" customFormat="1">
      <c r="A30" s="2" t="str">
        <f>Table1[[#This Row],[Acronym]]</f>
        <v>HDD</v>
      </c>
      <c r="B30" s="2" t="str">
        <f>Table1[[#This Row],[BON code]]</f>
        <v>BN1603_PR24</v>
      </c>
      <c r="C30" s="2" t="str">
        <f>Table1[[#This Row],[Item Description]]</f>
        <v>Sewage treatment data - Current population equivalent served by STWs</v>
      </c>
      <c r="D30" s="2" t="str">
        <f>Table1[[#This Row],[Unit]]</f>
        <v>000s</v>
      </c>
      <c r="E30" s="2" t="str">
        <f>Table1[[#This Row],[Model]]</f>
        <v>Price Review 2024</v>
      </c>
    </row>
    <row r="31" spans="1:13" s="2" customFormat="1">
      <c r="A31" s="2" t="str">
        <f>Table1[[#This Row],[Acronym]]</f>
        <v>HDD</v>
      </c>
      <c r="B31" s="2" t="str">
        <f>Table1[[#This Row],[BON code]]</f>
        <v>CWW12_052TOT_PR24</v>
      </c>
      <c r="C31" s="2" t="str">
        <f>Table1[[#This Row],[Item Description]]</f>
        <v>EA/NRW environmental programme wastewater (WINEP/NEP) - Chemicals and emerging contaminants monitoring, investigations, options appraisals; (WINEP/NEP) wastewater capex - Total</v>
      </c>
      <c r="D31" s="2" t="str">
        <f>Table1[[#This Row],[Unit]]</f>
        <v>£m</v>
      </c>
      <c r="E31" s="2" t="str">
        <f>Table1[[#This Row],[Model]]</f>
        <v>Price Review 2024</v>
      </c>
    </row>
    <row r="32" spans="1:13" s="2" customFormat="1">
      <c r="A32" s="2" t="str">
        <f>Table1[[#This Row],[Acronym]]</f>
        <v>HDD</v>
      </c>
      <c r="B32" s="2" t="str">
        <f>Table1[[#This Row],[BON code]]</f>
        <v>CWW17_052TOT_PR24</v>
      </c>
      <c r="C32" s="2" t="str">
        <f>Table1[[#This Row],[Item Description]]</f>
        <v>EA/NRW environmental programme wastewater (WINEP/NEP) - Chemicals and emerging contaminants monitoring, investigations, options appraisals; (WINEP/NEP) wastewater capex - Total</v>
      </c>
      <c r="D32" s="2" t="str">
        <f>Table1[[#This Row],[Unit]]</f>
        <v>£m</v>
      </c>
      <c r="E32" s="2" t="str">
        <f>Table1[[#This Row],[Model]]</f>
        <v>Price Review 2024</v>
      </c>
    </row>
    <row r="33" spans="1:5" s="2" customFormat="1">
      <c r="A33" s="2" t="str">
        <f>Table1[[#This Row],[Acronym]]</f>
        <v>HDD</v>
      </c>
      <c r="B33" s="2" t="str">
        <f>Table1[[#This Row],[BON code]]</f>
        <v>CWW12_053TOT_PR24</v>
      </c>
      <c r="C33" s="2" t="str">
        <f>Table1[[#This Row],[Item Description]]</f>
        <v>EA/NRW environmental programme wastewater (WINEP/NEP) - Chemicals and emerging contaminants monitoring, investigations, options appraisals; (WINEP/NEP) wastewater opex - Total</v>
      </c>
      <c r="D33" s="2" t="str">
        <f>Table1[[#This Row],[Unit]]</f>
        <v>£m</v>
      </c>
      <c r="E33" s="2" t="str">
        <f>Table1[[#This Row],[Model]]</f>
        <v>Price Review 2024</v>
      </c>
    </row>
    <row r="34" spans="1:5" s="2" customFormat="1">
      <c r="A34" s="2" t="str">
        <f>Table1[[#This Row],[Acronym]]</f>
        <v>HDD</v>
      </c>
      <c r="B34" s="2" t="str">
        <f>Table1[[#This Row],[BON code]]</f>
        <v>CWW17_053TOT_PR24</v>
      </c>
      <c r="C34" s="2" t="str">
        <f>Table1[[#This Row],[Item Description]]</f>
        <v>EA/NRW environmental programme wastewater (WINEP/NEP) - Chemicals and emerging contaminants monitoring, investigations, options appraisals; (WINEP/NEP) wastewater opex - Total</v>
      </c>
      <c r="D34" s="2" t="str">
        <f>Table1[[#This Row],[Unit]]</f>
        <v>£m</v>
      </c>
      <c r="E34" s="2" t="str">
        <f>Table1[[#This Row],[Model]]</f>
        <v>Price Review 2024</v>
      </c>
    </row>
    <row r="35" spans="1:5" s="2" customFormat="1">
      <c r="A35" s="2" t="str">
        <f>Table1[[#This Row],[Acronym]]</f>
        <v>HDD</v>
      </c>
      <c r="B35" s="2" t="str">
        <f>Table1[[#This Row],[BON code]]</f>
        <v>CWW12_054TOT_PR24</v>
      </c>
      <c r="C35" s="2" t="str">
        <f>Table1[[#This Row],[Item Description]]</f>
        <v>EA/NRW environmental programme wastewater (WINEP/NEP) - Chemicals and emerging contaminants monitoring, investigations, options appraisals; (WINEP/NEP) wastewater totex - Total</v>
      </c>
      <c r="D35" s="2" t="str">
        <f>Table1[[#This Row],[Unit]]</f>
        <v>£m</v>
      </c>
      <c r="E35" s="2" t="str">
        <f>Table1[[#This Row],[Model]]</f>
        <v>Price Review 2024</v>
      </c>
    </row>
    <row r="36" spans="1:5" s="2" customFormat="1">
      <c r="A36" s="2" t="str">
        <f>Table1[[#This Row],[Acronym]]</f>
        <v>HDD</v>
      </c>
      <c r="B36" s="2" t="str">
        <f>Table1[[#This Row],[BON code]]</f>
        <v>CWW17_054TOT_PR24</v>
      </c>
      <c r="C36" s="2" t="str">
        <f>Table1[[#This Row],[Item Description]]</f>
        <v>EA/NRW environmental programme wastewater (WINEP/NEP) - Chemicals and emerging contaminants monitoring, investigations, options appraisals; (WINEP/NEP) wastewater totex - Total</v>
      </c>
      <c r="D36" s="2" t="str">
        <f>Table1[[#This Row],[Unit]]</f>
        <v>£m</v>
      </c>
      <c r="E36" s="2" t="str">
        <f>Table1[[#This Row],[Model]]</f>
        <v>Price Review 2024</v>
      </c>
    </row>
    <row r="37" spans="1:5" s="2" customFormat="1">
      <c r="A37" s="2" t="str">
        <f>Table1[[#This Row],[Acronym]]</f>
        <v>HDD</v>
      </c>
      <c r="B37" s="2" t="str">
        <f>Table1[[#This Row],[BON code]]</f>
        <v>PR24_NETTOTEX_WASTE</v>
      </c>
      <c r="C37" s="2" t="str">
        <f>Table1[[#This Row],[Item Description]]</f>
        <v>PR24 BP Net totex - Total inc. accelerated &amp; transition costs</v>
      </c>
      <c r="D37" s="2" t="str">
        <f>Table1[[#This Row],[Unit]]</f>
        <v>£m</v>
      </c>
      <c r="E37" s="2" t="str">
        <f>Table1[[#This Row],[Model]]</f>
        <v>Price Review 2024</v>
      </c>
    </row>
    <row r="38" spans="1:5" s="2" customFormat="1">
      <c r="A38" s="2" t="str">
        <f>Table1[[#This Row],[Acronym]]</f>
        <v>NES</v>
      </c>
      <c r="B38" s="2" t="str">
        <f>Table1[[#This Row],[BON code]]</f>
        <v>CWW3_052TOT_PR24</v>
      </c>
      <c r="C38" s="2" t="str">
        <f>Table1[[#This Row],[Item Description]]</f>
        <v>EA/NRW environmental programme wastewater (WINEP/NEP) - Chemicals and emerging contaminants monitoring, investigations, options appraisals; (WINEP/NEP) wastewater capex - Total</v>
      </c>
      <c r="D38" s="2" t="str">
        <f>Table1[[#This Row],[Unit]]</f>
        <v>£m</v>
      </c>
      <c r="E38" s="2" t="str">
        <f>Table1[[#This Row],[Model]]</f>
        <v>Price Review 2024</v>
      </c>
    </row>
    <row r="39" spans="1:5" s="2" customFormat="1">
      <c r="A39" s="2" t="str">
        <f>Table1[[#This Row],[Acronym]]</f>
        <v>NES</v>
      </c>
      <c r="B39" s="2" t="str">
        <f>Table1[[#This Row],[BON code]]</f>
        <v>CWW3_053TOT_PR24</v>
      </c>
      <c r="C39" s="2" t="str">
        <f>Table1[[#This Row],[Item Description]]</f>
        <v>EA/NRW environmental programme wastewater (WINEP/NEP) - Chemicals and emerging contaminants monitoring, investigations, options appraisals; (WINEP/NEP) wastewater opex - Total</v>
      </c>
      <c r="D39" s="2" t="str">
        <f>Table1[[#This Row],[Unit]]</f>
        <v>£m</v>
      </c>
      <c r="E39" s="2" t="str">
        <f>Table1[[#This Row],[Model]]</f>
        <v>Price Review 2024</v>
      </c>
    </row>
    <row r="40" spans="1:5" s="2" customFormat="1">
      <c r="A40" s="2" t="str">
        <f>Table1[[#This Row],[Acronym]]</f>
        <v>NES</v>
      </c>
      <c r="B40" s="2" t="str">
        <f>Table1[[#This Row],[BON code]]</f>
        <v>CWW3_054TOT_PR24</v>
      </c>
      <c r="C40" s="2" t="str">
        <f>Table1[[#This Row],[Item Description]]</f>
        <v>EA/NRW environmental programme wastewater (WINEP/NEP) - Chemicals and emerging contaminants monitoring, investigations, options appraisals; (WINEP/NEP) wastewater totex - Total</v>
      </c>
      <c r="D40" s="2" t="str">
        <f>Table1[[#This Row],[Unit]]</f>
        <v>£m</v>
      </c>
      <c r="E40" s="2" t="str">
        <f>Table1[[#This Row],[Model]]</f>
        <v>Price Review 2024</v>
      </c>
    </row>
    <row r="41" spans="1:5" s="2" customFormat="1">
      <c r="A41" s="2" t="str">
        <f>Table1[[#This Row],[Acronym]]</f>
        <v>NES</v>
      </c>
      <c r="B41" s="2" t="str">
        <f>Table1[[#This Row],[BON code]]</f>
        <v>BN1603_PR24</v>
      </c>
      <c r="C41" s="2" t="str">
        <f>Table1[[#This Row],[Item Description]]</f>
        <v>Sewage treatment data - Current population equivalent served by STWs</v>
      </c>
      <c r="D41" s="2" t="str">
        <f>Table1[[#This Row],[Unit]]</f>
        <v>000s</v>
      </c>
      <c r="E41" s="2" t="str">
        <f>Table1[[#This Row],[Model]]</f>
        <v>Price Review 2024</v>
      </c>
    </row>
    <row r="42" spans="1:5" s="2" customFormat="1">
      <c r="A42" s="2" t="str">
        <f>Table1[[#This Row],[Acronym]]</f>
        <v>NES</v>
      </c>
      <c r="B42" s="2" t="str">
        <f>Table1[[#This Row],[BON code]]</f>
        <v>CWW12_052TOT_PR24</v>
      </c>
      <c r="C42" s="2" t="str">
        <f>Table1[[#This Row],[Item Description]]</f>
        <v>EA/NRW environmental programme wastewater (WINEP/NEP) - Chemicals and emerging contaminants monitoring, investigations, options appraisals; (WINEP/NEP) wastewater capex - Total</v>
      </c>
      <c r="D42" s="2" t="str">
        <f>Table1[[#This Row],[Unit]]</f>
        <v>£m</v>
      </c>
      <c r="E42" s="2" t="str">
        <f>Table1[[#This Row],[Model]]</f>
        <v>Price Review 2024</v>
      </c>
    </row>
    <row r="43" spans="1:5" s="2" customFormat="1">
      <c r="A43" s="2" t="str">
        <f>Table1[[#This Row],[Acronym]]</f>
        <v>NES</v>
      </c>
      <c r="B43" s="2" t="str">
        <f>Table1[[#This Row],[BON code]]</f>
        <v>CWW17_052TOT_PR24</v>
      </c>
      <c r="C43" s="2" t="str">
        <f>Table1[[#This Row],[Item Description]]</f>
        <v>EA/NRW environmental programme wastewater (WINEP/NEP) - Chemicals and emerging contaminants monitoring, investigations, options appraisals; (WINEP/NEP) wastewater capex - Total</v>
      </c>
      <c r="D43" s="2" t="str">
        <f>Table1[[#This Row],[Unit]]</f>
        <v>£m</v>
      </c>
      <c r="E43" s="2" t="str">
        <f>Table1[[#This Row],[Model]]</f>
        <v>Price Review 2024</v>
      </c>
    </row>
    <row r="44" spans="1:5" s="2" customFormat="1">
      <c r="A44" s="2" t="str">
        <f>Table1[[#This Row],[Acronym]]</f>
        <v>NES</v>
      </c>
      <c r="B44" s="2" t="str">
        <f>Table1[[#This Row],[BON code]]</f>
        <v>CWW12_053TOT_PR24</v>
      </c>
      <c r="C44" s="2" t="str">
        <f>Table1[[#This Row],[Item Description]]</f>
        <v>EA/NRW environmental programme wastewater (WINEP/NEP) - Chemicals and emerging contaminants monitoring, investigations, options appraisals; (WINEP/NEP) wastewater opex - Total</v>
      </c>
      <c r="D44" s="2" t="str">
        <f>Table1[[#This Row],[Unit]]</f>
        <v>£m</v>
      </c>
      <c r="E44" s="2" t="str">
        <f>Table1[[#This Row],[Model]]</f>
        <v>Price Review 2024</v>
      </c>
    </row>
    <row r="45" spans="1:5" s="2" customFormat="1">
      <c r="A45" s="2" t="str">
        <f>Table1[[#This Row],[Acronym]]</f>
        <v>NES</v>
      </c>
      <c r="B45" s="2" t="str">
        <f>Table1[[#This Row],[BON code]]</f>
        <v>CWW17_053TOT_PR24</v>
      </c>
      <c r="C45" s="2" t="str">
        <f>Table1[[#This Row],[Item Description]]</f>
        <v>EA/NRW environmental programme wastewater (WINEP/NEP) - Chemicals and emerging contaminants monitoring, investigations, options appraisals; (WINEP/NEP) wastewater opex - Total</v>
      </c>
      <c r="D45" s="2" t="str">
        <f>Table1[[#This Row],[Unit]]</f>
        <v>£m</v>
      </c>
      <c r="E45" s="2" t="str">
        <f>Table1[[#This Row],[Model]]</f>
        <v>Price Review 2024</v>
      </c>
    </row>
    <row r="46" spans="1:5" s="2" customFormat="1">
      <c r="A46" s="2" t="str">
        <f>Table1[[#This Row],[Acronym]]</f>
        <v>NES</v>
      </c>
      <c r="B46" s="2" t="str">
        <f>Table1[[#This Row],[BON code]]</f>
        <v>CWW12_054TOT_PR24</v>
      </c>
      <c r="C46" s="2" t="str">
        <f>Table1[[#This Row],[Item Description]]</f>
        <v>EA/NRW environmental programme wastewater (WINEP/NEP) - Chemicals and emerging contaminants monitoring, investigations, options appraisals; (WINEP/NEP) wastewater totex - Total</v>
      </c>
      <c r="D46" s="2" t="str">
        <f>Table1[[#This Row],[Unit]]</f>
        <v>£m</v>
      </c>
      <c r="E46" s="2" t="str">
        <f>Table1[[#This Row],[Model]]</f>
        <v>Price Review 2024</v>
      </c>
    </row>
    <row r="47" spans="1:5" s="2" customFormat="1">
      <c r="A47" s="2" t="str">
        <f>Table1[[#This Row],[Acronym]]</f>
        <v>NES</v>
      </c>
      <c r="B47" s="2" t="str">
        <f>Table1[[#This Row],[BON code]]</f>
        <v>CWW17_054TOT_PR24</v>
      </c>
      <c r="C47" s="2" t="str">
        <f>Table1[[#This Row],[Item Description]]</f>
        <v>EA/NRW environmental programme wastewater (WINEP/NEP) - Chemicals and emerging contaminants monitoring, investigations, options appraisals; (WINEP/NEP) wastewater totex - Total</v>
      </c>
      <c r="D47" s="2" t="str">
        <f>Table1[[#This Row],[Unit]]</f>
        <v>£m</v>
      </c>
      <c r="E47" s="2" t="str">
        <f>Table1[[#This Row],[Model]]</f>
        <v>Price Review 2024</v>
      </c>
    </row>
    <row r="48" spans="1:5" s="2" customFormat="1">
      <c r="A48" s="2" t="str">
        <f>Table1[[#This Row],[Acronym]]</f>
        <v>NES</v>
      </c>
      <c r="B48" s="2" t="str">
        <f>Table1[[#This Row],[BON code]]</f>
        <v>PR24_NETTOTEX_WASTE</v>
      </c>
      <c r="C48" s="2" t="str">
        <f>Table1[[#This Row],[Item Description]]</f>
        <v>PR24 BP Net totex - Total inc. accelerated &amp; transition costs</v>
      </c>
      <c r="D48" s="2" t="str">
        <f>Table1[[#This Row],[Unit]]</f>
        <v>£m</v>
      </c>
      <c r="E48" s="2" t="str">
        <f>Table1[[#This Row],[Model]]</f>
        <v>Price Review 2024</v>
      </c>
    </row>
    <row r="49" spans="1:5" s="2" customFormat="1">
      <c r="A49" s="2" t="str">
        <f>Table1[[#This Row],[Acronym]]</f>
        <v>SVE</v>
      </c>
      <c r="B49" s="2" t="str">
        <f>Table1[[#This Row],[BON code]]</f>
        <v>CWW3_052TOT_PR24</v>
      </c>
      <c r="C49" s="2" t="str">
        <f>Table1[[#This Row],[Item Description]]</f>
        <v>EA/NRW environmental programme wastewater (WINEP/NEP) - Chemicals and emerging contaminants monitoring, investigations, options appraisals; (WINEP/NEP) wastewater capex - Total</v>
      </c>
      <c r="D49" s="2" t="str">
        <f>Table1[[#This Row],[Unit]]</f>
        <v>£m</v>
      </c>
      <c r="E49" s="2" t="str">
        <f>Table1[[#This Row],[Model]]</f>
        <v>Price Review 2024</v>
      </c>
    </row>
    <row r="50" spans="1:5" s="2" customFormat="1">
      <c r="A50" s="2" t="str">
        <f>Table1[[#This Row],[Acronym]]</f>
        <v>SVE</v>
      </c>
      <c r="B50" s="2" t="str">
        <f>Table1[[#This Row],[BON code]]</f>
        <v>CWW3_053TOT_PR24</v>
      </c>
      <c r="C50" s="2" t="str">
        <f>Table1[[#This Row],[Item Description]]</f>
        <v>EA/NRW environmental programme wastewater (WINEP/NEP) - Chemicals and emerging contaminants monitoring, investigations, options appraisals; (WINEP/NEP) wastewater opex - Total</v>
      </c>
      <c r="D50" s="2" t="str">
        <f>Table1[[#This Row],[Unit]]</f>
        <v>£m</v>
      </c>
      <c r="E50" s="2" t="str">
        <f>Table1[[#This Row],[Model]]</f>
        <v>Price Review 2024</v>
      </c>
    </row>
    <row r="51" spans="1:5" s="2" customFormat="1">
      <c r="A51" s="2" t="str">
        <f>Table1[[#This Row],[Acronym]]</f>
        <v>SVE</v>
      </c>
      <c r="B51" s="2" t="str">
        <f>Table1[[#This Row],[BON code]]</f>
        <v>CWW3_054TOT_PR24</v>
      </c>
      <c r="C51" s="2" t="str">
        <f>Table1[[#This Row],[Item Description]]</f>
        <v>EA/NRW environmental programme wastewater (WINEP/NEP) - Chemicals and emerging contaminants monitoring, investigations, options appraisals; (WINEP/NEP) wastewater totex - Total</v>
      </c>
      <c r="D51" s="2" t="str">
        <f>Table1[[#This Row],[Unit]]</f>
        <v>£m</v>
      </c>
      <c r="E51" s="2" t="str">
        <f>Table1[[#This Row],[Model]]</f>
        <v>Price Review 2024</v>
      </c>
    </row>
    <row r="52" spans="1:5" s="2" customFormat="1">
      <c r="A52" s="2" t="str">
        <f>Table1[[#This Row],[Acronym]]</f>
        <v>SVE</v>
      </c>
      <c r="B52" s="2" t="str">
        <f>Table1[[#This Row],[BON code]]</f>
        <v>BN1603_PR24</v>
      </c>
      <c r="C52" s="2" t="str">
        <f>Table1[[#This Row],[Item Description]]</f>
        <v>Sewage treatment data - Current population equivalent served by STWs</v>
      </c>
      <c r="D52" s="2" t="str">
        <f>Table1[[#This Row],[Unit]]</f>
        <v>000s</v>
      </c>
      <c r="E52" s="2" t="str">
        <f>Table1[[#This Row],[Model]]</f>
        <v>Price Review 2024</v>
      </c>
    </row>
    <row r="53" spans="1:5" s="2" customFormat="1">
      <c r="A53" s="2" t="str">
        <f>Table1[[#This Row],[Acronym]]</f>
        <v>SVE</v>
      </c>
      <c r="B53" s="2" t="str">
        <f>Table1[[#This Row],[BON code]]</f>
        <v>CWW12_052TOT_PR24</v>
      </c>
      <c r="C53" s="2" t="str">
        <f>Table1[[#This Row],[Item Description]]</f>
        <v>EA/NRW environmental programme wastewater (WINEP/NEP) - Chemicals and emerging contaminants monitoring, investigations, options appraisals; (WINEP/NEP) wastewater capex - Total</v>
      </c>
      <c r="D53" s="2" t="str">
        <f>Table1[[#This Row],[Unit]]</f>
        <v>£m</v>
      </c>
      <c r="E53" s="2" t="str">
        <f>Table1[[#This Row],[Model]]</f>
        <v>Price Review 2024</v>
      </c>
    </row>
    <row r="54" spans="1:5" s="2" customFormat="1">
      <c r="A54" s="2" t="str">
        <f>Table1[[#This Row],[Acronym]]</f>
        <v>SVE</v>
      </c>
      <c r="B54" s="2" t="str">
        <f>Table1[[#This Row],[BON code]]</f>
        <v>CWW17_052TOT_PR24</v>
      </c>
      <c r="C54" s="2" t="str">
        <f>Table1[[#This Row],[Item Description]]</f>
        <v>EA/NRW environmental programme wastewater (WINEP/NEP) - Chemicals and emerging contaminants monitoring, investigations, options appraisals; (WINEP/NEP) wastewater capex - Total</v>
      </c>
      <c r="D54" s="2" t="str">
        <f>Table1[[#This Row],[Unit]]</f>
        <v>£m</v>
      </c>
      <c r="E54" s="2" t="str">
        <f>Table1[[#This Row],[Model]]</f>
        <v>Price Review 2024</v>
      </c>
    </row>
    <row r="55" spans="1:5" s="2" customFormat="1">
      <c r="A55" s="2" t="str">
        <f>Table1[[#This Row],[Acronym]]</f>
        <v>SVE</v>
      </c>
      <c r="B55" s="2" t="str">
        <f>Table1[[#This Row],[BON code]]</f>
        <v>CWW12_053TOT_PR24</v>
      </c>
      <c r="C55" s="2" t="str">
        <f>Table1[[#This Row],[Item Description]]</f>
        <v>EA/NRW environmental programme wastewater (WINEP/NEP) - Chemicals and emerging contaminants monitoring, investigations, options appraisals; (WINEP/NEP) wastewater opex - Total</v>
      </c>
      <c r="D55" s="2" t="str">
        <f>Table1[[#This Row],[Unit]]</f>
        <v>£m</v>
      </c>
      <c r="E55" s="2" t="str">
        <f>Table1[[#This Row],[Model]]</f>
        <v>Price Review 2024</v>
      </c>
    </row>
    <row r="56" spans="1:5" s="2" customFormat="1">
      <c r="A56" s="2" t="str">
        <f>Table1[[#This Row],[Acronym]]</f>
        <v>SVE</v>
      </c>
      <c r="B56" s="2" t="str">
        <f>Table1[[#This Row],[BON code]]</f>
        <v>CWW17_053TOT_PR24</v>
      </c>
      <c r="C56" s="2" t="str">
        <f>Table1[[#This Row],[Item Description]]</f>
        <v>EA/NRW environmental programme wastewater (WINEP/NEP) - Chemicals and emerging contaminants monitoring, investigations, options appraisals; (WINEP/NEP) wastewater opex - Total</v>
      </c>
      <c r="D56" s="2" t="str">
        <f>Table1[[#This Row],[Unit]]</f>
        <v>£m</v>
      </c>
      <c r="E56" s="2" t="str">
        <f>Table1[[#This Row],[Model]]</f>
        <v>Price Review 2024</v>
      </c>
    </row>
    <row r="57" spans="1:5" s="2" customFormat="1">
      <c r="A57" s="2" t="str">
        <f>Table1[[#This Row],[Acronym]]</f>
        <v>SVE</v>
      </c>
      <c r="B57" s="2" t="str">
        <f>Table1[[#This Row],[BON code]]</f>
        <v>CWW12_054TOT_PR24</v>
      </c>
      <c r="C57" s="2" t="str">
        <f>Table1[[#This Row],[Item Description]]</f>
        <v>EA/NRW environmental programme wastewater (WINEP/NEP) - Chemicals and emerging contaminants monitoring, investigations, options appraisals; (WINEP/NEP) wastewater totex - Total</v>
      </c>
      <c r="D57" s="2" t="str">
        <f>Table1[[#This Row],[Unit]]</f>
        <v>£m</v>
      </c>
      <c r="E57" s="2" t="str">
        <f>Table1[[#This Row],[Model]]</f>
        <v>Price Review 2024</v>
      </c>
    </row>
    <row r="58" spans="1:5" s="2" customFormat="1">
      <c r="A58" s="2" t="str">
        <f>Table1[[#This Row],[Acronym]]</f>
        <v>SVE</v>
      </c>
      <c r="B58" s="2" t="str">
        <f>Table1[[#This Row],[BON code]]</f>
        <v>CWW17_054TOT_PR24</v>
      </c>
      <c r="C58" s="2" t="str">
        <f>Table1[[#This Row],[Item Description]]</f>
        <v>EA/NRW environmental programme wastewater (WINEP/NEP) - Chemicals and emerging contaminants monitoring, investigations, options appraisals; (WINEP/NEP) wastewater totex - Total</v>
      </c>
      <c r="D58" s="2" t="str">
        <f>Table1[[#This Row],[Unit]]</f>
        <v>£m</v>
      </c>
      <c r="E58" s="2" t="str">
        <f>Table1[[#This Row],[Model]]</f>
        <v>Price Review 2024</v>
      </c>
    </row>
    <row r="59" spans="1:5" s="2" customFormat="1">
      <c r="A59" s="2" t="str">
        <f>Table1[[#This Row],[Acronym]]</f>
        <v>SVE</v>
      </c>
      <c r="B59" s="2" t="str">
        <f>Table1[[#This Row],[BON code]]</f>
        <v>PR24_NETTOTEX_WASTE</v>
      </c>
      <c r="C59" s="2" t="str">
        <f>Table1[[#This Row],[Item Description]]</f>
        <v>PR24 BP Net totex - Total inc. accelerated &amp; transition costs</v>
      </c>
      <c r="D59" s="2" t="str">
        <f>Table1[[#This Row],[Unit]]</f>
        <v>£m</v>
      </c>
      <c r="E59" s="2" t="str">
        <f>Table1[[#This Row],[Model]]</f>
        <v>Price Review 2024</v>
      </c>
    </row>
    <row r="60" spans="1:5" s="2" customFormat="1">
      <c r="A60" s="2" t="str">
        <f>Table1[[#This Row],[Acronym]]</f>
        <v>SWB</v>
      </c>
      <c r="B60" s="2" t="str">
        <f>Table1[[#This Row],[BON code]]</f>
        <v>CWW3_052TOT_PR24</v>
      </c>
      <c r="C60" s="2" t="str">
        <f>Table1[[#This Row],[Item Description]]</f>
        <v>EA/NRW environmental programme wastewater (WINEP/NEP) - Chemicals and emerging contaminants monitoring, investigations, options appraisals; (WINEP/NEP) wastewater capex - Total</v>
      </c>
      <c r="D60" s="2" t="str">
        <f>Table1[[#This Row],[Unit]]</f>
        <v>£m</v>
      </c>
      <c r="E60" s="2" t="str">
        <f>Table1[[#This Row],[Model]]</f>
        <v>Price Review 2024</v>
      </c>
    </row>
    <row r="61" spans="1:5" s="2" customFormat="1">
      <c r="A61" s="2" t="str">
        <f>Table1[[#This Row],[Acronym]]</f>
        <v>SWB</v>
      </c>
      <c r="B61" s="2" t="str">
        <f>Table1[[#This Row],[BON code]]</f>
        <v>CWW3_053TOT_PR24</v>
      </c>
      <c r="C61" s="2" t="str">
        <f>Table1[[#This Row],[Item Description]]</f>
        <v>EA/NRW environmental programme wastewater (WINEP/NEP) - Chemicals and emerging contaminants monitoring, investigations, options appraisals; (WINEP/NEP) wastewater opex - Total</v>
      </c>
      <c r="D61" s="2" t="str">
        <f>Table1[[#This Row],[Unit]]</f>
        <v>£m</v>
      </c>
      <c r="E61" s="2" t="str">
        <f>Table1[[#This Row],[Model]]</f>
        <v>Price Review 2024</v>
      </c>
    </row>
    <row r="62" spans="1:5" s="2" customFormat="1">
      <c r="A62" s="2" t="str">
        <f>Table1[[#This Row],[Acronym]]</f>
        <v>SWB</v>
      </c>
      <c r="B62" s="2" t="str">
        <f>Table1[[#This Row],[BON code]]</f>
        <v>CWW3_054TOT_PR24</v>
      </c>
      <c r="C62" s="2" t="str">
        <f>Table1[[#This Row],[Item Description]]</f>
        <v>EA/NRW environmental programme wastewater (WINEP/NEP) - Chemicals and emerging contaminants monitoring, investigations, options appraisals; (WINEP/NEP) wastewater totex - Total</v>
      </c>
      <c r="D62" s="2" t="str">
        <f>Table1[[#This Row],[Unit]]</f>
        <v>£m</v>
      </c>
      <c r="E62" s="2" t="str">
        <f>Table1[[#This Row],[Model]]</f>
        <v>Price Review 2024</v>
      </c>
    </row>
    <row r="63" spans="1:5" s="2" customFormat="1">
      <c r="A63" s="2" t="str">
        <f>Table1[[#This Row],[Acronym]]</f>
        <v>SWB</v>
      </c>
      <c r="B63" s="2" t="str">
        <f>Table1[[#This Row],[BON code]]</f>
        <v>BN1603_PR24</v>
      </c>
      <c r="C63" s="2" t="str">
        <f>Table1[[#This Row],[Item Description]]</f>
        <v>Sewage treatment data - Current population equivalent served by STWs</v>
      </c>
      <c r="D63" s="2" t="str">
        <f>Table1[[#This Row],[Unit]]</f>
        <v>000s</v>
      </c>
      <c r="E63" s="2" t="str">
        <f>Table1[[#This Row],[Model]]</f>
        <v>Price Review 2024</v>
      </c>
    </row>
    <row r="64" spans="1:5" s="2" customFormat="1">
      <c r="A64" s="2" t="str">
        <f>Table1[[#This Row],[Acronym]]</f>
        <v>SWB</v>
      </c>
      <c r="B64" s="2" t="str">
        <f>Table1[[#This Row],[BON code]]</f>
        <v>CWW12_052TOT_PR24</v>
      </c>
      <c r="C64" s="2" t="str">
        <f>Table1[[#This Row],[Item Description]]</f>
        <v>EA/NRW environmental programme wastewater (WINEP/NEP) - Chemicals and emerging contaminants monitoring, investigations, options appraisals; (WINEP/NEP) wastewater capex - Total</v>
      </c>
      <c r="D64" s="2" t="str">
        <f>Table1[[#This Row],[Unit]]</f>
        <v>£m</v>
      </c>
      <c r="E64" s="2" t="str">
        <f>Table1[[#This Row],[Model]]</f>
        <v>Price Review 2024</v>
      </c>
    </row>
    <row r="65" spans="1:5" s="2" customFormat="1">
      <c r="A65" s="2" t="str">
        <f>Table1[[#This Row],[Acronym]]</f>
        <v>SWB</v>
      </c>
      <c r="B65" s="2" t="str">
        <f>Table1[[#This Row],[BON code]]</f>
        <v>CWW17_052TOT_PR24</v>
      </c>
      <c r="C65" s="2" t="str">
        <f>Table1[[#This Row],[Item Description]]</f>
        <v>EA/NRW environmental programme wastewater (WINEP/NEP) - Chemicals and emerging contaminants monitoring, investigations, options appraisals; (WINEP/NEP) wastewater capex - Total</v>
      </c>
      <c r="D65" s="2" t="str">
        <f>Table1[[#This Row],[Unit]]</f>
        <v>£m</v>
      </c>
      <c r="E65" s="2" t="str">
        <f>Table1[[#This Row],[Model]]</f>
        <v>Price Review 2024</v>
      </c>
    </row>
    <row r="66" spans="1:5" s="2" customFormat="1">
      <c r="A66" s="2" t="str">
        <f>Table1[[#This Row],[Acronym]]</f>
        <v>SWB</v>
      </c>
      <c r="B66" s="2" t="str">
        <f>Table1[[#This Row],[BON code]]</f>
        <v>CWW12_053TOT_PR24</v>
      </c>
      <c r="C66" s="2" t="str">
        <f>Table1[[#This Row],[Item Description]]</f>
        <v>EA/NRW environmental programme wastewater (WINEP/NEP) - Chemicals and emerging contaminants monitoring, investigations, options appraisals; (WINEP/NEP) wastewater opex - Total</v>
      </c>
      <c r="D66" s="2" t="str">
        <f>Table1[[#This Row],[Unit]]</f>
        <v>£m</v>
      </c>
      <c r="E66" s="2" t="str">
        <f>Table1[[#This Row],[Model]]</f>
        <v>Price Review 2024</v>
      </c>
    </row>
    <row r="67" spans="1:5" s="2" customFormat="1">
      <c r="A67" s="2" t="str">
        <f>Table1[[#This Row],[Acronym]]</f>
        <v>SWB</v>
      </c>
      <c r="B67" s="2" t="str">
        <f>Table1[[#This Row],[BON code]]</f>
        <v>CWW17_053TOT_PR24</v>
      </c>
      <c r="C67" s="2" t="str">
        <f>Table1[[#This Row],[Item Description]]</f>
        <v>EA/NRW environmental programme wastewater (WINEP/NEP) - Chemicals and emerging contaminants monitoring, investigations, options appraisals; (WINEP/NEP) wastewater opex - Total</v>
      </c>
      <c r="D67" s="2" t="str">
        <f>Table1[[#This Row],[Unit]]</f>
        <v>£m</v>
      </c>
      <c r="E67" s="2" t="str">
        <f>Table1[[#This Row],[Model]]</f>
        <v>Price Review 2024</v>
      </c>
    </row>
    <row r="68" spans="1:5" s="2" customFormat="1">
      <c r="A68" s="2" t="str">
        <f>Table1[[#This Row],[Acronym]]</f>
        <v>SWB</v>
      </c>
      <c r="B68" s="2" t="str">
        <f>Table1[[#This Row],[BON code]]</f>
        <v>CWW12_054TOT_PR24</v>
      </c>
      <c r="C68" s="2" t="str">
        <f>Table1[[#This Row],[Item Description]]</f>
        <v>EA/NRW environmental programme wastewater (WINEP/NEP) - Chemicals and emerging contaminants monitoring, investigations, options appraisals; (WINEP/NEP) wastewater totex - Total</v>
      </c>
      <c r="D68" s="2" t="str">
        <f>Table1[[#This Row],[Unit]]</f>
        <v>£m</v>
      </c>
      <c r="E68" s="2" t="str">
        <f>Table1[[#This Row],[Model]]</f>
        <v>Price Review 2024</v>
      </c>
    </row>
    <row r="69" spans="1:5" s="2" customFormat="1">
      <c r="A69" s="2" t="str">
        <f>Table1[[#This Row],[Acronym]]</f>
        <v>SWB</v>
      </c>
      <c r="B69" s="2" t="str">
        <f>Table1[[#This Row],[BON code]]</f>
        <v>CWW17_054TOT_PR24</v>
      </c>
      <c r="C69" s="2" t="str">
        <f>Table1[[#This Row],[Item Description]]</f>
        <v>EA/NRW environmental programme wastewater (WINEP/NEP) - Chemicals and emerging contaminants monitoring, investigations, options appraisals; (WINEP/NEP) wastewater totex - Total</v>
      </c>
      <c r="D69" s="2" t="str">
        <f>Table1[[#This Row],[Unit]]</f>
        <v>£m</v>
      </c>
      <c r="E69" s="2" t="str">
        <f>Table1[[#This Row],[Model]]</f>
        <v>Price Review 2024</v>
      </c>
    </row>
    <row r="70" spans="1:5" s="2" customFormat="1">
      <c r="A70" s="2" t="str">
        <f>Table1[[#This Row],[Acronym]]</f>
        <v>SWB</v>
      </c>
      <c r="B70" s="2" t="str">
        <f>Table1[[#This Row],[BON code]]</f>
        <v>PR24_NETTOTEX_WASTE</v>
      </c>
      <c r="C70" s="2" t="str">
        <f>Table1[[#This Row],[Item Description]]</f>
        <v>PR24 BP Net totex - Total inc. accelerated &amp; transition costs</v>
      </c>
      <c r="D70" s="2" t="str">
        <f>Table1[[#This Row],[Unit]]</f>
        <v>£m</v>
      </c>
      <c r="E70" s="2" t="str">
        <f>Table1[[#This Row],[Model]]</f>
        <v>Price Review 2024</v>
      </c>
    </row>
    <row r="71" spans="1:5" s="2" customFormat="1">
      <c r="A71" s="2" t="str">
        <f>Table1[[#This Row],[Acronym]]</f>
        <v>SRN</v>
      </c>
      <c r="B71" s="2" t="str">
        <f>Table1[[#This Row],[BON code]]</f>
        <v>CWW3_052TOT_PR24</v>
      </c>
      <c r="C71" s="2" t="str">
        <f>Table1[[#This Row],[Item Description]]</f>
        <v>EA/NRW environmental programme wastewater (WINEP/NEP) - Chemicals and emerging contaminants monitoring, investigations, options appraisals; (WINEP/NEP) wastewater capex - Total</v>
      </c>
      <c r="D71" s="2" t="str">
        <f>Table1[[#This Row],[Unit]]</f>
        <v>£m</v>
      </c>
      <c r="E71" s="2" t="str">
        <f>Table1[[#This Row],[Model]]</f>
        <v>Price Review 2024</v>
      </c>
    </row>
    <row r="72" spans="1:5" s="2" customFormat="1">
      <c r="A72" s="2" t="str">
        <f>Table1[[#This Row],[Acronym]]</f>
        <v>SRN</v>
      </c>
      <c r="B72" s="2" t="str">
        <f>Table1[[#This Row],[BON code]]</f>
        <v>CWW3_053TOT_PR24</v>
      </c>
      <c r="C72" s="2" t="str">
        <f>Table1[[#This Row],[Item Description]]</f>
        <v>EA/NRW environmental programme wastewater (WINEP/NEP) - Chemicals and emerging contaminants monitoring, investigations, options appraisals; (WINEP/NEP) wastewater opex - Total</v>
      </c>
      <c r="D72" s="2" t="str">
        <f>Table1[[#This Row],[Unit]]</f>
        <v>£m</v>
      </c>
      <c r="E72" s="2" t="str">
        <f>Table1[[#This Row],[Model]]</f>
        <v>Price Review 2024</v>
      </c>
    </row>
    <row r="73" spans="1:5" s="2" customFormat="1">
      <c r="A73" s="2" t="str">
        <f>Table1[[#This Row],[Acronym]]</f>
        <v>SRN</v>
      </c>
      <c r="B73" s="2" t="str">
        <f>Table1[[#This Row],[BON code]]</f>
        <v>CWW3_054TOT_PR24</v>
      </c>
      <c r="C73" s="2" t="str">
        <f>Table1[[#This Row],[Item Description]]</f>
        <v>EA/NRW environmental programme wastewater (WINEP/NEP) - Chemicals and emerging contaminants monitoring, investigations, options appraisals; (WINEP/NEP) wastewater totex - Total</v>
      </c>
      <c r="D73" s="2" t="str">
        <f>Table1[[#This Row],[Unit]]</f>
        <v>£m</v>
      </c>
      <c r="E73" s="2" t="str">
        <f>Table1[[#This Row],[Model]]</f>
        <v>Price Review 2024</v>
      </c>
    </row>
    <row r="74" spans="1:5" s="2" customFormat="1">
      <c r="A74" s="2" t="str">
        <f>Table1[[#This Row],[Acronym]]</f>
        <v>SRN</v>
      </c>
      <c r="B74" s="2" t="str">
        <f>Table1[[#This Row],[BON code]]</f>
        <v>BN1603_PR24</v>
      </c>
      <c r="C74" s="2" t="str">
        <f>Table1[[#This Row],[Item Description]]</f>
        <v>Sewage treatment data - Current population equivalent served by STWs</v>
      </c>
      <c r="D74" s="2" t="str">
        <f>Table1[[#This Row],[Unit]]</f>
        <v>000s</v>
      </c>
      <c r="E74" s="2" t="str">
        <f>Table1[[#This Row],[Model]]</f>
        <v>Price Review 2024</v>
      </c>
    </row>
    <row r="75" spans="1:5" s="2" customFormat="1">
      <c r="A75" s="2" t="str">
        <f>Table1[[#This Row],[Acronym]]</f>
        <v>SRN</v>
      </c>
      <c r="B75" s="2" t="str">
        <f>Table1[[#This Row],[BON code]]</f>
        <v>CWW12_052TOT_PR24</v>
      </c>
      <c r="C75" s="2" t="str">
        <f>Table1[[#This Row],[Item Description]]</f>
        <v>EA/NRW environmental programme wastewater (WINEP/NEP) - Chemicals and emerging contaminants monitoring, investigations, options appraisals; (WINEP/NEP) wastewater capex - Total</v>
      </c>
      <c r="D75" s="2" t="str">
        <f>Table1[[#This Row],[Unit]]</f>
        <v>£m</v>
      </c>
      <c r="E75" s="2" t="str">
        <f>Table1[[#This Row],[Model]]</f>
        <v>Price Review 2024</v>
      </c>
    </row>
    <row r="76" spans="1:5" s="2" customFormat="1">
      <c r="A76" s="2" t="str">
        <f>Table1[[#This Row],[Acronym]]</f>
        <v>SRN</v>
      </c>
      <c r="B76" s="2" t="str">
        <f>Table1[[#This Row],[BON code]]</f>
        <v>CWW17_052TOT_PR24</v>
      </c>
      <c r="C76" s="2" t="str">
        <f>Table1[[#This Row],[Item Description]]</f>
        <v>EA/NRW environmental programme wastewater (WINEP/NEP) - Chemicals and emerging contaminants monitoring, investigations, options appraisals; (WINEP/NEP) wastewater capex - Total</v>
      </c>
      <c r="D76" s="2" t="str">
        <f>Table1[[#This Row],[Unit]]</f>
        <v>£m</v>
      </c>
      <c r="E76" s="2" t="str">
        <f>Table1[[#This Row],[Model]]</f>
        <v>Price Review 2024</v>
      </c>
    </row>
    <row r="77" spans="1:5" s="2" customFormat="1">
      <c r="A77" s="2" t="str">
        <f>Table1[[#This Row],[Acronym]]</f>
        <v>SRN</v>
      </c>
      <c r="B77" s="2" t="str">
        <f>Table1[[#This Row],[BON code]]</f>
        <v>CWW12_053TOT_PR24</v>
      </c>
      <c r="C77" s="2" t="str">
        <f>Table1[[#This Row],[Item Description]]</f>
        <v>EA/NRW environmental programme wastewater (WINEP/NEP) - Chemicals and emerging contaminants monitoring, investigations, options appraisals; (WINEP/NEP) wastewater opex - Total</v>
      </c>
      <c r="D77" s="2" t="str">
        <f>Table1[[#This Row],[Unit]]</f>
        <v>£m</v>
      </c>
      <c r="E77" s="2" t="str">
        <f>Table1[[#This Row],[Model]]</f>
        <v>Price Review 2024</v>
      </c>
    </row>
    <row r="78" spans="1:5" s="2" customFormat="1">
      <c r="A78" s="2" t="str">
        <f>Table1[[#This Row],[Acronym]]</f>
        <v>SRN</v>
      </c>
      <c r="B78" s="2" t="str">
        <f>Table1[[#This Row],[BON code]]</f>
        <v>CWW17_053TOT_PR24</v>
      </c>
      <c r="C78" s="2" t="str">
        <f>Table1[[#This Row],[Item Description]]</f>
        <v>EA/NRW environmental programme wastewater (WINEP/NEP) - Chemicals and emerging contaminants monitoring, investigations, options appraisals; (WINEP/NEP) wastewater opex - Total</v>
      </c>
      <c r="D78" s="2" t="str">
        <f>Table1[[#This Row],[Unit]]</f>
        <v>£m</v>
      </c>
      <c r="E78" s="2" t="str">
        <f>Table1[[#This Row],[Model]]</f>
        <v>Price Review 2024</v>
      </c>
    </row>
    <row r="79" spans="1:5" s="2" customFormat="1">
      <c r="A79" s="2" t="str">
        <f>Table1[[#This Row],[Acronym]]</f>
        <v>SRN</v>
      </c>
      <c r="B79" s="2" t="str">
        <f>Table1[[#This Row],[BON code]]</f>
        <v>CWW12_054TOT_PR24</v>
      </c>
      <c r="C79" s="2" t="str">
        <f>Table1[[#This Row],[Item Description]]</f>
        <v>EA/NRW environmental programme wastewater (WINEP/NEP) - Chemicals and emerging contaminants monitoring, investigations, options appraisals; (WINEP/NEP) wastewater totex - Total</v>
      </c>
      <c r="D79" s="2" t="str">
        <f>Table1[[#This Row],[Unit]]</f>
        <v>£m</v>
      </c>
      <c r="E79" s="2" t="str">
        <f>Table1[[#This Row],[Model]]</f>
        <v>Price Review 2024</v>
      </c>
    </row>
    <row r="80" spans="1:5" s="2" customFormat="1">
      <c r="A80" s="2" t="str">
        <f>Table1[[#This Row],[Acronym]]</f>
        <v>SRN</v>
      </c>
      <c r="B80" s="2" t="str">
        <f>Table1[[#This Row],[BON code]]</f>
        <v>CWW17_054TOT_PR24</v>
      </c>
      <c r="C80" s="2" t="str">
        <f>Table1[[#This Row],[Item Description]]</f>
        <v>EA/NRW environmental programme wastewater (WINEP/NEP) - Chemicals and emerging contaminants monitoring, investigations, options appraisals; (WINEP/NEP) wastewater totex - Total</v>
      </c>
      <c r="D80" s="2" t="str">
        <f>Table1[[#This Row],[Unit]]</f>
        <v>£m</v>
      </c>
      <c r="E80" s="2" t="str">
        <f>Table1[[#This Row],[Model]]</f>
        <v>Price Review 2024</v>
      </c>
    </row>
    <row r="81" spans="1:5" s="2" customFormat="1">
      <c r="A81" s="2" t="str">
        <f>Table1[[#This Row],[Acronym]]</f>
        <v>SRN</v>
      </c>
      <c r="B81" s="2" t="str">
        <f>Table1[[#This Row],[BON code]]</f>
        <v>PR24_NETTOTEX_WASTE</v>
      </c>
      <c r="C81" s="2" t="str">
        <f>Table1[[#This Row],[Item Description]]</f>
        <v>PR24 BP Net totex - Total inc. accelerated &amp; transition costs</v>
      </c>
      <c r="D81" s="2" t="str">
        <f>Table1[[#This Row],[Unit]]</f>
        <v>£m</v>
      </c>
      <c r="E81" s="2" t="str">
        <f>Table1[[#This Row],[Model]]</f>
        <v>Price Review 2024</v>
      </c>
    </row>
    <row r="82" spans="1:5" s="2" customFormat="1">
      <c r="A82" s="2" t="str">
        <f>Table1[[#This Row],[Acronym]]</f>
        <v>TMS</v>
      </c>
      <c r="B82" s="2" t="str">
        <f>Table1[[#This Row],[BON code]]</f>
        <v>CWW3_052TOT_PR24</v>
      </c>
      <c r="C82" s="2" t="str">
        <f>Table1[[#This Row],[Item Description]]</f>
        <v>EA/NRW environmental programme wastewater (WINEP/NEP) - Chemicals and emerging contaminants monitoring, investigations, options appraisals; (WINEP/NEP) wastewater capex - Total</v>
      </c>
      <c r="D82" s="2" t="str">
        <f>Table1[[#This Row],[Unit]]</f>
        <v>£m</v>
      </c>
      <c r="E82" s="2" t="str">
        <f>Table1[[#This Row],[Model]]</f>
        <v>Price Review 2024</v>
      </c>
    </row>
    <row r="83" spans="1:5" s="2" customFormat="1">
      <c r="A83" s="2" t="str">
        <f>Table1[[#This Row],[Acronym]]</f>
        <v>TMS</v>
      </c>
      <c r="B83" s="2" t="str">
        <f>Table1[[#This Row],[BON code]]</f>
        <v>CWW3_053TOT_PR24</v>
      </c>
      <c r="C83" s="2" t="str">
        <f>Table1[[#This Row],[Item Description]]</f>
        <v>EA/NRW environmental programme wastewater (WINEP/NEP) - Chemicals and emerging contaminants monitoring, investigations, options appraisals; (WINEP/NEP) wastewater opex - Total</v>
      </c>
      <c r="D83" s="2" t="str">
        <f>Table1[[#This Row],[Unit]]</f>
        <v>£m</v>
      </c>
      <c r="E83" s="2" t="str">
        <f>Table1[[#This Row],[Model]]</f>
        <v>Price Review 2024</v>
      </c>
    </row>
    <row r="84" spans="1:5" s="2" customFormat="1">
      <c r="A84" s="2" t="str">
        <f>Table1[[#This Row],[Acronym]]</f>
        <v>TMS</v>
      </c>
      <c r="B84" s="2" t="str">
        <f>Table1[[#This Row],[BON code]]</f>
        <v>CWW3_054TOT_PR24</v>
      </c>
      <c r="C84" s="2" t="str">
        <f>Table1[[#This Row],[Item Description]]</f>
        <v>EA/NRW environmental programme wastewater (WINEP/NEP) - Chemicals and emerging contaminants monitoring, investigations, options appraisals; (WINEP/NEP) wastewater totex - Total</v>
      </c>
      <c r="D84" s="2" t="str">
        <f>Table1[[#This Row],[Unit]]</f>
        <v>£m</v>
      </c>
      <c r="E84" s="2" t="str">
        <f>Table1[[#This Row],[Model]]</f>
        <v>Price Review 2024</v>
      </c>
    </row>
    <row r="85" spans="1:5" s="2" customFormat="1">
      <c r="A85" s="2" t="str">
        <f>Table1[[#This Row],[Acronym]]</f>
        <v>TMS</v>
      </c>
      <c r="B85" s="2" t="str">
        <f>Table1[[#This Row],[BON code]]</f>
        <v>BN1603_PR24</v>
      </c>
      <c r="C85" s="2" t="str">
        <f>Table1[[#This Row],[Item Description]]</f>
        <v>Sewage treatment data - Current population equivalent served by STWs</v>
      </c>
      <c r="D85" s="2" t="str">
        <f>Table1[[#This Row],[Unit]]</f>
        <v>000s</v>
      </c>
      <c r="E85" s="2" t="str">
        <f>Table1[[#This Row],[Model]]</f>
        <v>Price Review 2024</v>
      </c>
    </row>
    <row r="86" spans="1:5" s="2" customFormat="1">
      <c r="A86" s="2" t="str">
        <f>Table1[[#This Row],[Acronym]]</f>
        <v>TMS</v>
      </c>
      <c r="B86" s="2" t="str">
        <f>Table1[[#This Row],[BON code]]</f>
        <v>CWW12_052TOT_PR24</v>
      </c>
      <c r="C86" s="2" t="str">
        <f>Table1[[#This Row],[Item Description]]</f>
        <v>EA/NRW environmental programme wastewater (WINEP/NEP) - Chemicals and emerging contaminants monitoring, investigations, options appraisals; (WINEP/NEP) wastewater capex - Total</v>
      </c>
      <c r="D86" s="2" t="str">
        <f>Table1[[#This Row],[Unit]]</f>
        <v>£m</v>
      </c>
      <c r="E86" s="2" t="str">
        <f>Table1[[#This Row],[Model]]</f>
        <v>Price Review 2024</v>
      </c>
    </row>
    <row r="87" spans="1:5" s="2" customFormat="1">
      <c r="A87" s="2" t="str">
        <f>Table1[[#This Row],[Acronym]]</f>
        <v>TMS</v>
      </c>
      <c r="B87" s="2" t="str">
        <f>Table1[[#This Row],[BON code]]</f>
        <v>CWW17_052TOT_PR24</v>
      </c>
      <c r="C87" s="2" t="str">
        <f>Table1[[#This Row],[Item Description]]</f>
        <v>EA/NRW environmental programme wastewater (WINEP/NEP) - Chemicals and emerging contaminants monitoring, investigations, options appraisals; (WINEP/NEP) wastewater capex - Total</v>
      </c>
      <c r="D87" s="2" t="str">
        <f>Table1[[#This Row],[Unit]]</f>
        <v>£m</v>
      </c>
      <c r="E87" s="2" t="str">
        <f>Table1[[#This Row],[Model]]</f>
        <v>Price Review 2024</v>
      </c>
    </row>
    <row r="88" spans="1:5" s="2" customFormat="1">
      <c r="A88" s="2" t="str">
        <f>Table1[[#This Row],[Acronym]]</f>
        <v>TMS</v>
      </c>
      <c r="B88" s="2" t="str">
        <f>Table1[[#This Row],[BON code]]</f>
        <v>CWW12_053TOT_PR24</v>
      </c>
      <c r="C88" s="2" t="str">
        <f>Table1[[#This Row],[Item Description]]</f>
        <v>EA/NRW environmental programme wastewater (WINEP/NEP) - Chemicals and emerging contaminants monitoring, investigations, options appraisals; (WINEP/NEP) wastewater opex - Total</v>
      </c>
      <c r="D88" s="2" t="str">
        <f>Table1[[#This Row],[Unit]]</f>
        <v>£m</v>
      </c>
      <c r="E88" s="2" t="str">
        <f>Table1[[#This Row],[Model]]</f>
        <v>Price Review 2024</v>
      </c>
    </row>
    <row r="89" spans="1:5" s="2" customFormat="1">
      <c r="A89" s="2" t="str">
        <f>Table1[[#This Row],[Acronym]]</f>
        <v>TMS</v>
      </c>
      <c r="B89" s="2" t="str">
        <f>Table1[[#This Row],[BON code]]</f>
        <v>CWW17_053TOT_PR24</v>
      </c>
      <c r="C89" s="2" t="str">
        <f>Table1[[#This Row],[Item Description]]</f>
        <v>EA/NRW environmental programme wastewater (WINEP/NEP) - Chemicals and emerging contaminants monitoring, investigations, options appraisals; (WINEP/NEP) wastewater opex - Total</v>
      </c>
      <c r="D89" s="2" t="str">
        <f>Table1[[#This Row],[Unit]]</f>
        <v>£m</v>
      </c>
      <c r="E89" s="2" t="str">
        <f>Table1[[#This Row],[Model]]</f>
        <v>Price Review 2024</v>
      </c>
    </row>
    <row r="90" spans="1:5" s="2" customFormat="1">
      <c r="A90" s="2" t="str">
        <f>Table1[[#This Row],[Acronym]]</f>
        <v>TMS</v>
      </c>
      <c r="B90" s="2" t="str">
        <f>Table1[[#This Row],[BON code]]</f>
        <v>CWW12_054TOT_PR24</v>
      </c>
      <c r="C90" s="2" t="str">
        <f>Table1[[#This Row],[Item Description]]</f>
        <v>EA/NRW environmental programme wastewater (WINEP/NEP) - Chemicals and emerging contaminants monitoring, investigations, options appraisals; (WINEP/NEP) wastewater totex - Total</v>
      </c>
      <c r="D90" s="2" t="str">
        <f>Table1[[#This Row],[Unit]]</f>
        <v>£m</v>
      </c>
      <c r="E90" s="2" t="str">
        <f>Table1[[#This Row],[Model]]</f>
        <v>Price Review 2024</v>
      </c>
    </row>
    <row r="91" spans="1:5" s="2" customFormat="1">
      <c r="A91" s="2" t="str">
        <f>Table1[[#This Row],[Acronym]]</f>
        <v>TMS</v>
      </c>
      <c r="B91" s="2" t="str">
        <f>Table1[[#This Row],[BON code]]</f>
        <v>CWW17_054TOT_PR24</v>
      </c>
      <c r="C91" s="2" t="str">
        <f>Table1[[#This Row],[Item Description]]</f>
        <v>EA/NRW environmental programme wastewater (WINEP/NEP) - Chemicals and emerging contaminants monitoring, investigations, options appraisals; (WINEP/NEP) wastewater totex - Total</v>
      </c>
      <c r="D91" s="2" t="str">
        <f>Table1[[#This Row],[Unit]]</f>
        <v>£m</v>
      </c>
      <c r="E91" s="2" t="str">
        <f>Table1[[#This Row],[Model]]</f>
        <v>Price Review 2024</v>
      </c>
    </row>
    <row r="92" spans="1:5" s="2" customFormat="1">
      <c r="A92" s="2" t="str">
        <f>Table1[[#This Row],[Acronym]]</f>
        <v>TMS</v>
      </c>
      <c r="B92" s="2" t="str">
        <f>Table1[[#This Row],[BON code]]</f>
        <v>PR24_NETTOTEX_WASTE</v>
      </c>
      <c r="C92" s="2" t="str">
        <f>Table1[[#This Row],[Item Description]]</f>
        <v>PR24 BP Net totex - Total inc. accelerated &amp; transition costs</v>
      </c>
      <c r="D92" s="2" t="str">
        <f>Table1[[#This Row],[Unit]]</f>
        <v>£m</v>
      </c>
      <c r="E92" s="2" t="str">
        <f>Table1[[#This Row],[Model]]</f>
        <v>Price Review 2024</v>
      </c>
    </row>
    <row r="93" spans="1:5" s="2" customFormat="1">
      <c r="A93" s="2" t="str">
        <f>Table1[[#This Row],[Acronym]]</f>
        <v>NWT</v>
      </c>
      <c r="B93" s="2" t="str">
        <f>Table1[[#This Row],[BON code]]</f>
        <v>CWW3_052TOT_PR24</v>
      </c>
      <c r="C93" s="2" t="str">
        <f>Table1[[#This Row],[Item Description]]</f>
        <v>EA/NRW environmental programme wastewater (WINEP/NEP) - Chemicals and emerging contaminants monitoring, investigations, options appraisals; (WINEP/NEP) wastewater capex - Total</v>
      </c>
      <c r="D93" s="2" t="str">
        <f>Table1[[#This Row],[Unit]]</f>
        <v>£m</v>
      </c>
      <c r="E93" s="2" t="str">
        <f>Table1[[#This Row],[Model]]</f>
        <v>Price Review 2024</v>
      </c>
    </row>
    <row r="94" spans="1:5" s="2" customFormat="1">
      <c r="A94" s="2" t="str">
        <f>Table1[[#This Row],[Acronym]]</f>
        <v>NWT</v>
      </c>
      <c r="B94" s="2" t="str">
        <f>Table1[[#This Row],[BON code]]</f>
        <v>CWW3_053TOT_PR24</v>
      </c>
      <c r="C94" s="2" t="str">
        <f>Table1[[#This Row],[Item Description]]</f>
        <v>EA/NRW environmental programme wastewater (WINEP/NEP) - Chemicals and emerging contaminants monitoring, investigations, options appraisals; (WINEP/NEP) wastewater opex - Total</v>
      </c>
      <c r="D94" s="2" t="str">
        <f>Table1[[#This Row],[Unit]]</f>
        <v>£m</v>
      </c>
      <c r="E94" s="2" t="str">
        <f>Table1[[#This Row],[Model]]</f>
        <v>Price Review 2024</v>
      </c>
    </row>
    <row r="95" spans="1:5" s="2" customFormat="1">
      <c r="A95" s="2" t="str">
        <f>Table1[[#This Row],[Acronym]]</f>
        <v>NWT</v>
      </c>
      <c r="B95" s="2" t="str">
        <f>Table1[[#This Row],[BON code]]</f>
        <v>CWW3_054TOT_PR24</v>
      </c>
      <c r="C95" s="2" t="str">
        <f>Table1[[#This Row],[Item Description]]</f>
        <v>EA/NRW environmental programme wastewater (WINEP/NEP) - Chemicals and emerging contaminants monitoring, investigations, options appraisals; (WINEP/NEP) wastewater totex - Total</v>
      </c>
      <c r="D95" s="2" t="str">
        <f>Table1[[#This Row],[Unit]]</f>
        <v>£m</v>
      </c>
      <c r="E95" s="2" t="str">
        <f>Table1[[#This Row],[Model]]</f>
        <v>Price Review 2024</v>
      </c>
    </row>
    <row r="96" spans="1:5" s="2" customFormat="1">
      <c r="A96" s="2" t="str">
        <f>Table1[[#This Row],[Acronym]]</f>
        <v>NWT</v>
      </c>
      <c r="B96" s="2" t="str">
        <f>Table1[[#This Row],[BON code]]</f>
        <v>BN1603_PR24</v>
      </c>
      <c r="C96" s="2" t="str">
        <f>Table1[[#This Row],[Item Description]]</f>
        <v>Sewage treatment data - Current population equivalent served by STWs</v>
      </c>
      <c r="D96" s="2" t="str">
        <f>Table1[[#This Row],[Unit]]</f>
        <v>000s</v>
      </c>
      <c r="E96" s="2" t="str">
        <f>Table1[[#This Row],[Model]]</f>
        <v>Price Review 2024</v>
      </c>
    </row>
    <row r="97" spans="1:5" s="2" customFormat="1">
      <c r="A97" s="2" t="str">
        <f>Table1[[#This Row],[Acronym]]</f>
        <v>NWT</v>
      </c>
      <c r="B97" s="2" t="str">
        <f>Table1[[#This Row],[BON code]]</f>
        <v>CWW12_052TOT_PR24</v>
      </c>
      <c r="C97" s="2" t="str">
        <f>Table1[[#This Row],[Item Description]]</f>
        <v>EA/NRW environmental programme wastewater (WINEP/NEP) - Chemicals and emerging contaminants monitoring, investigations, options appraisals; (WINEP/NEP) wastewater capex - Total</v>
      </c>
      <c r="D97" s="2" t="str">
        <f>Table1[[#This Row],[Unit]]</f>
        <v>£m</v>
      </c>
      <c r="E97" s="2" t="str">
        <f>Table1[[#This Row],[Model]]</f>
        <v>Price Review 2024</v>
      </c>
    </row>
    <row r="98" spans="1:5" s="2" customFormat="1">
      <c r="A98" s="2" t="str">
        <f>Table1[[#This Row],[Acronym]]</f>
        <v>NWT</v>
      </c>
      <c r="B98" s="2" t="str">
        <f>Table1[[#This Row],[BON code]]</f>
        <v>CWW17_052TOT_PR24</v>
      </c>
      <c r="C98" s="2" t="str">
        <f>Table1[[#This Row],[Item Description]]</f>
        <v>EA/NRW environmental programme wastewater (WINEP/NEP) - Chemicals and emerging contaminants monitoring, investigations, options appraisals; (WINEP/NEP) wastewater capex - Total</v>
      </c>
      <c r="D98" s="2" t="str">
        <f>Table1[[#This Row],[Unit]]</f>
        <v>£m</v>
      </c>
      <c r="E98" s="2" t="str">
        <f>Table1[[#This Row],[Model]]</f>
        <v>Price Review 2024</v>
      </c>
    </row>
    <row r="99" spans="1:5" s="2" customFormat="1">
      <c r="A99" s="2" t="str">
        <f>Table1[[#This Row],[Acronym]]</f>
        <v>NWT</v>
      </c>
      <c r="B99" s="2" t="str">
        <f>Table1[[#This Row],[BON code]]</f>
        <v>CWW12_053TOT_PR24</v>
      </c>
      <c r="C99" s="2" t="str">
        <f>Table1[[#This Row],[Item Description]]</f>
        <v>EA/NRW environmental programme wastewater (WINEP/NEP) - Chemicals and emerging contaminants monitoring, investigations, options appraisals; (WINEP/NEP) wastewater opex - Total</v>
      </c>
      <c r="D99" s="2" t="str">
        <f>Table1[[#This Row],[Unit]]</f>
        <v>£m</v>
      </c>
      <c r="E99" s="2" t="str">
        <f>Table1[[#This Row],[Model]]</f>
        <v>Price Review 2024</v>
      </c>
    </row>
    <row r="100" spans="1:5" s="2" customFormat="1">
      <c r="A100" s="2" t="str">
        <f>Table1[[#This Row],[Acronym]]</f>
        <v>NWT</v>
      </c>
      <c r="B100" s="2" t="str">
        <f>Table1[[#This Row],[BON code]]</f>
        <v>CWW17_053TOT_PR24</v>
      </c>
      <c r="C100" s="2" t="str">
        <f>Table1[[#This Row],[Item Description]]</f>
        <v>EA/NRW environmental programme wastewater (WINEP/NEP) - Chemicals and emerging contaminants monitoring, investigations, options appraisals; (WINEP/NEP) wastewater opex - Total</v>
      </c>
      <c r="D100" s="2" t="str">
        <f>Table1[[#This Row],[Unit]]</f>
        <v>£m</v>
      </c>
      <c r="E100" s="2" t="str">
        <f>Table1[[#This Row],[Model]]</f>
        <v>Price Review 2024</v>
      </c>
    </row>
    <row r="101" spans="1:5" s="2" customFormat="1">
      <c r="A101" s="2" t="str">
        <f>Table1[[#This Row],[Acronym]]</f>
        <v>NWT</v>
      </c>
      <c r="B101" s="2" t="str">
        <f>Table1[[#This Row],[BON code]]</f>
        <v>CWW12_054TOT_PR24</v>
      </c>
      <c r="C101" s="2" t="str">
        <f>Table1[[#This Row],[Item Description]]</f>
        <v>EA/NRW environmental programme wastewater (WINEP/NEP) - Chemicals and emerging contaminants monitoring, investigations, options appraisals; (WINEP/NEP) wastewater totex - Total</v>
      </c>
      <c r="D101" s="2" t="str">
        <f>Table1[[#This Row],[Unit]]</f>
        <v>£m</v>
      </c>
      <c r="E101" s="2" t="str">
        <f>Table1[[#This Row],[Model]]</f>
        <v>Price Review 2024</v>
      </c>
    </row>
    <row r="102" spans="1:5" s="2" customFormat="1">
      <c r="A102" s="2" t="str">
        <f>Table1[[#This Row],[Acronym]]</f>
        <v>NWT</v>
      </c>
      <c r="B102" s="2" t="str">
        <f>Table1[[#This Row],[BON code]]</f>
        <v>CWW17_054TOT_PR24</v>
      </c>
      <c r="C102" s="2" t="str">
        <f>Table1[[#This Row],[Item Description]]</f>
        <v>EA/NRW environmental programme wastewater (WINEP/NEP) - Chemicals and emerging contaminants monitoring, investigations, options appraisals; (WINEP/NEP) wastewater totex - Total</v>
      </c>
      <c r="D102" s="2" t="str">
        <f>Table1[[#This Row],[Unit]]</f>
        <v>£m</v>
      </c>
      <c r="E102" s="2" t="str">
        <f>Table1[[#This Row],[Model]]</f>
        <v>Price Review 2024</v>
      </c>
    </row>
    <row r="103" spans="1:5" s="2" customFormat="1">
      <c r="A103" s="2" t="str">
        <f>Table1[[#This Row],[Acronym]]</f>
        <v>NWT</v>
      </c>
      <c r="B103" s="2" t="str">
        <f>Table1[[#This Row],[BON code]]</f>
        <v>PR24_NETTOTEX_WASTE</v>
      </c>
      <c r="C103" s="2" t="str">
        <f>Table1[[#This Row],[Item Description]]</f>
        <v>PR24 BP Net totex - Total inc. accelerated &amp; transition costs</v>
      </c>
      <c r="D103" s="2" t="str">
        <f>Table1[[#This Row],[Unit]]</f>
        <v>£m</v>
      </c>
      <c r="E103" s="2" t="str">
        <f>Table1[[#This Row],[Model]]</f>
        <v>Price Review 2024</v>
      </c>
    </row>
    <row r="104" spans="1:5" s="2" customFormat="1">
      <c r="A104" s="2" t="str">
        <f>Table1[[#This Row],[Acronym]]</f>
        <v>WSX</v>
      </c>
      <c r="B104" s="2" t="str">
        <f>Table1[[#This Row],[BON code]]</f>
        <v>CWW3_052TOT_PR24</v>
      </c>
      <c r="C104" s="2" t="str">
        <f>Table1[[#This Row],[Item Description]]</f>
        <v>EA/NRW environmental programme wastewater (WINEP/NEP) - Chemicals and emerging contaminants monitoring, investigations, options appraisals; (WINEP/NEP) wastewater capex - Total</v>
      </c>
      <c r="D104" s="2" t="str">
        <f>Table1[[#This Row],[Unit]]</f>
        <v>£m</v>
      </c>
      <c r="E104" s="2" t="str">
        <f>Table1[[#This Row],[Model]]</f>
        <v>Price Review 2024</v>
      </c>
    </row>
    <row r="105" spans="1:5" s="2" customFormat="1">
      <c r="A105" s="2" t="str">
        <f>Table1[[#This Row],[Acronym]]</f>
        <v>WSX</v>
      </c>
      <c r="B105" s="2" t="str">
        <f>Table1[[#This Row],[BON code]]</f>
        <v>CWW3_053TOT_PR24</v>
      </c>
      <c r="C105" s="2" t="str">
        <f>Table1[[#This Row],[Item Description]]</f>
        <v>EA/NRW environmental programme wastewater (WINEP/NEP) - Chemicals and emerging contaminants monitoring, investigations, options appraisals; (WINEP/NEP) wastewater opex - Total</v>
      </c>
      <c r="D105" s="2" t="str">
        <f>Table1[[#This Row],[Unit]]</f>
        <v>£m</v>
      </c>
      <c r="E105" s="2" t="str">
        <f>Table1[[#This Row],[Model]]</f>
        <v>Price Review 2024</v>
      </c>
    </row>
    <row r="106" spans="1:5" s="2" customFormat="1">
      <c r="A106" s="2" t="str">
        <f>Table1[[#This Row],[Acronym]]</f>
        <v>WSX</v>
      </c>
      <c r="B106" s="2" t="str">
        <f>Table1[[#This Row],[BON code]]</f>
        <v>CWW3_054TOT_PR24</v>
      </c>
      <c r="C106" s="2" t="str">
        <f>Table1[[#This Row],[Item Description]]</f>
        <v>EA/NRW environmental programme wastewater (WINEP/NEP) - Chemicals and emerging contaminants monitoring, investigations, options appraisals; (WINEP/NEP) wastewater totex - Total</v>
      </c>
      <c r="D106" s="2" t="str">
        <f>Table1[[#This Row],[Unit]]</f>
        <v>£m</v>
      </c>
      <c r="E106" s="2" t="str">
        <f>Table1[[#This Row],[Model]]</f>
        <v>Price Review 2024</v>
      </c>
    </row>
    <row r="107" spans="1:5" s="2" customFormat="1">
      <c r="A107" s="2" t="str">
        <f>Table1[[#This Row],[Acronym]]</f>
        <v>WSX</v>
      </c>
      <c r="B107" s="2" t="str">
        <f>Table1[[#This Row],[BON code]]</f>
        <v>BN1603_PR24</v>
      </c>
      <c r="C107" s="2" t="str">
        <f>Table1[[#This Row],[Item Description]]</f>
        <v>Sewage treatment data - Current population equivalent served by STWs</v>
      </c>
      <c r="D107" s="2" t="str">
        <f>Table1[[#This Row],[Unit]]</f>
        <v>000s</v>
      </c>
      <c r="E107" s="2" t="str">
        <f>Table1[[#This Row],[Model]]</f>
        <v>Price Review 2024</v>
      </c>
    </row>
    <row r="108" spans="1:5" s="2" customFormat="1">
      <c r="A108" s="2" t="str">
        <f>Table1[[#This Row],[Acronym]]</f>
        <v>WSX</v>
      </c>
      <c r="B108" s="2" t="str">
        <f>Table1[[#This Row],[BON code]]</f>
        <v>CWW12_052TOT_PR24</v>
      </c>
      <c r="C108" s="2" t="str">
        <f>Table1[[#This Row],[Item Description]]</f>
        <v>EA/NRW environmental programme wastewater (WINEP/NEP) - Chemicals and emerging contaminants monitoring, investigations, options appraisals; (WINEP/NEP) wastewater capex - Total</v>
      </c>
      <c r="D108" s="2" t="str">
        <f>Table1[[#This Row],[Unit]]</f>
        <v>£m</v>
      </c>
      <c r="E108" s="2" t="str">
        <f>Table1[[#This Row],[Model]]</f>
        <v>Price Review 2024</v>
      </c>
    </row>
    <row r="109" spans="1:5" s="2" customFormat="1">
      <c r="A109" s="2" t="str">
        <f>Table1[[#This Row],[Acronym]]</f>
        <v>WSX</v>
      </c>
      <c r="B109" s="2" t="str">
        <f>Table1[[#This Row],[BON code]]</f>
        <v>CWW17_052TOT_PR24</v>
      </c>
      <c r="C109" s="2" t="str">
        <f>Table1[[#This Row],[Item Description]]</f>
        <v>EA/NRW environmental programme wastewater (WINEP/NEP) - Chemicals and emerging contaminants monitoring, investigations, options appraisals; (WINEP/NEP) wastewater capex - Total</v>
      </c>
      <c r="D109" s="2" t="str">
        <f>Table1[[#This Row],[Unit]]</f>
        <v>£m</v>
      </c>
      <c r="E109" s="2" t="str">
        <f>Table1[[#This Row],[Model]]</f>
        <v>Price Review 2024</v>
      </c>
    </row>
    <row r="110" spans="1:5" s="2" customFormat="1">
      <c r="A110" s="2" t="str">
        <f>Table1[[#This Row],[Acronym]]</f>
        <v>WSX</v>
      </c>
      <c r="B110" s="2" t="str">
        <f>Table1[[#This Row],[BON code]]</f>
        <v>CWW12_053TOT_PR24</v>
      </c>
      <c r="C110" s="2" t="str">
        <f>Table1[[#This Row],[Item Description]]</f>
        <v>EA/NRW environmental programme wastewater (WINEP/NEP) - Chemicals and emerging contaminants monitoring, investigations, options appraisals; (WINEP/NEP) wastewater opex - Total</v>
      </c>
      <c r="D110" s="2" t="str">
        <f>Table1[[#This Row],[Unit]]</f>
        <v>£m</v>
      </c>
      <c r="E110" s="2" t="str">
        <f>Table1[[#This Row],[Model]]</f>
        <v>Price Review 2024</v>
      </c>
    </row>
    <row r="111" spans="1:5" s="2" customFormat="1">
      <c r="A111" s="2" t="str">
        <f>Table1[[#This Row],[Acronym]]</f>
        <v>WSX</v>
      </c>
      <c r="B111" s="2" t="str">
        <f>Table1[[#This Row],[BON code]]</f>
        <v>CWW17_053TOT_PR24</v>
      </c>
      <c r="C111" s="2" t="str">
        <f>Table1[[#This Row],[Item Description]]</f>
        <v>EA/NRW environmental programme wastewater (WINEP/NEP) - Chemicals and emerging contaminants monitoring, investigations, options appraisals; (WINEP/NEP) wastewater opex - Total</v>
      </c>
      <c r="D111" s="2" t="str">
        <f>Table1[[#This Row],[Unit]]</f>
        <v>£m</v>
      </c>
      <c r="E111" s="2" t="str">
        <f>Table1[[#This Row],[Model]]</f>
        <v>Price Review 2024</v>
      </c>
    </row>
    <row r="112" spans="1:5" s="2" customFormat="1">
      <c r="A112" s="2" t="str">
        <f>Table1[[#This Row],[Acronym]]</f>
        <v>WSX</v>
      </c>
      <c r="B112" s="2" t="str">
        <f>Table1[[#This Row],[BON code]]</f>
        <v>CWW12_054TOT_PR24</v>
      </c>
      <c r="C112" s="2" t="str">
        <f>Table1[[#This Row],[Item Description]]</f>
        <v>EA/NRW environmental programme wastewater (WINEP/NEP) - Chemicals and emerging contaminants monitoring, investigations, options appraisals; (WINEP/NEP) wastewater totex - Total</v>
      </c>
      <c r="D112" s="2" t="str">
        <f>Table1[[#This Row],[Unit]]</f>
        <v>£m</v>
      </c>
      <c r="E112" s="2" t="str">
        <f>Table1[[#This Row],[Model]]</f>
        <v>Price Review 2024</v>
      </c>
    </row>
    <row r="113" spans="1:5" s="2" customFormat="1">
      <c r="A113" s="2" t="str">
        <f>Table1[[#This Row],[Acronym]]</f>
        <v>WSX</v>
      </c>
      <c r="B113" s="2" t="str">
        <f>Table1[[#This Row],[BON code]]</f>
        <v>CWW17_054TOT_PR24</v>
      </c>
      <c r="C113" s="2" t="str">
        <f>Table1[[#This Row],[Item Description]]</f>
        <v>EA/NRW environmental programme wastewater (WINEP/NEP) - Chemicals and emerging contaminants monitoring, investigations, options appraisals; (WINEP/NEP) wastewater totex - Total</v>
      </c>
      <c r="D113" s="2" t="str">
        <f>Table1[[#This Row],[Unit]]</f>
        <v>£m</v>
      </c>
      <c r="E113" s="2" t="str">
        <f>Table1[[#This Row],[Model]]</f>
        <v>Price Review 2024</v>
      </c>
    </row>
    <row r="114" spans="1:5" s="2" customFormat="1">
      <c r="A114" s="2" t="str">
        <f>Table1[[#This Row],[Acronym]]</f>
        <v>WSX</v>
      </c>
      <c r="B114" s="2" t="str">
        <f>Table1[[#This Row],[BON code]]</f>
        <v>PR24_NETTOTEX_WASTE</v>
      </c>
      <c r="C114" s="2" t="str">
        <f>Table1[[#This Row],[Item Description]]</f>
        <v>PR24 BP Net totex - Total inc. accelerated &amp; transition costs</v>
      </c>
      <c r="D114" s="2" t="str">
        <f>Table1[[#This Row],[Unit]]</f>
        <v>£m</v>
      </c>
      <c r="E114" s="2" t="str">
        <f>Table1[[#This Row],[Model]]</f>
        <v>Price Review 2024</v>
      </c>
    </row>
    <row r="115" spans="1:5" s="2" customFormat="1">
      <c r="A115" s="2" t="str">
        <f>Table1[[#This Row],[Acronym]]</f>
        <v>YKY</v>
      </c>
      <c r="B115" s="2" t="str">
        <f>Table1[[#This Row],[BON code]]</f>
        <v>CWW3_052TOT_PR24</v>
      </c>
      <c r="C115" s="2" t="str">
        <f>Table1[[#This Row],[Item Description]]</f>
        <v>EA/NRW environmental programme wastewater (WINEP/NEP) - Chemicals and emerging contaminants monitoring, investigations, options appraisals; (WINEP/NEP) wastewater capex - Total</v>
      </c>
      <c r="D115" s="2" t="str">
        <f>Table1[[#This Row],[Unit]]</f>
        <v>£m</v>
      </c>
      <c r="E115" s="2" t="str">
        <f>Table1[[#This Row],[Model]]</f>
        <v>Price Review 2024</v>
      </c>
    </row>
    <row r="116" spans="1:5" s="2" customFormat="1">
      <c r="A116" s="2" t="str">
        <f>Table1[[#This Row],[Acronym]]</f>
        <v>YKY</v>
      </c>
      <c r="B116" s="2" t="str">
        <f>Table1[[#This Row],[BON code]]</f>
        <v>CWW3_053TOT_PR24</v>
      </c>
      <c r="C116" s="2" t="str">
        <f>Table1[[#This Row],[Item Description]]</f>
        <v>EA/NRW environmental programme wastewater (WINEP/NEP) - Chemicals and emerging contaminants monitoring, investigations, options appraisals; (WINEP/NEP) wastewater opex - Total</v>
      </c>
      <c r="D116" s="2" t="str">
        <f>Table1[[#This Row],[Unit]]</f>
        <v>£m</v>
      </c>
      <c r="E116" s="2" t="str">
        <f>Table1[[#This Row],[Model]]</f>
        <v>Price Review 2024</v>
      </c>
    </row>
    <row r="117" spans="1:5" s="2" customFormat="1">
      <c r="A117" s="2" t="str">
        <f>Table1[[#This Row],[Acronym]]</f>
        <v>YKY</v>
      </c>
      <c r="B117" s="2" t="str">
        <f>Table1[[#This Row],[BON code]]</f>
        <v>CWW3_054TOT_PR24</v>
      </c>
      <c r="C117" s="2" t="str">
        <f>Table1[[#This Row],[Item Description]]</f>
        <v>EA/NRW environmental programme wastewater (WINEP/NEP) - Chemicals and emerging contaminants monitoring, investigations, options appraisals; (WINEP/NEP) wastewater totex - Total</v>
      </c>
      <c r="D117" s="2" t="str">
        <f>Table1[[#This Row],[Unit]]</f>
        <v>£m</v>
      </c>
      <c r="E117" s="2" t="str">
        <f>Table1[[#This Row],[Model]]</f>
        <v>Price Review 2024</v>
      </c>
    </row>
    <row r="118" spans="1:5" s="2" customFormat="1">
      <c r="A118" s="2" t="str">
        <f>Table1[[#This Row],[Acronym]]</f>
        <v>YKY</v>
      </c>
      <c r="B118" s="2" t="str">
        <f>Table1[[#This Row],[BON code]]</f>
        <v>BN1603_PR24</v>
      </c>
      <c r="C118" s="2" t="str">
        <f>Table1[[#This Row],[Item Description]]</f>
        <v>Sewage treatment data - Current population equivalent served by STWs</v>
      </c>
      <c r="D118" s="2" t="str">
        <f>Table1[[#This Row],[Unit]]</f>
        <v>000s</v>
      </c>
      <c r="E118" s="2" t="str">
        <f>Table1[[#This Row],[Model]]</f>
        <v>Price Review 2024</v>
      </c>
    </row>
    <row r="119" spans="1:5" s="2" customFormat="1">
      <c r="A119" s="2" t="str">
        <f>Table1[[#This Row],[Acronym]]</f>
        <v>YKY</v>
      </c>
      <c r="B119" s="2" t="str">
        <f>Table1[[#This Row],[BON code]]</f>
        <v>CWW12_052TOT_PR24</v>
      </c>
      <c r="C119" s="2" t="str">
        <f>Table1[[#This Row],[Item Description]]</f>
        <v>EA/NRW environmental programme wastewater (WINEP/NEP) - Chemicals and emerging contaminants monitoring, investigations, options appraisals; (WINEP/NEP) wastewater capex - Total</v>
      </c>
      <c r="D119" s="2" t="str">
        <f>Table1[[#This Row],[Unit]]</f>
        <v>£m</v>
      </c>
      <c r="E119" s="2" t="str">
        <f>Table1[[#This Row],[Model]]</f>
        <v>Price Review 2024</v>
      </c>
    </row>
    <row r="120" spans="1:5" s="2" customFormat="1">
      <c r="A120" s="2" t="str">
        <f>Table1[[#This Row],[Acronym]]</f>
        <v>YKY</v>
      </c>
      <c r="B120" s="2" t="str">
        <f>Table1[[#This Row],[BON code]]</f>
        <v>CWW17_052TOT_PR24</v>
      </c>
      <c r="C120" s="2" t="str">
        <f>Table1[[#This Row],[Item Description]]</f>
        <v>EA/NRW environmental programme wastewater (WINEP/NEP) - Chemicals and emerging contaminants monitoring, investigations, options appraisals; (WINEP/NEP) wastewater capex - Total</v>
      </c>
      <c r="D120" s="2" t="str">
        <f>Table1[[#This Row],[Unit]]</f>
        <v>£m</v>
      </c>
      <c r="E120" s="2" t="str">
        <f>Table1[[#This Row],[Model]]</f>
        <v>Price Review 2024</v>
      </c>
    </row>
    <row r="121" spans="1:5" s="2" customFormat="1">
      <c r="A121" s="2" t="str">
        <f>Table1[[#This Row],[Acronym]]</f>
        <v>YKY</v>
      </c>
      <c r="B121" s="2" t="str">
        <f>Table1[[#This Row],[BON code]]</f>
        <v>CWW12_053TOT_PR24</v>
      </c>
      <c r="C121" s="2" t="str">
        <f>Table1[[#This Row],[Item Description]]</f>
        <v>EA/NRW environmental programme wastewater (WINEP/NEP) - Chemicals and emerging contaminants monitoring, investigations, options appraisals; (WINEP/NEP) wastewater opex - Total</v>
      </c>
      <c r="D121" s="2" t="str">
        <f>Table1[[#This Row],[Unit]]</f>
        <v>£m</v>
      </c>
      <c r="E121" s="2" t="str">
        <f>Table1[[#This Row],[Model]]</f>
        <v>Price Review 2024</v>
      </c>
    </row>
    <row r="122" spans="1:5" s="2" customFormat="1">
      <c r="A122" s="2" t="str">
        <f>Table1[[#This Row],[Acronym]]</f>
        <v>YKY</v>
      </c>
      <c r="B122" s="2" t="str">
        <f>Table1[[#This Row],[BON code]]</f>
        <v>CWW17_053TOT_PR24</v>
      </c>
      <c r="C122" s="2" t="str">
        <f>Table1[[#This Row],[Item Description]]</f>
        <v>EA/NRW environmental programme wastewater (WINEP/NEP) - Chemicals and emerging contaminants monitoring, investigations, options appraisals; (WINEP/NEP) wastewater opex - Total</v>
      </c>
      <c r="D122" s="2" t="str">
        <f>Table1[[#This Row],[Unit]]</f>
        <v>£m</v>
      </c>
      <c r="E122" s="2" t="str">
        <f>Table1[[#This Row],[Model]]</f>
        <v>Price Review 2024</v>
      </c>
    </row>
    <row r="123" spans="1:5" s="2" customFormat="1">
      <c r="A123" s="2" t="str">
        <f>Table1[[#This Row],[Acronym]]</f>
        <v>YKY</v>
      </c>
      <c r="B123" s="2" t="str">
        <f>Table1[[#This Row],[BON code]]</f>
        <v>CWW12_054TOT_PR24</v>
      </c>
      <c r="C123" s="2" t="str">
        <f>Table1[[#This Row],[Item Description]]</f>
        <v>EA/NRW environmental programme wastewater (WINEP/NEP) - Chemicals and emerging contaminants monitoring, investigations, options appraisals; (WINEP/NEP) wastewater totex - Total</v>
      </c>
      <c r="D123" s="2" t="str">
        <f>Table1[[#This Row],[Unit]]</f>
        <v>£m</v>
      </c>
      <c r="E123" s="2" t="str">
        <f>Table1[[#This Row],[Model]]</f>
        <v>Price Review 2024</v>
      </c>
    </row>
    <row r="124" spans="1:5" s="2" customFormat="1">
      <c r="A124" s="2" t="str">
        <f>Table1[[#This Row],[Acronym]]</f>
        <v>YKY</v>
      </c>
      <c r="B124" s="2" t="str">
        <f>Table1[[#This Row],[BON code]]</f>
        <v>CWW17_054TOT_PR24</v>
      </c>
      <c r="C124" s="2" t="str">
        <f>Table1[[#This Row],[Item Description]]</f>
        <v>EA/NRW environmental programme wastewater (WINEP/NEP) - Chemicals and emerging contaminants monitoring, investigations, options appraisals; (WINEP/NEP) wastewater totex - Total</v>
      </c>
      <c r="D124" s="2" t="str">
        <f>Table1[[#This Row],[Unit]]</f>
        <v>£m</v>
      </c>
      <c r="E124" s="2" t="str">
        <f>Table1[[#This Row],[Model]]</f>
        <v>Price Review 2024</v>
      </c>
    </row>
    <row r="125" spans="1:5" s="2" customFormat="1">
      <c r="A125" s="2" t="str">
        <f>Table1[[#This Row],[Acronym]]</f>
        <v>YKY</v>
      </c>
      <c r="B125" s="2" t="str">
        <f>Table1[[#This Row],[BON code]]</f>
        <v>PR24_NETTOTEX_WASTE</v>
      </c>
      <c r="C125" s="2" t="str">
        <f>Table1[[#This Row],[Item Description]]</f>
        <v>PR24 BP Net totex - Total inc. accelerated &amp; transition costs</v>
      </c>
      <c r="D125" s="2" t="str">
        <f>Table1[[#This Row],[Unit]]</f>
        <v>£m</v>
      </c>
      <c r="E125" s="2" t="str">
        <f>Table1[[#This Row],[Model]]</f>
        <v>Price Review 2024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2234-7093-4E9E-B8A3-769E079FA46E}">
  <sheetPr>
    <tabColor rgb="FFFFDB8E"/>
  </sheetPr>
  <dimension ref="A1:M125"/>
  <sheetViews>
    <sheetView zoomScale="80" zoomScaleNormal="80" workbookViewId="0"/>
  </sheetViews>
  <sheetFormatPr defaultRowHeight="12.75"/>
  <cols>
    <col min="1" max="1" width="10.28515625" customWidth="1"/>
    <col min="2" max="2" width="19.85546875" bestFit="1" customWidth="1"/>
    <col min="3" max="3" width="170" customWidth="1"/>
    <col min="5" max="5" width="17.7109375" customWidth="1"/>
    <col min="6" max="12" width="9.5703125" bestFit="1" customWidth="1"/>
    <col min="13" max="13" width="11.7109375" customWidth="1"/>
  </cols>
  <sheetData>
    <row r="1" spans="1:13" ht="31.5">
      <c r="A1" s="1" t="str">
        <f ca="1" xml:space="preserve"> RIGHT(CELL("filename", $A$1), LEN(CELL("filename", $A$1)) - SEARCH("]", CELL("filename", $A$1)))</f>
        <v>Final Input</v>
      </c>
      <c r="B1" s="1"/>
      <c r="C1" s="1"/>
      <c r="D1" s="1"/>
      <c r="E1" s="1"/>
      <c r="F1" s="1"/>
      <c r="G1" s="1"/>
      <c r="H1" s="1"/>
      <c r="I1" s="1"/>
      <c r="J1" s="1"/>
    </row>
    <row r="4" spans="1:13" s="2" customFormat="1">
      <c r="A4" s="121" t="s">
        <v>59</v>
      </c>
      <c r="B4" s="121" t="s">
        <v>106</v>
      </c>
      <c r="C4" s="121" t="s">
        <v>107</v>
      </c>
      <c r="D4" s="121" t="s">
        <v>62</v>
      </c>
      <c r="E4" s="121" t="s">
        <v>63</v>
      </c>
      <c r="F4" s="121" t="s">
        <v>64</v>
      </c>
      <c r="G4" s="121" t="s">
        <v>65</v>
      </c>
      <c r="H4" s="121" t="s">
        <v>66</v>
      </c>
      <c r="I4" s="121" t="s">
        <v>67</v>
      </c>
      <c r="J4" s="121" t="s">
        <v>68</v>
      </c>
      <c r="K4" s="121" t="s">
        <v>69</v>
      </c>
      <c r="L4" s="121" t="s">
        <v>70</v>
      </c>
      <c r="M4" s="125" t="s">
        <v>105</v>
      </c>
    </row>
    <row r="5" spans="1:13" s="2" customFormat="1">
      <c r="A5" s="126" t="str">
        <f>'F_Input Override'!A5</f>
        <v>ANH</v>
      </c>
      <c r="B5" s="126" t="str">
        <f>'F_Input Override'!B5</f>
        <v>CWW3_052TOT_PR24</v>
      </c>
      <c r="C5" s="126" t="str">
        <f>'F_Input Override'!C5</f>
        <v>EA/NRW environmental programme wastewater (WINEP/NEP) - Chemicals and emerging contaminants monitoring, investigations, options appraisals; (WINEP/NEP) wastewater capex - Total</v>
      </c>
      <c r="D5" s="126" t="str">
        <f>'F_Input Override'!D5</f>
        <v>£m</v>
      </c>
      <c r="E5" s="126" t="str">
        <f>'F_Input Override'!E5</f>
        <v>Price Review 2024</v>
      </c>
      <c r="F5" s="127">
        <f>IF('F_Input Override'!F5="",'Consolidated Input'!F5,('F_Input Override'!F5))</f>
        <v>0</v>
      </c>
      <c r="G5" s="127">
        <f>IF('F_Input Override'!G5="",'Consolidated Input'!G5,('F_Input Override'!G5))</f>
        <v>0</v>
      </c>
      <c r="H5" s="127">
        <f>IF('F_Input Override'!H5="",'Consolidated Input'!H5,('F_Input Override'!H5))</f>
        <v>4.6470000000000002</v>
      </c>
      <c r="I5" s="127">
        <f>IF('F_Input Override'!I5="",'Consolidated Input'!I5,('F_Input Override'!I5))</f>
        <v>6.5570000000000004</v>
      </c>
      <c r="J5" s="127">
        <f>IF('F_Input Override'!J5="",'Consolidated Input'!J5,('F_Input Override'!J5))</f>
        <v>4.6680000000000001</v>
      </c>
      <c r="K5" s="127">
        <f>IF('F_Input Override'!K5="",'Consolidated Input'!K5,('F_Input Override'!K5))</f>
        <v>4.6769999999999996</v>
      </c>
      <c r="L5" s="127">
        <f>IF('F_Input Override'!L5="",'Consolidated Input'!L5,('F_Input Override'!L5))</f>
        <v>5.0309999999999997</v>
      </c>
      <c r="M5" s="128">
        <f>SUM(H5:L5)</f>
        <v>25.58</v>
      </c>
    </row>
    <row r="6" spans="1:13" s="2" customFormat="1">
      <c r="A6" s="126" t="str">
        <f>'F_Input Override'!A6</f>
        <v>ANH</v>
      </c>
      <c r="B6" s="126" t="str">
        <f>'F_Input Override'!B6</f>
        <v>CWW3_053TOT_PR24</v>
      </c>
      <c r="C6" s="126" t="str">
        <f>'F_Input Override'!C6</f>
        <v>EA/NRW environmental programme wastewater (WINEP/NEP) - Chemicals and emerging contaminants monitoring, investigations, options appraisals; (WINEP/NEP) wastewater opex - Total</v>
      </c>
      <c r="D6" s="126" t="str">
        <f>'F_Input Override'!D6</f>
        <v>£m</v>
      </c>
      <c r="E6" s="126" t="str">
        <f>'F_Input Override'!E6</f>
        <v>Price Review 2024</v>
      </c>
      <c r="F6" s="127">
        <f>IF('F_Input Override'!F6="",'Consolidated Input'!F6,('F_Input Override'!F6))</f>
        <v>0</v>
      </c>
      <c r="G6" s="127">
        <f>IF('F_Input Override'!G6="",'Consolidated Input'!G6,('F_Input Override'!G6))</f>
        <v>0</v>
      </c>
      <c r="H6" s="127">
        <f>IF('F_Input Override'!H6="",'Consolidated Input'!H6,('F_Input Override'!H6))</f>
        <v>0</v>
      </c>
      <c r="I6" s="127">
        <f>IF('F_Input Override'!I6="",'Consolidated Input'!I6,('F_Input Override'!I6))</f>
        <v>0</v>
      </c>
      <c r="J6" s="127">
        <f>IF('F_Input Override'!J6="",'Consolidated Input'!J6,('F_Input Override'!J6))</f>
        <v>0</v>
      </c>
      <c r="K6" s="127">
        <f>IF('F_Input Override'!K6="",'Consolidated Input'!K6,('F_Input Override'!K6))</f>
        <v>0</v>
      </c>
      <c r="L6" s="127">
        <f>IF('F_Input Override'!L6="",'Consolidated Input'!L6,('F_Input Override'!L6))</f>
        <v>0</v>
      </c>
      <c r="M6" s="128">
        <f t="shared" ref="M6:M69" si="0">SUM(H6:L6)</f>
        <v>0</v>
      </c>
    </row>
    <row r="7" spans="1:13" s="2" customFormat="1">
      <c r="A7" s="126" t="str">
        <f>'F_Input Override'!A7</f>
        <v>ANH</v>
      </c>
      <c r="B7" s="126" t="str">
        <f>'F_Input Override'!B7</f>
        <v>CWW3_054TOT_PR24</v>
      </c>
      <c r="C7" s="126" t="str">
        <f>'F_Input Override'!C7</f>
        <v>EA/NRW environmental programme wastewater (WINEP/NEP) - Chemicals and emerging contaminants monitoring, investigations, options appraisals; (WINEP/NEP) wastewater totex - Total</v>
      </c>
      <c r="D7" s="126" t="str">
        <f>'F_Input Override'!D7</f>
        <v>£m</v>
      </c>
      <c r="E7" s="126" t="str">
        <f>'F_Input Override'!E7</f>
        <v>Price Review 2024</v>
      </c>
      <c r="F7" s="127">
        <f>IF('F_Input Override'!F7="",'Consolidated Input'!F7,('F_Input Override'!F7))</f>
        <v>0</v>
      </c>
      <c r="G7" s="127">
        <f>IF('F_Input Override'!G7="",'Consolidated Input'!G7,('F_Input Override'!G7))</f>
        <v>0</v>
      </c>
      <c r="H7" s="127">
        <f>IF('F_Input Override'!H7="",'Consolidated Input'!H7,('F_Input Override'!H7))</f>
        <v>4.6470000000000002</v>
      </c>
      <c r="I7" s="127">
        <f>IF('F_Input Override'!I7="",'Consolidated Input'!I7,('F_Input Override'!I7))</f>
        <v>6.5570000000000004</v>
      </c>
      <c r="J7" s="127">
        <f>IF('F_Input Override'!J7="",'Consolidated Input'!J7,('F_Input Override'!J7))</f>
        <v>4.6680000000000001</v>
      </c>
      <c r="K7" s="127">
        <f>IF('F_Input Override'!K7="",'Consolidated Input'!K7,('F_Input Override'!K7))</f>
        <v>4.6769999999999996</v>
      </c>
      <c r="L7" s="127">
        <f>IF('F_Input Override'!L7="",'Consolidated Input'!L7,('F_Input Override'!L7))</f>
        <v>5.0309999999999997</v>
      </c>
      <c r="M7" s="128">
        <f t="shared" si="0"/>
        <v>25.58</v>
      </c>
    </row>
    <row r="8" spans="1:13" s="2" customFormat="1">
      <c r="A8" s="126" t="str">
        <f>'F_Input Override'!A8</f>
        <v>ANH</v>
      </c>
      <c r="B8" s="126" t="str">
        <f>'F_Input Override'!B8</f>
        <v>BN1603_PR24</v>
      </c>
      <c r="C8" s="126" t="str">
        <f>'F_Input Override'!C8</f>
        <v>Sewage treatment data - Current population equivalent served by STWs</v>
      </c>
      <c r="D8" s="126" t="str">
        <f>'F_Input Override'!D8</f>
        <v>000s</v>
      </c>
      <c r="E8" s="126" t="str">
        <f>'F_Input Override'!E8</f>
        <v>Price Review 2024</v>
      </c>
      <c r="F8" s="127">
        <f>IF('F_Input Override'!F8="",'Consolidated Input'!F8,('F_Input Override'!F8))</f>
        <v>7392.8429999999998</v>
      </c>
      <c r="G8" s="127">
        <f>IF('F_Input Override'!G8="",'Consolidated Input'!G8,('F_Input Override'!G8))</f>
        <v>7446.8497140252593</v>
      </c>
      <c r="H8" s="127">
        <f>IF('F_Input Override'!H8="",'Consolidated Input'!H8,('F_Input Override'!H8))</f>
        <v>7499.9863531482497</v>
      </c>
      <c r="I8" s="127">
        <f>IF('F_Input Override'!I8="",'Consolidated Input'!I8,('F_Input Override'!I8))</f>
        <v>7549.3772645502286</v>
      </c>
      <c r="J8" s="127">
        <f>IF('F_Input Override'!J8="",'Consolidated Input'!J8,('F_Input Override'!J8))</f>
        <v>7593.0960781989497</v>
      </c>
      <c r="K8" s="127">
        <f>IF('F_Input Override'!K8="",'Consolidated Input'!K8,('F_Input Override'!K8))</f>
        <v>7630.0911036135394</v>
      </c>
      <c r="L8" s="127">
        <f>IF('F_Input Override'!L8="",'Consolidated Input'!L8,('F_Input Override'!L8))</f>
        <v>7661.2581846204494</v>
      </c>
      <c r="M8" s="128">
        <f t="shared" si="0"/>
        <v>37933.808984131421</v>
      </c>
    </row>
    <row r="9" spans="1:13" s="2" customFormat="1">
      <c r="A9" s="126" t="str">
        <f>'F_Input Override'!A9</f>
        <v>ANH</v>
      </c>
      <c r="B9" s="126" t="str">
        <f>'F_Input Override'!B9</f>
        <v>CWW12_052TOT_PR24</v>
      </c>
      <c r="C9" s="126" t="str">
        <f>'F_Input Override'!C9</f>
        <v>EA/NRW environmental programme wastewater (WINEP/NEP) - Chemicals and emerging contaminants monitoring, investigations, options appraisals; (WINEP/NEP) wastewater capex - Total</v>
      </c>
      <c r="D9" s="126" t="str">
        <f>'F_Input Override'!D9</f>
        <v>£m</v>
      </c>
      <c r="E9" s="126" t="str">
        <f>'F_Input Override'!E9</f>
        <v>Price Review 2024</v>
      </c>
      <c r="F9" s="127">
        <f>IF('F_Input Override'!F9="",'Consolidated Input'!F9,('F_Input Override'!F9))</f>
        <v>1.9E-2</v>
      </c>
      <c r="G9" s="127">
        <f>IF('F_Input Override'!G9="",'Consolidated Input'!G9,('F_Input Override'!G9))</f>
        <v>1.7999999999999999E-2</v>
      </c>
      <c r="H9" s="127">
        <f>IF('F_Input Override'!H9="",'Consolidated Input'!H9,('F_Input Override'!H9))</f>
        <v>0</v>
      </c>
      <c r="I9" s="127">
        <f>IF('F_Input Override'!I9="",'Consolidated Input'!I9,('F_Input Override'!I9))</f>
        <v>0</v>
      </c>
      <c r="J9" s="127">
        <f>IF('F_Input Override'!J9="",'Consolidated Input'!J9,('F_Input Override'!J9))</f>
        <v>0</v>
      </c>
      <c r="K9" s="127">
        <f>IF('F_Input Override'!K9="",'Consolidated Input'!K9,('F_Input Override'!K9))</f>
        <v>0</v>
      </c>
      <c r="L9" s="127">
        <f>IF('F_Input Override'!L9="",'Consolidated Input'!L9,('F_Input Override'!L9))</f>
        <v>0</v>
      </c>
      <c r="M9" s="128">
        <f t="shared" si="0"/>
        <v>0</v>
      </c>
    </row>
    <row r="10" spans="1:13" s="2" customFormat="1">
      <c r="A10" s="126" t="str">
        <f>'F_Input Override'!A10</f>
        <v>ANH</v>
      </c>
      <c r="B10" s="126" t="str">
        <f>'F_Input Override'!B10</f>
        <v>CWW17_052TOT_PR24</v>
      </c>
      <c r="C10" s="126" t="str">
        <f>'F_Input Override'!C10</f>
        <v>EA/NRW environmental programme wastewater (WINEP/NEP) - Chemicals and emerging contaminants monitoring, investigations, options appraisals; (WINEP/NEP) wastewater capex - Total</v>
      </c>
      <c r="D10" s="126" t="str">
        <f>'F_Input Override'!D10</f>
        <v>£m</v>
      </c>
      <c r="E10" s="126" t="str">
        <f>'F_Input Override'!E10</f>
        <v>Price Review 2024</v>
      </c>
      <c r="F10" s="127">
        <f>IF('F_Input Override'!F10="",'Consolidated Input'!F10,('F_Input Override'!F10))</f>
        <v>0</v>
      </c>
      <c r="G10" s="127">
        <f>IF('F_Input Override'!G10="",'Consolidated Input'!G10,('F_Input Override'!G10))</f>
        <v>0</v>
      </c>
      <c r="H10" s="127">
        <f>IF('F_Input Override'!H10="",'Consolidated Input'!H10,('F_Input Override'!H10))</f>
        <v>0</v>
      </c>
      <c r="I10" s="127">
        <f>IF('F_Input Override'!I10="",'Consolidated Input'!I10,('F_Input Override'!I10))</f>
        <v>0</v>
      </c>
      <c r="J10" s="127">
        <f>IF('F_Input Override'!J10="",'Consolidated Input'!J10,('F_Input Override'!J10))</f>
        <v>0</v>
      </c>
      <c r="K10" s="127">
        <f>IF('F_Input Override'!K10="",'Consolidated Input'!K10,('F_Input Override'!K10))</f>
        <v>0</v>
      </c>
      <c r="L10" s="127">
        <f>IF('F_Input Override'!L10="",'Consolidated Input'!L10,('F_Input Override'!L10))</f>
        <v>0</v>
      </c>
      <c r="M10" s="128">
        <f t="shared" si="0"/>
        <v>0</v>
      </c>
    </row>
    <row r="11" spans="1:13" s="2" customFormat="1">
      <c r="A11" s="126" t="str">
        <f>'F_Input Override'!A11</f>
        <v>ANH</v>
      </c>
      <c r="B11" s="126" t="str">
        <f>'F_Input Override'!B11</f>
        <v>CWW12_053TOT_PR24</v>
      </c>
      <c r="C11" s="126" t="str">
        <f>'F_Input Override'!C11</f>
        <v>EA/NRW environmental programme wastewater (WINEP/NEP) - Chemicals and emerging contaminants monitoring, investigations, options appraisals; (WINEP/NEP) wastewater opex - Total</v>
      </c>
      <c r="D11" s="126" t="str">
        <f>'F_Input Override'!D11</f>
        <v>£m</v>
      </c>
      <c r="E11" s="126" t="str">
        <f>'F_Input Override'!E11</f>
        <v>Price Review 2024</v>
      </c>
      <c r="F11" s="127">
        <f>IF('F_Input Override'!F11="",'Consolidated Input'!F11,('F_Input Override'!F11))</f>
        <v>0</v>
      </c>
      <c r="G11" s="127">
        <f>IF('F_Input Override'!G11="",'Consolidated Input'!G11,('F_Input Override'!G11))</f>
        <v>0</v>
      </c>
      <c r="H11" s="127">
        <f>IF('F_Input Override'!H11="",'Consolidated Input'!H11,('F_Input Override'!H11))</f>
        <v>0</v>
      </c>
      <c r="I11" s="127">
        <f>IF('F_Input Override'!I11="",'Consolidated Input'!I11,('F_Input Override'!I11))</f>
        <v>0</v>
      </c>
      <c r="J11" s="127">
        <f>IF('F_Input Override'!J11="",'Consolidated Input'!J11,('F_Input Override'!J11))</f>
        <v>0</v>
      </c>
      <c r="K11" s="127">
        <f>IF('F_Input Override'!K11="",'Consolidated Input'!K11,('F_Input Override'!K11))</f>
        <v>0</v>
      </c>
      <c r="L11" s="127">
        <f>IF('F_Input Override'!L11="",'Consolidated Input'!L11,('F_Input Override'!L11))</f>
        <v>0</v>
      </c>
      <c r="M11" s="128">
        <f t="shared" si="0"/>
        <v>0</v>
      </c>
    </row>
    <row r="12" spans="1:13" s="2" customFormat="1">
      <c r="A12" s="126" t="str">
        <f>'F_Input Override'!A12</f>
        <v>ANH</v>
      </c>
      <c r="B12" s="126" t="str">
        <f>'F_Input Override'!B12</f>
        <v>CWW17_053TOT_PR24</v>
      </c>
      <c r="C12" s="126" t="str">
        <f>'F_Input Override'!C12</f>
        <v>EA/NRW environmental programme wastewater (WINEP/NEP) - Chemicals and emerging contaminants monitoring, investigations, options appraisals; (WINEP/NEP) wastewater opex - Total</v>
      </c>
      <c r="D12" s="126" t="str">
        <f>'F_Input Override'!D12</f>
        <v>£m</v>
      </c>
      <c r="E12" s="126" t="str">
        <f>'F_Input Override'!E12</f>
        <v>Price Review 2024</v>
      </c>
      <c r="F12" s="127">
        <f>IF('F_Input Override'!F12="",'Consolidated Input'!F12,('F_Input Override'!F12))</f>
        <v>0</v>
      </c>
      <c r="G12" s="127">
        <f>IF('F_Input Override'!G12="",'Consolidated Input'!G12,('F_Input Override'!G12))</f>
        <v>0</v>
      </c>
      <c r="H12" s="127">
        <f>IF('F_Input Override'!H12="",'Consolidated Input'!H12,('F_Input Override'!H12))</f>
        <v>0</v>
      </c>
      <c r="I12" s="127">
        <f>IF('F_Input Override'!I12="",'Consolidated Input'!I12,('F_Input Override'!I12))</f>
        <v>0</v>
      </c>
      <c r="J12" s="127">
        <f>IF('F_Input Override'!J12="",'Consolidated Input'!J12,('F_Input Override'!J12))</f>
        <v>0</v>
      </c>
      <c r="K12" s="127">
        <f>IF('F_Input Override'!K12="",'Consolidated Input'!K12,('F_Input Override'!K12))</f>
        <v>0</v>
      </c>
      <c r="L12" s="127">
        <f>IF('F_Input Override'!L12="",'Consolidated Input'!L12,('F_Input Override'!L12))</f>
        <v>0</v>
      </c>
      <c r="M12" s="128">
        <f t="shared" si="0"/>
        <v>0</v>
      </c>
    </row>
    <row r="13" spans="1:13" s="2" customFormat="1">
      <c r="A13" s="126" t="str">
        <f>'F_Input Override'!A13</f>
        <v>ANH</v>
      </c>
      <c r="B13" s="126" t="str">
        <f>'F_Input Override'!B13</f>
        <v>CWW12_054TOT_PR24</v>
      </c>
      <c r="C13" s="126" t="str">
        <f>'F_Input Override'!C13</f>
        <v>EA/NRW environmental programme wastewater (WINEP/NEP) - Chemicals and emerging contaminants monitoring, investigations, options appraisals; (WINEP/NEP) wastewater totex - Total</v>
      </c>
      <c r="D13" s="126" t="str">
        <f>'F_Input Override'!D13</f>
        <v>£m</v>
      </c>
      <c r="E13" s="126" t="str">
        <f>'F_Input Override'!E13</f>
        <v>Price Review 2024</v>
      </c>
      <c r="F13" s="127">
        <f>IF('F_Input Override'!F13="",'Consolidated Input'!F13,('F_Input Override'!F13))</f>
        <v>1.9E-2</v>
      </c>
      <c r="G13" s="127">
        <f>IF('F_Input Override'!G13="",'Consolidated Input'!G13,('F_Input Override'!G13))</f>
        <v>1.7999999999999999E-2</v>
      </c>
      <c r="H13" s="127">
        <f>IF('F_Input Override'!H13="",'Consolidated Input'!H13,('F_Input Override'!H13))</f>
        <v>0</v>
      </c>
      <c r="I13" s="127">
        <f>IF('F_Input Override'!I13="",'Consolidated Input'!I13,('F_Input Override'!I13))</f>
        <v>0</v>
      </c>
      <c r="J13" s="127">
        <f>IF('F_Input Override'!J13="",'Consolidated Input'!J13,('F_Input Override'!J13))</f>
        <v>0</v>
      </c>
      <c r="K13" s="127">
        <f>IF('F_Input Override'!K13="",'Consolidated Input'!K13,('F_Input Override'!K13))</f>
        <v>0</v>
      </c>
      <c r="L13" s="127">
        <f>IF('F_Input Override'!L13="",'Consolidated Input'!L13,('F_Input Override'!L13))</f>
        <v>0</v>
      </c>
      <c r="M13" s="128">
        <f t="shared" si="0"/>
        <v>0</v>
      </c>
    </row>
    <row r="14" spans="1:13" s="2" customFormat="1">
      <c r="A14" s="126" t="str">
        <f>'F_Input Override'!A14</f>
        <v>ANH</v>
      </c>
      <c r="B14" s="126" t="str">
        <f>'F_Input Override'!B14</f>
        <v>CWW17_054TOT_PR24</v>
      </c>
      <c r="C14" s="126" t="str">
        <f>'F_Input Override'!C14</f>
        <v>EA/NRW environmental programme wastewater (WINEP/NEP) - Chemicals and emerging contaminants monitoring, investigations, options appraisals; (WINEP/NEP) wastewater totex - Total</v>
      </c>
      <c r="D14" s="126" t="str">
        <f>'F_Input Override'!D14</f>
        <v>£m</v>
      </c>
      <c r="E14" s="126" t="str">
        <f>'F_Input Override'!E14</f>
        <v>Price Review 2024</v>
      </c>
      <c r="F14" s="127">
        <f>IF('F_Input Override'!F14="",'Consolidated Input'!F14,('F_Input Override'!F14))</f>
        <v>0</v>
      </c>
      <c r="G14" s="127">
        <f>IF('F_Input Override'!G14="",'Consolidated Input'!G14,('F_Input Override'!G14))</f>
        <v>0</v>
      </c>
      <c r="H14" s="127">
        <f>IF('F_Input Override'!H14="",'Consolidated Input'!H14,('F_Input Override'!H14))</f>
        <v>0</v>
      </c>
      <c r="I14" s="127">
        <f>IF('F_Input Override'!I14="",'Consolidated Input'!I14,('F_Input Override'!I14))</f>
        <v>0</v>
      </c>
      <c r="J14" s="127">
        <f>IF('F_Input Override'!J14="",'Consolidated Input'!J14,('F_Input Override'!J14))</f>
        <v>0</v>
      </c>
      <c r="K14" s="127">
        <f>IF('F_Input Override'!K14="",'Consolidated Input'!K14,('F_Input Override'!K14))</f>
        <v>0</v>
      </c>
      <c r="L14" s="127">
        <f>IF('F_Input Override'!L14="",'Consolidated Input'!L14,('F_Input Override'!L14))</f>
        <v>0</v>
      </c>
      <c r="M14" s="128">
        <f t="shared" si="0"/>
        <v>0</v>
      </c>
    </row>
    <row r="15" spans="1:13" s="2" customFormat="1">
      <c r="A15" s="126" t="str">
        <f>'F_Input Override'!A15</f>
        <v>ANH</v>
      </c>
      <c r="B15" s="126" t="str">
        <f>'F_Input Override'!B15</f>
        <v>PR24_NETTOTEX_WASTE</v>
      </c>
      <c r="C15" s="126" t="str">
        <f>'F_Input Override'!C15</f>
        <v>PR24 BP Net totex - Total inc. accelerated &amp; transition costs</v>
      </c>
      <c r="D15" s="126" t="str">
        <f>'F_Input Override'!D15</f>
        <v>£m</v>
      </c>
      <c r="E15" s="126" t="str">
        <f>'F_Input Override'!E15</f>
        <v>Price Review 2024</v>
      </c>
      <c r="F15" s="127">
        <f>IF('F_Input Override'!F15="",'Consolidated Input'!F15,('F_Input Override'!F15))</f>
        <v>0</v>
      </c>
      <c r="G15" s="127">
        <f>IF('F_Input Override'!G15="",'Consolidated Input'!G15,('F_Input Override'!G15))</f>
        <v>0</v>
      </c>
      <c r="H15" s="127">
        <f>IF('F_Input Override'!H15="",'Consolidated Input'!H15,('F_Input Override'!H15))</f>
        <v>0</v>
      </c>
      <c r="I15" s="127">
        <f>IF('F_Input Override'!I15="",'Consolidated Input'!I15,('F_Input Override'!I15))</f>
        <v>0</v>
      </c>
      <c r="J15" s="127">
        <f>IF('F_Input Override'!J15="",'Consolidated Input'!J15,('F_Input Override'!J15))</f>
        <v>0</v>
      </c>
      <c r="K15" s="127">
        <f>IF('F_Input Override'!K15="",'Consolidated Input'!K15,('F_Input Override'!K15))</f>
        <v>0</v>
      </c>
      <c r="L15" s="127">
        <f>IF('F_Input Override'!L15="",'Consolidated Input'!L15,('F_Input Override'!L15))</f>
        <v>0</v>
      </c>
      <c r="M15" s="128">
        <f t="shared" si="0"/>
        <v>0</v>
      </c>
    </row>
    <row r="16" spans="1:13" s="2" customFormat="1">
      <c r="A16" s="126" t="str">
        <f>'F_Input Override'!A16</f>
        <v>WSH</v>
      </c>
      <c r="B16" s="126" t="str">
        <f>'F_Input Override'!B16</f>
        <v>CWW3_052TOT_PR24</v>
      </c>
      <c r="C16" s="126" t="str">
        <f>'F_Input Override'!C16</f>
        <v>EA/NRW environmental programme wastewater (WINEP/NEP) - Chemicals and emerging contaminants monitoring, investigations, options appraisals; (WINEP/NEP) wastewater capex - Total</v>
      </c>
      <c r="D16" s="126" t="str">
        <f>'F_Input Override'!D16</f>
        <v>£m</v>
      </c>
      <c r="E16" s="126" t="str">
        <f>'F_Input Override'!E16</f>
        <v>Price Review 2024</v>
      </c>
      <c r="F16" s="127">
        <f>IF('F_Input Override'!F16="",'Consolidated Input'!F16,('F_Input Override'!F16))</f>
        <v>0</v>
      </c>
      <c r="G16" s="127">
        <f>IF('F_Input Override'!G16="",'Consolidated Input'!G16,('F_Input Override'!G16))</f>
        <v>0</v>
      </c>
      <c r="H16" s="127">
        <f>IF('F_Input Override'!H16="",'Consolidated Input'!H16,('F_Input Override'!H16))</f>
        <v>1.3959999999999999</v>
      </c>
      <c r="I16" s="127">
        <f>IF('F_Input Override'!I16="",'Consolidated Input'!I16,('F_Input Override'!I16))</f>
        <v>1.3560000000000001</v>
      </c>
      <c r="J16" s="127">
        <f>IF('F_Input Override'!J16="",'Consolidated Input'!J16,('F_Input Override'!J16))</f>
        <v>0</v>
      </c>
      <c r="K16" s="127">
        <f>IF('F_Input Override'!K16="",'Consolidated Input'!K16,('F_Input Override'!K16))</f>
        <v>0</v>
      </c>
      <c r="L16" s="127">
        <f>IF('F_Input Override'!L16="",'Consolidated Input'!L16,('F_Input Override'!L16))</f>
        <v>0</v>
      </c>
      <c r="M16" s="128">
        <f t="shared" si="0"/>
        <v>2.7519999999999998</v>
      </c>
    </row>
    <row r="17" spans="1:13" s="2" customFormat="1">
      <c r="A17" s="126" t="str">
        <f>'F_Input Override'!A17</f>
        <v>WSH</v>
      </c>
      <c r="B17" s="126" t="str">
        <f>'F_Input Override'!B17</f>
        <v>CWW3_053TOT_PR24</v>
      </c>
      <c r="C17" s="126" t="str">
        <f>'F_Input Override'!C17</f>
        <v>EA/NRW environmental programme wastewater (WINEP/NEP) - Chemicals and emerging contaminants monitoring, investigations, options appraisals; (WINEP/NEP) wastewater opex - Total</v>
      </c>
      <c r="D17" s="126" t="str">
        <f>'F_Input Override'!D17</f>
        <v>£m</v>
      </c>
      <c r="E17" s="126" t="str">
        <f>'F_Input Override'!E17</f>
        <v>Price Review 2024</v>
      </c>
      <c r="F17" s="127">
        <f>IF('F_Input Override'!F17="",'Consolidated Input'!F17,('F_Input Override'!F17))</f>
        <v>0</v>
      </c>
      <c r="G17" s="127">
        <f>IF('F_Input Override'!G17="",'Consolidated Input'!G17,('F_Input Override'!G17))</f>
        <v>0</v>
      </c>
      <c r="H17" s="127">
        <f>IF('F_Input Override'!H17="",'Consolidated Input'!H17,('F_Input Override'!H17))</f>
        <v>0</v>
      </c>
      <c r="I17" s="127">
        <f>IF('F_Input Override'!I17="",'Consolidated Input'!I17,('F_Input Override'!I17))</f>
        <v>0</v>
      </c>
      <c r="J17" s="127">
        <f>IF('F_Input Override'!J17="",'Consolidated Input'!J17,('F_Input Override'!J17))</f>
        <v>0</v>
      </c>
      <c r="K17" s="127">
        <f>IF('F_Input Override'!K17="",'Consolidated Input'!K17,('F_Input Override'!K17))</f>
        <v>0</v>
      </c>
      <c r="L17" s="127">
        <f>IF('F_Input Override'!L17="",'Consolidated Input'!L17,('F_Input Override'!L17))</f>
        <v>0</v>
      </c>
      <c r="M17" s="128">
        <f t="shared" si="0"/>
        <v>0</v>
      </c>
    </row>
    <row r="18" spans="1:13" s="2" customFormat="1">
      <c r="A18" s="126" t="str">
        <f>'F_Input Override'!A18</f>
        <v>WSH</v>
      </c>
      <c r="B18" s="126" t="str">
        <f>'F_Input Override'!B18</f>
        <v>CWW3_054TOT_PR24</v>
      </c>
      <c r="C18" s="126" t="str">
        <f>'F_Input Override'!C18</f>
        <v>EA/NRW environmental programme wastewater (WINEP/NEP) - Chemicals and emerging contaminants monitoring, investigations, options appraisals; (WINEP/NEP) wastewater totex - Total</v>
      </c>
      <c r="D18" s="126" t="str">
        <f>'F_Input Override'!D18</f>
        <v>£m</v>
      </c>
      <c r="E18" s="126" t="str">
        <f>'F_Input Override'!E18</f>
        <v>Price Review 2024</v>
      </c>
      <c r="F18" s="127">
        <f>IF('F_Input Override'!F18="",'Consolidated Input'!F18,('F_Input Override'!F18))</f>
        <v>0</v>
      </c>
      <c r="G18" s="127">
        <f>IF('F_Input Override'!G18="",'Consolidated Input'!G18,('F_Input Override'!G18))</f>
        <v>0</v>
      </c>
      <c r="H18" s="127">
        <f>IF('F_Input Override'!H18="",'Consolidated Input'!H18,('F_Input Override'!H18))</f>
        <v>1.3959999999999999</v>
      </c>
      <c r="I18" s="127">
        <f>IF('F_Input Override'!I18="",'Consolidated Input'!I18,('F_Input Override'!I18))</f>
        <v>1.3560000000000001</v>
      </c>
      <c r="J18" s="127">
        <f>IF('F_Input Override'!J18="",'Consolidated Input'!J18,('F_Input Override'!J18))</f>
        <v>0</v>
      </c>
      <c r="K18" s="127">
        <f>IF('F_Input Override'!K18="",'Consolidated Input'!K18,('F_Input Override'!K18))</f>
        <v>0</v>
      </c>
      <c r="L18" s="127">
        <f>IF('F_Input Override'!L18="",'Consolidated Input'!L18,('F_Input Override'!L18))</f>
        <v>0</v>
      </c>
      <c r="M18" s="128">
        <f t="shared" si="0"/>
        <v>2.7519999999999998</v>
      </c>
    </row>
    <row r="19" spans="1:13" s="2" customFormat="1">
      <c r="A19" s="126" t="str">
        <f>'F_Input Override'!A19</f>
        <v>WSH</v>
      </c>
      <c r="B19" s="126" t="str">
        <f>'F_Input Override'!B19</f>
        <v>BN1603_PR24</v>
      </c>
      <c r="C19" s="126" t="str">
        <f>'F_Input Override'!C19</f>
        <v>Sewage treatment data - Current population equivalent served by STWs</v>
      </c>
      <c r="D19" s="126" t="str">
        <f>'F_Input Override'!D19</f>
        <v>000s</v>
      </c>
      <c r="E19" s="126" t="str">
        <f>'F_Input Override'!E19</f>
        <v>Price Review 2024</v>
      </c>
      <c r="F19" s="127">
        <f>IF('F_Input Override'!F19="",'Consolidated Input'!F19,('F_Input Override'!F19))</f>
        <v>3946.3209999999999</v>
      </c>
      <c r="G19" s="127">
        <f>IF('F_Input Override'!G19="",'Consolidated Input'!G19,('F_Input Override'!G19))</f>
        <v>3970.4409999999998</v>
      </c>
      <c r="H19" s="127">
        <f>IF('F_Input Override'!H19="",'Consolidated Input'!H19,('F_Input Override'!H19))</f>
        <v>3994.5369999999998</v>
      </c>
      <c r="I19" s="127">
        <f>IF('F_Input Override'!I19="",'Consolidated Input'!I19,('F_Input Override'!I19))</f>
        <v>4018.6320000000001</v>
      </c>
      <c r="J19" s="127">
        <f>IF('F_Input Override'!J19="",'Consolidated Input'!J19,('F_Input Override'!J19))</f>
        <v>4042.5520000000001</v>
      </c>
      <c r="K19" s="127">
        <f>IF('F_Input Override'!K19="",'Consolidated Input'!K19,('F_Input Override'!K19))</f>
        <v>4066.57</v>
      </c>
      <c r="L19" s="127">
        <f>IF('F_Input Override'!L19="",'Consolidated Input'!L19,('F_Input Override'!L19))</f>
        <v>4090.5610000000001</v>
      </c>
      <c r="M19" s="128">
        <f t="shared" si="0"/>
        <v>20212.851999999999</v>
      </c>
    </row>
    <row r="20" spans="1:13" s="2" customFormat="1">
      <c r="A20" s="126" t="str">
        <f>'F_Input Override'!A20</f>
        <v>WSH</v>
      </c>
      <c r="B20" s="126" t="str">
        <f>'F_Input Override'!B20</f>
        <v>CWW12_052TOT_PR24</v>
      </c>
      <c r="C20" s="126" t="str">
        <f>'F_Input Override'!C20</f>
        <v>EA/NRW environmental programme wastewater (WINEP/NEP) - Chemicals and emerging contaminants monitoring, investigations, options appraisals; (WINEP/NEP) wastewater capex - Total</v>
      </c>
      <c r="D20" s="126" t="str">
        <f>'F_Input Override'!D20</f>
        <v>£m</v>
      </c>
      <c r="E20" s="126" t="str">
        <f>'F_Input Override'!E20</f>
        <v>Price Review 2024</v>
      </c>
      <c r="F20" s="127">
        <f>IF('F_Input Override'!F20="",'Consolidated Input'!F20,('F_Input Override'!F20))</f>
        <v>0</v>
      </c>
      <c r="G20" s="127">
        <f>IF('F_Input Override'!G20="",'Consolidated Input'!G20,('F_Input Override'!G20))</f>
        <v>0</v>
      </c>
      <c r="H20" s="127">
        <f>IF('F_Input Override'!H20="",'Consolidated Input'!H20,('F_Input Override'!H20))</f>
        <v>0</v>
      </c>
      <c r="I20" s="127">
        <f>IF('F_Input Override'!I20="",'Consolidated Input'!I20,('F_Input Override'!I20))</f>
        <v>0</v>
      </c>
      <c r="J20" s="127">
        <f>IF('F_Input Override'!J20="",'Consolidated Input'!J20,('F_Input Override'!J20))</f>
        <v>0</v>
      </c>
      <c r="K20" s="127">
        <f>IF('F_Input Override'!K20="",'Consolidated Input'!K20,('F_Input Override'!K20))</f>
        <v>0</v>
      </c>
      <c r="L20" s="127">
        <f>IF('F_Input Override'!L20="",'Consolidated Input'!L20,('F_Input Override'!L20))</f>
        <v>0</v>
      </c>
      <c r="M20" s="128">
        <f t="shared" si="0"/>
        <v>0</v>
      </c>
    </row>
    <row r="21" spans="1:13" s="2" customFormat="1">
      <c r="A21" s="126" t="str">
        <f>'F_Input Override'!A21</f>
        <v>WSH</v>
      </c>
      <c r="B21" s="126" t="str">
        <f>'F_Input Override'!B21</f>
        <v>CWW17_052TOT_PR24</v>
      </c>
      <c r="C21" s="126" t="str">
        <f>'F_Input Override'!C21</f>
        <v>EA/NRW environmental programme wastewater (WINEP/NEP) - Chemicals and emerging contaminants monitoring, investigations, options appraisals; (WINEP/NEP) wastewater capex - Total</v>
      </c>
      <c r="D21" s="126" t="str">
        <f>'F_Input Override'!D21</f>
        <v>£m</v>
      </c>
      <c r="E21" s="126" t="str">
        <f>'F_Input Override'!E21</f>
        <v>Price Review 2024</v>
      </c>
      <c r="F21" s="127">
        <f>IF('F_Input Override'!F21="",'Consolidated Input'!F21,('F_Input Override'!F21))</f>
        <v>0</v>
      </c>
      <c r="G21" s="127">
        <f>IF('F_Input Override'!G21="",'Consolidated Input'!G21,('F_Input Override'!G21))</f>
        <v>0</v>
      </c>
      <c r="H21" s="127">
        <f>IF('F_Input Override'!H21="",'Consolidated Input'!H21,('F_Input Override'!H21))</f>
        <v>0</v>
      </c>
      <c r="I21" s="127">
        <f>IF('F_Input Override'!I21="",'Consolidated Input'!I21,('F_Input Override'!I21))</f>
        <v>0</v>
      </c>
      <c r="J21" s="127">
        <f>IF('F_Input Override'!J21="",'Consolidated Input'!J21,('F_Input Override'!J21))</f>
        <v>0</v>
      </c>
      <c r="K21" s="127">
        <f>IF('F_Input Override'!K21="",'Consolidated Input'!K21,('F_Input Override'!K21))</f>
        <v>0</v>
      </c>
      <c r="L21" s="127">
        <f>IF('F_Input Override'!L21="",'Consolidated Input'!L21,('F_Input Override'!L21))</f>
        <v>0</v>
      </c>
      <c r="M21" s="128">
        <f t="shared" si="0"/>
        <v>0</v>
      </c>
    </row>
    <row r="22" spans="1:13" s="2" customFormat="1">
      <c r="A22" s="126" t="str">
        <f>'F_Input Override'!A22</f>
        <v>WSH</v>
      </c>
      <c r="B22" s="126" t="str">
        <f>'F_Input Override'!B22</f>
        <v>CWW12_053TOT_PR24</v>
      </c>
      <c r="C22" s="126" t="str">
        <f>'F_Input Override'!C22</f>
        <v>EA/NRW environmental programme wastewater (WINEP/NEP) - Chemicals and emerging contaminants monitoring, investigations, options appraisals; (WINEP/NEP) wastewater opex - Total</v>
      </c>
      <c r="D22" s="126" t="str">
        <f>'F_Input Override'!D22</f>
        <v>£m</v>
      </c>
      <c r="E22" s="126" t="str">
        <f>'F_Input Override'!E22</f>
        <v>Price Review 2024</v>
      </c>
      <c r="F22" s="127">
        <f>IF('F_Input Override'!F22="",'Consolidated Input'!F22,('F_Input Override'!F22))</f>
        <v>0</v>
      </c>
      <c r="G22" s="127">
        <f>IF('F_Input Override'!G22="",'Consolidated Input'!G22,('F_Input Override'!G22))</f>
        <v>0</v>
      </c>
      <c r="H22" s="127">
        <f>IF('F_Input Override'!H22="",'Consolidated Input'!H22,('F_Input Override'!H22))</f>
        <v>0</v>
      </c>
      <c r="I22" s="127">
        <f>IF('F_Input Override'!I22="",'Consolidated Input'!I22,('F_Input Override'!I22))</f>
        <v>0</v>
      </c>
      <c r="J22" s="127">
        <f>IF('F_Input Override'!J22="",'Consolidated Input'!J22,('F_Input Override'!J22))</f>
        <v>0</v>
      </c>
      <c r="K22" s="127">
        <f>IF('F_Input Override'!K22="",'Consolidated Input'!K22,('F_Input Override'!K22))</f>
        <v>0</v>
      </c>
      <c r="L22" s="127">
        <f>IF('F_Input Override'!L22="",'Consolidated Input'!L22,('F_Input Override'!L22))</f>
        <v>0</v>
      </c>
      <c r="M22" s="128">
        <f t="shared" si="0"/>
        <v>0</v>
      </c>
    </row>
    <row r="23" spans="1:13" s="2" customFormat="1">
      <c r="A23" s="126" t="str">
        <f>'F_Input Override'!A23</f>
        <v>WSH</v>
      </c>
      <c r="B23" s="126" t="str">
        <f>'F_Input Override'!B23</f>
        <v>CWW17_053TOT_PR24</v>
      </c>
      <c r="C23" s="126" t="str">
        <f>'F_Input Override'!C23</f>
        <v>EA/NRW environmental programme wastewater (WINEP/NEP) - Chemicals and emerging contaminants monitoring, investigations, options appraisals; (WINEP/NEP) wastewater opex - Total</v>
      </c>
      <c r="D23" s="126" t="str">
        <f>'F_Input Override'!D23</f>
        <v>£m</v>
      </c>
      <c r="E23" s="126" t="str">
        <f>'F_Input Override'!E23</f>
        <v>Price Review 2024</v>
      </c>
      <c r="F23" s="127">
        <f>IF('F_Input Override'!F23="",'Consolidated Input'!F23,('F_Input Override'!F23))</f>
        <v>0</v>
      </c>
      <c r="G23" s="127">
        <f>IF('F_Input Override'!G23="",'Consolidated Input'!G23,('F_Input Override'!G23))</f>
        <v>0</v>
      </c>
      <c r="H23" s="127">
        <f>IF('F_Input Override'!H23="",'Consolidated Input'!H23,('F_Input Override'!H23))</f>
        <v>0</v>
      </c>
      <c r="I23" s="127">
        <f>IF('F_Input Override'!I23="",'Consolidated Input'!I23,('F_Input Override'!I23))</f>
        <v>0</v>
      </c>
      <c r="J23" s="127">
        <f>IF('F_Input Override'!J23="",'Consolidated Input'!J23,('F_Input Override'!J23))</f>
        <v>0</v>
      </c>
      <c r="K23" s="127">
        <f>IF('F_Input Override'!K23="",'Consolidated Input'!K23,('F_Input Override'!K23))</f>
        <v>0</v>
      </c>
      <c r="L23" s="127">
        <f>IF('F_Input Override'!L23="",'Consolidated Input'!L23,('F_Input Override'!L23))</f>
        <v>0</v>
      </c>
      <c r="M23" s="128">
        <f t="shared" si="0"/>
        <v>0</v>
      </c>
    </row>
    <row r="24" spans="1:13" s="2" customFormat="1">
      <c r="A24" s="126" t="str">
        <f>'F_Input Override'!A24</f>
        <v>WSH</v>
      </c>
      <c r="B24" s="126" t="str">
        <f>'F_Input Override'!B24</f>
        <v>CWW12_054TOT_PR24</v>
      </c>
      <c r="C24" s="126" t="str">
        <f>'F_Input Override'!C24</f>
        <v>EA/NRW environmental programme wastewater (WINEP/NEP) - Chemicals and emerging contaminants monitoring, investigations, options appraisals; (WINEP/NEP) wastewater totex - Total</v>
      </c>
      <c r="D24" s="126" t="str">
        <f>'F_Input Override'!D24</f>
        <v>£m</v>
      </c>
      <c r="E24" s="126" t="str">
        <f>'F_Input Override'!E24</f>
        <v>Price Review 2024</v>
      </c>
      <c r="F24" s="127">
        <f>IF('F_Input Override'!F24="",'Consolidated Input'!F24,('F_Input Override'!F24))</f>
        <v>0</v>
      </c>
      <c r="G24" s="127">
        <f>IF('F_Input Override'!G24="",'Consolidated Input'!G24,('F_Input Override'!G24))</f>
        <v>0</v>
      </c>
      <c r="H24" s="127">
        <f>IF('F_Input Override'!H24="",'Consolidated Input'!H24,('F_Input Override'!H24))</f>
        <v>0</v>
      </c>
      <c r="I24" s="127">
        <f>IF('F_Input Override'!I24="",'Consolidated Input'!I24,('F_Input Override'!I24))</f>
        <v>0</v>
      </c>
      <c r="J24" s="127">
        <f>IF('F_Input Override'!J24="",'Consolidated Input'!J24,('F_Input Override'!J24))</f>
        <v>0</v>
      </c>
      <c r="K24" s="127">
        <f>IF('F_Input Override'!K24="",'Consolidated Input'!K24,('F_Input Override'!K24))</f>
        <v>0</v>
      </c>
      <c r="L24" s="127">
        <f>IF('F_Input Override'!L24="",'Consolidated Input'!L24,('F_Input Override'!L24))</f>
        <v>0</v>
      </c>
      <c r="M24" s="128">
        <f t="shared" si="0"/>
        <v>0</v>
      </c>
    </row>
    <row r="25" spans="1:13" s="2" customFormat="1">
      <c r="A25" s="126" t="str">
        <f>'F_Input Override'!A25</f>
        <v>WSH</v>
      </c>
      <c r="B25" s="126" t="str">
        <f>'F_Input Override'!B25</f>
        <v>CWW17_054TOT_PR24</v>
      </c>
      <c r="C25" s="126" t="str">
        <f>'F_Input Override'!C25</f>
        <v>EA/NRW environmental programme wastewater (WINEP/NEP) - Chemicals and emerging contaminants monitoring, investigations, options appraisals; (WINEP/NEP) wastewater totex - Total</v>
      </c>
      <c r="D25" s="126" t="str">
        <f>'F_Input Override'!D25</f>
        <v>£m</v>
      </c>
      <c r="E25" s="126" t="str">
        <f>'F_Input Override'!E25</f>
        <v>Price Review 2024</v>
      </c>
      <c r="F25" s="127">
        <f>IF('F_Input Override'!F25="",'Consolidated Input'!F25,('F_Input Override'!F25))</f>
        <v>0</v>
      </c>
      <c r="G25" s="127">
        <f>IF('F_Input Override'!G25="",'Consolidated Input'!G25,('F_Input Override'!G25))</f>
        <v>0</v>
      </c>
      <c r="H25" s="127">
        <f>IF('F_Input Override'!H25="",'Consolidated Input'!H25,('F_Input Override'!H25))</f>
        <v>0</v>
      </c>
      <c r="I25" s="127">
        <f>IF('F_Input Override'!I25="",'Consolidated Input'!I25,('F_Input Override'!I25))</f>
        <v>0</v>
      </c>
      <c r="J25" s="127">
        <f>IF('F_Input Override'!J25="",'Consolidated Input'!J25,('F_Input Override'!J25))</f>
        <v>0</v>
      </c>
      <c r="K25" s="127">
        <f>IF('F_Input Override'!K25="",'Consolidated Input'!K25,('F_Input Override'!K25))</f>
        <v>0</v>
      </c>
      <c r="L25" s="127">
        <f>IF('F_Input Override'!L25="",'Consolidated Input'!L25,('F_Input Override'!L25))</f>
        <v>0</v>
      </c>
      <c r="M25" s="128">
        <f t="shared" si="0"/>
        <v>0</v>
      </c>
    </row>
    <row r="26" spans="1:13" s="2" customFormat="1">
      <c r="A26" s="126" t="str">
        <f>'F_Input Override'!A26</f>
        <v>WSH</v>
      </c>
      <c r="B26" s="126" t="str">
        <f>'F_Input Override'!B26</f>
        <v>PR24_NETTOTEX_WASTE</v>
      </c>
      <c r="C26" s="126" t="str">
        <f>'F_Input Override'!C26</f>
        <v>PR24 BP Net totex - Total inc. accelerated &amp; transition costs</v>
      </c>
      <c r="D26" s="126" t="str">
        <f>'F_Input Override'!D26</f>
        <v>£m</v>
      </c>
      <c r="E26" s="126" t="str">
        <f>'F_Input Override'!E26</f>
        <v>Price Review 2024</v>
      </c>
      <c r="F26" s="127">
        <f>IF('F_Input Override'!F26="",'Consolidated Input'!F26,('F_Input Override'!F26))</f>
        <v>0</v>
      </c>
      <c r="G26" s="127">
        <f>IF('F_Input Override'!G26="",'Consolidated Input'!G26,('F_Input Override'!G26))</f>
        <v>0</v>
      </c>
      <c r="H26" s="127">
        <f>IF('F_Input Override'!H26="",'Consolidated Input'!H26,('F_Input Override'!H26))</f>
        <v>0</v>
      </c>
      <c r="I26" s="127">
        <f>IF('F_Input Override'!I26="",'Consolidated Input'!I26,('F_Input Override'!I26))</f>
        <v>0</v>
      </c>
      <c r="J26" s="127">
        <f>IF('F_Input Override'!J26="",'Consolidated Input'!J26,('F_Input Override'!J26))</f>
        <v>0</v>
      </c>
      <c r="K26" s="127">
        <f>IF('F_Input Override'!K26="",'Consolidated Input'!K26,('F_Input Override'!K26))</f>
        <v>0</v>
      </c>
      <c r="L26" s="127">
        <f>IF('F_Input Override'!L26="",'Consolidated Input'!L26,('F_Input Override'!L26))</f>
        <v>0</v>
      </c>
      <c r="M26" s="128">
        <f t="shared" si="0"/>
        <v>0</v>
      </c>
    </row>
    <row r="27" spans="1:13" s="2" customFormat="1">
      <c r="A27" s="126" t="str">
        <f>'F_Input Override'!A27</f>
        <v>HDD</v>
      </c>
      <c r="B27" s="126" t="str">
        <f>'F_Input Override'!B27</f>
        <v>CWW3_052TOT_PR24</v>
      </c>
      <c r="C27" s="126" t="str">
        <f>'F_Input Override'!C27</f>
        <v>EA/NRW environmental programme wastewater (WINEP/NEP) - Chemicals and emerging contaminants monitoring, investigations, options appraisals; (WINEP/NEP) wastewater capex - Total</v>
      </c>
      <c r="D27" s="126" t="str">
        <f>'F_Input Override'!D27</f>
        <v>£m</v>
      </c>
      <c r="E27" s="126" t="str">
        <f>'F_Input Override'!E27</f>
        <v>Price Review 2024</v>
      </c>
      <c r="F27" s="127">
        <f>IF('F_Input Override'!F27="",'Consolidated Input'!F27,('F_Input Override'!F27))</f>
        <v>0</v>
      </c>
      <c r="G27" s="127">
        <f>IF('F_Input Override'!G27="",'Consolidated Input'!G27,('F_Input Override'!G27))</f>
        <v>0</v>
      </c>
      <c r="H27" s="127">
        <f>IF('F_Input Override'!H27="",'Consolidated Input'!H27,('F_Input Override'!H27))</f>
        <v>0</v>
      </c>
      <c r="I27" s="127">
        <f>IF('F_Input Override'!I27="",'Consolidated Input'!I27,('F_Input Override'!I27))</f>
        <v>0</v>
      </c>
      <c r="J27" s="127">
        <f>IF('F_Input Override'!J27="",'Consolidated Input'!J27,('F_Input Override'!J27))</f>
        <v>0</v>
      </c>
      <c r="K27" s="127">
        <f>IF('F_Input Override'!K27="",'Consolidated Input'!K27,('F_Input Override'!K27))</f>
        <v>0</v>
      </c>
      <c r="L27" s="127">
        <f>IF('F_Input Override'!L27="",'Consolidated Input'!L27,('F_Input Override'!L27))</f>
        <v>0</v>
      </c>
      <c r="M27" s="128">
        <f t="shared" si="0"/>
        <v>0</v>
      </c>
    </row>
    <row r="28" spans="1:13" s="2" customFormat="1">
      <c r="A28" s="126" t="str">
        <f>'F_Input Override'!A28</f>
        <v>HDD</v>
      </c>
      <c r="B28" s="126" t="str">
        <f>'F_Input Override'!B28</f>
        <v>CWW3_053TOT_PR24</v>
      </c>
      <c r="C28" s="126" t="str">
        <f>'F_Input Override'!C28</f>
        <v>EA/NRW environmental programme wastewater (WINEP/NEP) - Chemicals and emerging contaminants monitoring, investigations, options appraisals; (WINEP/NEP) wastewater opex - Total</v>
      </c>
      <c r="D28" s="126" t="str">
        <f>'F_Input Override'!D28</f>
        <v>£m</v>
      </c>
      <c r="E28" s="126" t="str">
        <f>'F_Input Override'!E28</f>
        <v>Price Review 2024</v>
      </c>
      <c r="F28" s="127">
        <f>IF('F_Input Override'!F28="",'Consolidated Input'!F28,('F_Input Override'!F28))</f>
        <v>0</v>
      </c>
      <c r="G28" s="127">
        <f>IF('F_Input Override'!G28="",'Consolidated Input'!G28,('F_Input Override'!G28))</f>
        <v>0</v>
      </c>
      <c r="H28" s="127">
        <f>IF('F_Input Override'!H28="",'Consolidated Input'!H28,('F_Input Override'!H28))</f>
        <v>0</v>
      </c>
      <c r="I28" s="127">
        <f>IF('F_Input Override'!I28="",'Consolidated Input'!I28,('F_Input Override'!I28))</f>
        <v>0</v>
      </c>
      <c r="J28" s="127">
        <f>IF('F_Input Override'!J28="",'Consolidated Input'!J28,('F_Input Override'!J28))</f>
        <v>0</v>
      </c>
      <c r="K28" s="127">
        <f>IF('F_Input Override'!K28="",'Consolidated Input'!K28,('F_Input Override'!K28))</f>
        <v>0</v>
      </c>
      <c r="L28" s="127">
        <f>IF('F_Input Override'!L28="",'Consolidated Input'!L28,('F_Input Override'!L28))</f>
        <v>0</v>
      </c>
      <c r="M28" s="128">
        <f t="shared" si="0"/>
        <v>0</v>
      </c>
    </row>
    <row r="29" spans="1:13" s="2" customFormat="1">
      <c r="A29" s="126" t="str">
        <f>'F_Input Override'!A29</f>
        <v>HDD</v>
      </c>
      <c r="B29" s="126" t="str">
        <f>'F_Input Override'!B29</f>
        <v>CWW3_054TOT_PR24</v>
      </c>
      <c r="C29" s="126" t="str">
        <f>'F_Input Override'!C29</f>
        <v>EA/NRW environmental programme wastewater (WINEP/NEP) - Chemicals and emerging contaminants monitoring, investigations, options appraisals; (WINEP/NEP) wastewater totex - Total</v>
      </c>
      <c r="D29" s="126" t="str">
        <f>'F_Input Override'!D29</f>
        <v>£m</v>
      </c>
      <c r="E29" s="126" t="str">
        <f>'F_Input Override'!E29</f>
        <v>Price Review 2024</v>
      </c>
      <c r="F29" s="127">
        <f>IF('F_Input Override'!F29="",'Consolidated Input'!F29,('F_Input Override'!F29))</f>
        <v>0</v>
      </c>
      <c r="G29" s="127">
        <f>IF('F_Input Override'!G29="",'Consolidated Input'!G29,('F_Input Override'!G29))</f>
        <v>0</v>
      </c>
      <c r="H29" s="127">
        <f>IF('F_Input Override'!H29="",'Consolidated Input'!H29,('F_Input Override'!H29))</f>
        <v>0</v>
      </c>
      <c r="I29" s="127">
        <f>IF('F_Input Override'!I29="",'Consolidated Input'!I29,('F_Input Override'!I29))</f>
        <v>0</v>
      </c>
      <c r="J29" s="127">
        <f>IF('F_Input Override'!J29="",'Consolidated Input'!J29,('F_Input Override'!J29))</f>
        <v>0</v>
      </c>
      <c r="K29" s="127">
        <f>IF('F_Input Override'!K29="",'Consolidated Input'!K29,('F_Input Override'!K29))</f>
        <v>0</v>
      </c>
      <c r="L29" s="127">
        <f>IF('F_Input Override'!L29="",'Consolidated Input'!L29,('F_Input Override'!L29))</f>
        <v>0</v>
      </c>
      <c r="M29" s="128">
        <f t="shared" si="0"/>
        <v>0</v>
      </c>
    </row>
    <row r="30" spans="1:13" s="2" customFormat="1">
      <c r="A30" s="126" t="str">
        <f>'F_Input Override'!A30</f>
        <v>HDD</v>
      </c>
      <c r="B30" s="126" t="str">
        <f>'F_Input Override'!B30</f>
        <v>BN1603_PR24</v>
      </c>
      <c r="C30" s="126" t="str">
        <f>'F_Input Override'!C30</f>
        <v>Sewage treatment data - Current population equivalent served by STWs</v>
      </c>
      <c r="D30" s="126" t="str">
        <f>'F_Input Override'!D30</f>
        <v>000s</v>
      </c>
      <c r="E30" s="126" t="str">
        <f>'F_Input Override'!E30</f>
        <v>Price Review 2024</v>
      </c>
      <c r="F30" s="127">
        <f>IF('F_Input Override'!F30="",'Consolidated Input'!F30,('F_Input Override'!F30))</f>
        <v>44.999000000000002</v>
      </c>
      <c r="G30" s="127">
        <f>IF('F_Input Override'!G30="",'Consolidated Input'!G30,('F_Input Override'!G30))</f>
        <v>44.225853655244187</v>
      </c>
      <c r="H30" s="127">
        <f>IF('F_Input Override'!H30="",'Consolidated Input'!H30,('F_Input Override'!H30))</f>
        <v>44.676414318998333</v>
      </c>
      <c r="I30" s="127">
        <f>IF('F_Input Override'!I30="",'Consolidated Input'!I30,('F_Input Override'!I30))</f>
        <v>45.117056899328233</v>
      </c>
      <c r="J30" s="127">
        <f>IF('F_Input Override'!J30="",'Consolidated Input'!J30,('F_Input Override'!J30))</f>
        <v>45.547841835992948</v>
      </c>
      <c r="K30" s="127">
        <f>IF('F_Input Override'!K30="",'Consolidated Input'!K30,('F_Input Override'!K30))</f>
        <v>45.995621426845148</v>
      </c>
      <c r="L30" s="127">
        <f>IF('F_Input Override'!L30="",'Consolidated Input'!L30,('F_Input Override'!L30))</f>
        <v>46.407751999142697</v>
      </c>
      <c r="M30" s="128">
        <f t="shared" si="0"/>
        <v>227.74468648030739</v>
      </c>
    </row>
    <row r="31" spans="1:13" s="2" customFormat="1">
      <c r="A31" s="126" t="str">
        <f>'F_Input Override'!A31</f>
        <v>HDD</v>
      </c>
      <c r="B31" s="126" t="str">
        <f>'F_Input Override'!B31</f>
        <v>CWW12_052TOT_PR24</v>
      </c>
      <c r="C31" s="126" t="str">
        <f>'F_Input Override'!C31</f>
        <v>EA/NRW environmental programme wastewater (WINEP/NEP) - Chemicals and emerging contaminants monitoring, investigations, options appraisals; (WINEP/NEP) wastewater capex - Total</v>
      </c>
      <c r="D31" s="126" t="str">
        <f>'F_Input Override'!D31</f>
        <v>£m</v>
      </c>
      <c r="E31" s="126" t="str">
        <f>'F_Input Override'!E31</f>
        <v>Price Review 2024</v>
      </c>
      <c r="F31" s="127">
        <f>IF('F_Input Override'!F31="",'Consolidated Input'!F31,('F_Input Override'!F31))</f>
        <v>0</v>
      </c>
      <c r="G31" s="127">
        <f>IF('F_Input Override'!G31="",'Consolidated Input'!G31,('F_Input Override'!G31))</f>
        <v>0</v>
      </c>
      <c r="H31" s="127">
        <f>IF('F_Input Override'!H31="",'Consolidated Input'!H31,('F_Input Override'!H31))</f>
        <v>0</v>
      </c>
      <c r="I31" s="127">
        <f>IF('F_Input Override'!I31="",'Consolidated Input'!I31,('F_Input Override'!I31))</f>
        <v>0</v>
      </c>
      <c r="J31" s="127">
        <f>IF('F_Input Override'!J31="",'Consolidated Input'!J31,('F_Input Override'!J31))</f>
        <v>0</v>
      </c>
      <c r="K31" s="127">
        <f>IF('F_Input Override'!K31="",'Consolidated Input'!K31,('F_Input Override'!K31))</f>
        <v>0</v>
      </c>
      <c r="L31" s="127">
        <f>IF('F_Input Override'!L31="",'Consolidated Input'!L31,('F_Input Override'!L31))</f>
        <v>0</v>
      </c>
      <c r="M31" s="128">
        <f t="shared" si="0"/>
        <v>0</v>
      </c>
    </row>
    <row r="32" spans="1:13" s="2" customFormat="1">
      <c r="A32" s="126" t="str">
        <f>'F_Input Override'!A32</f>
        <v>HDD</v>
      </c>
      <c r="B32" s="126" t="str">
        <f>'F_Input Override'!B32</f>
        <v>CWW17_052TOT_PR24</v>
      </c>
      <c r="C32" s="126" t="str">
        <f>'F_Input Override'!C32</f>
        <v>EA/NRW environmental programme wastewater (WINEP/NEP) - Chemicals and emerging contaminants monitoring, investigations, options appraisals; (WINEP/NEP) wastewater capex - Total</v>
      </c>
      <c r="D32" s="126" t="str">
        <f>'F_Input Override'!D32</f>
        <v>£m</v>
      </c>
      <c r="E32" s="126" t="str">
        <f>'F_Input Override'!E32</f>
        <v>Price Review 2024</v>
      </c>
      <c r="F32" s="127">
        <f>IF('F_Input Override'!F32="",'Consolidated Input'!F32,('F_Input Override'!F32))</f>
        <v>0</v>
      </c>
      <c r="G32" s="127">
        <f>IF('F_Input Override'!G32="",'Consolidated Input'!G32,('F_Input Override'!G32))</f>
        <v>0</v>
      </c>
      <c r="H32" s="127">
        <f>IF('F_Input Override'!H32="",'Consolidated Input'!H32,('F_Input Override'!H32))</f>
        <v>0</v>
      </c>
      <c r="I32" s="127">
        <f>IF('F_Input Override'!I32="",'Consolidated Input'!I32,('F_Input Override'!I32))</f>
        <v>0</v>
      </c>
      <c r="J32" s="127">
        <f>IF('F_Input Override'!J32="",'Consolidated Input'!J32,('F_Input Override'!J32))</f>
        <v>0</v>
      </c>
      <c r="K32" s="127">
        <f>IF('F_Input Override'!K32="",'Consolidated Input'!K32,('F_Input Override'!K32))</f>
        <v>0</v>
      </c>
      <c r="L32" s="127">
        <f>IF('F_Input Override'!L32="",'Consolidated Input'!L32,('F_Input Override'!L32))</f>
        <v>0</v>
      </c>
      <c r="M32" s="128">
        <f t="shared" si="0"/>
        <v>0</v>
      </c>
    </row>
    <row r="33" spans="1:13" s="2" customFormat="1">
      <c r="A33" s="126" t="str">
        <f>'F_Input Override'!A33</f>
        <v>HDD</v>
      </c>
      <c r="B33" s="126" t="str">
        <f>'F_Input Override'!B33</f>
        <v>CWW12_053TOT_PR24</v>
      </c>
      <c r="C33" s="126" t="str">
        <f>'F_Input Override'!C33</f>
        <v>EA/NRW environmental programme wastewater (WINEP/NEP) - Chemicals and emerging contaminants monitoring, investigations, options appraisals; (WINEP/NEP) wastewater opex - Total</v>
      </c>
      <c r="D33" s="126" t="str">
        <f>'F_Input Override'!D33</f>
        <v>£m</v>
      </c>
      <c r="E33" s="126" t="str">
        <f>'F_Input Override'!E33</f>
        <v>Price Review 2024</v>
      </c>
      <c r="F33" s="127">
        <f>IF('F_Input Override'!F33="",'Consolidated Input'!F33,('F_Input Override'!F33))</f>
        <v>0</v>
      </c>
      <c r="G33" s="127">
        <f>IF('F_Input Override'!G33="",'Consolidated Input'!G33,('F_Input Override'!G33))</f>
        <v>0</v>
      </c>
      <c r="H33" s="127">
        <f>IF('F_Input Override'!H33="",'Consolidated Input'!H33,('F_Input Override'!H33))</f>
        <v>0</v>
      </c>
      <c r="I33" s="127">
        <f>IF('F_Input Override'!I33="",'Consolidated Input'!I33,('F_Input Override'!I33))</f>
        <v>0</v>
      </c>
      <c r="J33" s="127">
        <f>IF('F_Input Override'!J33="",'Consolidated Input'!J33,('F_Input Override'!J33))</f>
        <v>0</v>
      </c>
      <c r="K33" s="127">
        <f>IF('F_Input Override'!K33="",'Consolidated Input'!K33,('F_Input Override'!K33))</f>
        <v>0</v>
      </c>
      <c r="L33" s="127">
        <f>IF('F_Input Override'!L33="",'Consolidated Input'!L33,('F_Input Override'!L33))</f>
        <v>0</v>
      </c>
      <c r="M33" s="128">
        <f t="shared" si="0"/>
        <v>0</v>
      </c>
    </row>
    <row r="34" spans="1:13" s="2" customFormat="1">
      <c r="A34" s="126" t="str">
        <f>'F_Input Override'!A34</f>
        <v>HDD</v>
      </c>
      <c r="B34" s="126" t="str">
        <f>'F_Input Override'!B34</f>
        <v>CWW17_053TOT_PR24</v>
      </c>
      <c r="C34" s="126" t="str">
        <f>'F_Input Override'!C34</f>
        <v>EA/NRW environmental programme wastewater (WINEP/NEP) - Chemicals and emerging contaminants monitoring, investigations, options appraisals; (WINEP/NEP) wastewater opex - Total</v>
      </c>
      <c r="D34" s="126" t="str">
        <f>'F_Input Override'!D34</f>
        <v>£m</v>
      </c>
      <c r="E34" s="126" t="str">
        <f>'F_Input Override'!E34</f>
        <v>Price Review 2024</v>
      </c>
      <c r="F34" s="127">
        <f>IF('F_Input Override'!F34="",'Consolidated Input'!F34,('F_Input Override'!F34))</f>
        <v>0</v>
      </c>
      <c r="G34" s="127">
        <f>IF('F_Input Override'!G34="",'Consolidated Input'!G34,('F_Input Override'!G34))</f>
        <v>0</v>
      </c>
      <c r="H34" s="127">
        <f>IF('F_Input Override'!H34="",'Consolidated Input'!H34,('F_Input Override'!H34))</f>
        <v>0</v>
      </c>
      <c r="I34" s="127">
        <f>IF('F_Input Override'!I34="",'Consolidated Input'!I34,('F_Input Override'!I34))</f>
        <v>0</v>
      </c>
      <c r="J34" s="127">
        <f>IF('F_Input Override'!J34="",'Consolidated Input'!J34,('F_Input Override'!J34))</f>
        <v>0</v>
      </c>
      <c r="K34" s="127">
        <f>IF('F_Input Override'!K34="",'Consolidated Input'!K34,('F_Input Override'!K34))</f>
        <v>0</v>
      </c>
      <c r="L34" s="127">
        <f>IF('F_Input Override'!L34="",'Consolidated Input'!L34,('F_Input Override'!L34))</f>
        <v>0</v>
      </c>
      <c r="M34" s="128">
        <f t="shared" si="0"/>
        <v>0</v>
      </c>
    </row>
    <row r="35" spans="1:13" s="2" customFormat="1">
      <c r="A35" s="126" t="str">
        <f>'F_Input Override'!A35</f>
        <v>HDD</v>
      </c>
      <c r="B35" s="126" t="str">
        <f>'F_Input Override'!B35</f>
        <v>CWW12_054TOT_PR24</v>
      </c>
      <c r="C35" s="126" t="str">
        <f>'F_Input Override'!C35</f>
        <v>EA/NRW environmental programme wastewater (WINEP/NEP) - Chemicals and emerging contaminants monitoring, investigations, options appraisals; (WINEP/NEP) wastewater totex - Total</v>
      </c>
      <c r="D35" s="126" t="str">
        <f>'F_Input Override'!D35</f>
        <v>£m</v>
      </c>
      <c r="E35" s="126" t="str">
        <f>'F_Input Override'!E35</f>
        <v>Price Review 2024</v>
      </c>
      <c r="F35" s="127">
        <f>IF('F_Input Override'!F35="",'Consolidated Input'!F35,('F_Input Override'!F35))</f>
        <v>0</v>
      </c>
      <c r="G35" s="127">
        <f>IF('F_Input Override'!G35="",'Consolidated Input'!G35,('F_Input Override'!G35))</f>
        <v>0</v>
      </c>
      <c r="H35" s="127">
        <f>IF('F_Input Override'!H35="",'Consolidated Input'!H35,('F_Input Override'!H35))</f>
        <v>0</v>
      </c>
      <c r="I35" s="127">
        <f>IF('F_Input Override'!I35="",'Consolidated Input'!I35,('F_Input Override'!I35))</f>
        <v>0</v>
      </c>
      <c r="J35" s="127">
        <f>IF('F_Input Override'!J35="",'Consolidated Input'!J35,('F_Input Override'!J35))</f>
        <v>0</v>
      </c>
      <c r="K35" s="127">
        <f>IF('F_Input Override'!K35="",'Consolidated Input'!K35,('F_Input Override'!K35))</f>
        <v>0</v>
      </c>
      <c r="L35" s="127">
        <f>IF('F_Input Override'!L35="",'Consolidated Input'!L35,('F_Input Override'!L35))</f>
        <v>0</v>
      </c>
      <c r="M35" s="128">
        <f t="shared" si="0"/>
        <v>0</v>
      </c>
    </row>
    <row r="36" spans="1:13" s="2" customFormat="1">
      <c r="A36" s="126" t="str">
        <f>'F_Input Override'!A36</f>
        <v>HDD</v>
      </c>
      <c r="B36" s="126" t="str">
        <f>'F_Input Override'!B36</f>
        <v>CWW17_054TOT_PR24</v>
      </c>
      <c r="C36" s="126" t="str">
        <f>'F_Input Override'!C36</f>
        <v>EA/NRW environmental programme wastewater (WINEP/NEP) - Chemicals and emerging contaminants monitoring, investigations, options appraisals; (WINEP/NEP) wastewater totex - Total</v>
      </c>
      <c r="D36" s="126" t="str">
        <f>'F_Input Override'!D36</f>
        <v>£m</v>
      </c>
      <c r="E36" s="126" t="str">
        <f>'F_Input Override'!E36</f>
        <v>Price Review 2024</v>
      </c>
      <c r="F36" s="127">
        <f>IF('F_Input Override'!F36="",'Consolidated Input'!F36,('F_Input Override'!F36))</f>
        <v>0</v>
      </c>
      <c r="G36" s="127">
        <f>IF('F_Input Override'!G36="",'Consolidated Input'!G36,('F_Input Override'!G36))</f>
        <v>0</v>
      </c>
      <c r="H36" s="127">
        <f>IF('F_Input Override'!H36="",'Consolidated Input'!H36,('F_Input Override'!H36))</f>
        <v>0</v>
      </c>
      <c r="I36" s="127">
        <f>IF('F_Input Override'!I36="",'Consolidated Input'!I36,('F_Input Override'!I36))</f>
        <v>0</v>
      </c>
      <c r="J36" s="127">
        <f>IF('F_Input Override'!J36="",'Consolidated Input'!J36,('F_Input Override'!J36))</f>
        <v>0</v>
      </c>
      <c r="K36" s="127">
        <f>IF('F_Input Override'!K36="",'Consolidated Input'!K36,('F_Input Override'!K36))</f>
        <v>0</v>
      </c>
      <c r="L36" s="127">
        <f>IF('F_Input Override'!L36="",'Consolidated Input'!L36,('F_Input Override'!L36))</f>
        <v>0</v>
      </c>
      <c r="M36" s="128">
        <f t="shared" si="0"/>
        <v>0</v>
      </c>
    </row>
    <row r="37" spans="1:13" s="2" customFormat="1">
      <c r="A37" s="126" t="str">
        <f>'F_Input Override'!A37</f>
        <v>HDD</v>
      </c>
      <c r="B37" s="126" t="str">
        <f>'F_Input Override'!B37</f>
        <v>PR24_NETTOTEX_WASTE</v>
      </c>
      <c r="C37" s="126" t="str">
        <f>'F_Input Override'!C37</f>
        <v>PR24 BP Net totex - Total inc. accelerated &amp; transition costs</v>
      </c>
      <c r="D37" s="126" t="str">
        <f>'F_Input Override'!D37</f>
        <v>£m</v>
      </c>
      <c r="E37" s="126" t="str">
        <f>'F_Input Override'!E37</f>
        <v>Price Review 2024</v>
      </c>
      <c r="F37" s="127">
        <f>IF('F_Input Override'!F37="",'Consolidated Input'!F37,('F_Input Override'!F37))</f>
        <v>0</v>
      </c>
      <c r="G37" s="127">
        <f>IF('F_Input Override'!G37="",'Consolidated Input'!G37,('F_Input Override'!G37))</f>
        <v>0</v>
      </c>
      <c r="H37" s="127">
        <f>IF('F_Input Override'!H37="",'Consolidated Input'!H37,('F_Input Override'!H37))</f>
        <v>0</v>
      </c>
      <c r="I37" s="127">
        <f>IF('F_Input Override'!I37="",'Consolidated Input'!I37,('F_Input Override'!I37))</f>
        <v>0</v>
      </c>
      <c r="J37" s="127">
        <f>IF('F_Input Override'!J37="",'Consolidated Input'!J37,('F_Input Override'!J37))</f>
        <v>0</v>
      </c>
      <c r="K37" s="127">
        <f>IF('F_Input Override'!K37="",'Consolidated Input'!K37,('F_Input Override'!K37))</f>
        <v>0</v>
      </c>
      <c r="L37" s="127">
        <f>IF('F_Input Override'!L37="",'Consolidated Input'!L37,('F_Input Override'!L37))</f>
        <v>0</v>
      </c>
      <c r="M37" s="128">
        <f t="shared" si="0"/>
        <v>0</v>
      </c>
    </row>
    <row r="38" spans="1:13" s="2" customFormat="1">
      <c r="A38" s="126" t="str">
        <f>'F_Input Override'!A38</f>
        <v>NES</v>
      </c>
      <c r="B38" s="126" t="str">
        <f>'F_Input Override'!B38</f>
        <v>CWW3_052TOT_PR24</v>
      </c>
      <c r="C38" s="126" t="str">
        <f>'F_Input Override'!C38</f>
        <v>EA/NRW environmental programme wastewater (WINEP/NEP) - Chemicals and emerging contaminants monitoring, investigations, options appraisals; (WINEP/NEP) wastewater capex - Total</v>
      </c>
      <c r="D38" s="126" t="str">
        <f>'F_Input Override'!D38</f>
        <v>£m</v>
      </c>
      <c r="E38" s="126" t="str">
        <f>'F_Input Override'!E38</f>
        <v>Price Review 2024</v>
      </c>
      <c r="F38" s="127">
        <f>IF('F_Input Override'!F38="",'Consolidated Input'!F38,('F_Input Override'!F38))</f>
        <v>0</v>
      </c>
      <c r="G38" s="127">
        <f>IF('F_Input Override'!G38="",'Consolidated Input'!G38,('F_Input Override'!G38))</f>
        <v>0</v>
      </c>
      <c r="H38" s="127">
        <f>IF('F_Input Override'!H38="",'Consolidated Input'!H38,('F_Input Override'!H38))</f>
        <v>2.6019999999999999</v>
      </c>
      <c r="I38" s="127">
        <f>IF('F_Input Override'!I38="",'Consolidated Input'!I38,('F_Input Override'!I38))</f>
        <v>2.6019999999999999</v>
      </c>
      <c r="J38" s="127">
        <f>IF('F_Input Override'!J38="",'Consolidated Input'!J38,('F_Input Override'!J38))</f>
        <v>0</v>
      </c>
      <c r="K38" s="127">
        <f>IF('F_Input Override'!K38="",'Consolidated Input'!K38,('F_Input Override'!K38))</f>
        <v>0</v>
      </c>
      <c r="L38" s="127">
        <f>IF('F_Input Override'!L38="",'Consolidated Input'!L38,('F_Input Override'!L38))</f>
        <v>0</v>
      </c>
      <c r="M38" s="128">
        <f t="shared" si="0"/>
        <v>5.2039999999999997</v>
      </c>
    </row>
    <row r="39" spans="1:13" s="2" customFormat="1">
      <c r="A39" s="126" t="str">
        <f>'F_Input Override'!A39</f>
        <v>NES</v>
      </c>
      <c r="B39" s="126" t="str">
        <f>'F_Input Override'!B39</f>
        <v>CWW3_053TOT_PR24</v>
      </c>
      <c r="C39" s="126" t="str">
        <f>'F_Input Override'!C39</f>
        <v>EA/NRW environmental programme wastewater (WINEP/NEP) - Chemicals and emerging contaminants monitoring, investigations, options appraisals; (WINEP/NEP) wastewater opex - Total</v>
      </c>
      <c r="D39" s="126" t="str">
        <f>'F_Input Override'!D39</f>
        <v>£m</v>
      </c>
      <c r="E39" s="126" t="str">
        <f>'F_Input Override'!E39</f>
        <v>Price Review 2024</v>
      </c>
      <c r="F39" s="127">
        <f>IF('F_Input Override'!F39="",'Consolidated Input'!F39,('F_Input Override'!F39))</f>
        <v>0</v>
      </c>
      <c r="G39" s="127">
        <f>IF('F_Input Override'!G39="",'Consolidated Input'!G39,('F_Input Override'!G39))</f>
        <v>0</v>
      </c>
      <c r="H39" s="127">
        <f>IF('F_Input Override'!H39="",'Consolidated Input'!H39,('F_Input Override'!H39))</f>
        <v>0</v>
      </c>
      <c r="I39" s="127">
        <f>IF('F_Input Override'!I39="",'Consolidated Input'!I39,('F_Input Override'!I39))</f>
        <v>0</v>
      </c>
      <c r="J39" s="127">
        <f>IF('F_Input Override'!J39="",'Consolidated Input'!J39,('F_Input Override'!J39))</f>
        <v>0</v>
      </c>
      <c r="K39" s="127">
        <f>IF('F_Input Override'!K39="",'Consolidated Input'!K39,('F_Input Override'!K39))</f>
        <v>0</v>
      </c>
      <c r="L39" s="127">
        <f>IF('F_Input Override'!L39="",'Consolidated Input'!L39,('F_Input Override'!L39))</f>
        <v>0</v>
      </c>
      <c r="M39" s="128">
        <f t="shared" si="0"/>
        <v>0</v>
      </c>
    </row>
    <row r="40" spans="1:13" s="2" customFormat="1">
      <c r="A40" s="126" t="str">
        <f>'F_Input Override'!A40</f>
        <v>NES</v>
      </c>
      <c r="B40" s="126" t="str">
        <f>'F_Input Override'!B40</f>
        <v>CWW3_054TOT_PR24</v>
      </c>
      <c r="C40" s="126" t="str">
        <f>'F_Input Override'!C40</f>
        <v>EA/NRW environmental programme wastewater (WINEP/NEP) - Chemicals and emerging contaminants monitoring, investigations, options appraisals; (WINEP/NEP) wastewater totex - Total</v>
      </c>
      <c r="D40" s="126" t="str">
        <f>'F_Input Override'!D40</f>
        <v>£m</v>
      </c>
      <c r="E40" s="126" t="str">
        <f>'F_Input Override'!E40</f>
        <v>Price Review 2024</v>
      </c>
      <c r="F40" s="127">
        <f>IF('F_Input Override'!F40="",'Consolidated Input'!F40,('F_Input Override'!F40))</f>
        <v>0</v>
      </c>
      <c r="G40" s="127">
        <f>IF('F_Input Override'!G40="",'Consolidated Input'!G40,('F_Input Override'!G40))</f>
        <v>0</v>
      </c>
      <c r="H40" s="127">
        <f>IF('F_Input Override'!H40="",'Consolidated Input'!H40,('F_Input Override'!H40))</f>
        <v>2.6019999999999999</v>
      </c>
      <c r="I40" s="127">
        <f>IF('F_Input Override'!I40="",'Consolidated Input'!I40,('F_Input Override'!I40))</f>
        <v>2.6019999999999999</v>
      </c>
      <c r="J40" s="127">
        <f>IF('F_Input Override'!J40="",'Consolidated Input'!J40,('F_Input Override'!J40))</f>
        <v>0</v>
      </c>
      <c r="K40" s="127">
        <f>IF('F_Input Override'!K40="",'Consolidated Input'!K40,('F_Input Override'!K40))</f>
        <v>0</v>
      </c>
      <c r="L40" s="127">
        <f>IF('F_Input Override'!L40="",'Consolidated Input'!L40,('F_Input Override'!L40))</f>
        <v>0</v>
      </c>
      <c r="M40" s="128">
        <f t="shared" si="0"/>
        <v>5.2039999999999997</v>
      </c>
    </row>
    <row r="41" spans="1:13" s="2" customFormat="1">
      <c r="A41" s="126" t="str">
        <f>'F_Input Override'!A41</f>
        <v>NES</v>
      </c>
      <c r="B41" s="126" t="str">
        <f>'F_Input Override'!B41</f>
        <v>BN1603_PR24</v>
      </c>
      <c r="C41" s="126" t="str">
        <f>'F_Input Override'!C41</f>
        <v>Sewage treatment data - Current population equivalent served by STWs</v>
      </c>
      <c r="D41" s="126" t="str">
        <f>'F_Input Override'!D41</f>
        <v>000s</v>
      </c>
      <c r="E41" s="126" t="str">
        <f>'F_Input Override'!E41</f>
        <v>Price Review 2024</v>
      </c>
      <c r="F41" s="127">
        <f>IF('F_Input Override'!F41="",'Consolidated Input'!F41,('F_Input Override'!F41))</f>
        <v>2832.5329999999999</v>
      </c>
      <c r="G41" s="127">
        <f>IF('F_Input Override'!G41="",'Consolidated Input'!G41,('F_Input Override'!G41))</f>
        <v>2911.4040393</v>
      </c>
      <c r="H41" s="127">
        <f>IF('F_Input Override'!H41="",'Consolidated Input'!H41,('F_Input Override'!H41))</f>
        <v>2937.2584393100001</v>
      </c>
      <c r="I41" s="127">
        <f>IF('F_Input Override'!I41="",'Consolidated Input'!I41,('F_Input Override'!I41))</f>
        <v>2961.0601993199998</v>
      </c>
      <c r="J41" s="127">
        <f>IF('F_Input Override'!J41="",'Consolidated Input'!J41,('F_Input Override'!J41))</f>
        <v>2984.86195933</v>
      </c>
      <c r="K41" s="127">
        <f>IF('F_Input Override'!K41="",'Consolidated Input'!K41,('F_Input Override'!K41))</f>
        <v>3008.6637193400002</v>
      </c>
      <c r="L41" s="127">
        <f>IF('F_Input Override'!L41="",'Consolidated Input'!L41,('F_Input Override'!L41))</f>
        <v>3032.4654793499999</v>
      </c>
      <c r="M41" s="128">
        <f t="shared" si="0"/>
        <v>14924.309796649999</v>
      </c>
    </row>
    <row r="42" spans="1:13" s="2" customFormat="1">
      <c r="A42" s="126" t="str">
        <f>'F_Input Override'!A42</f>
        <v>NES</v>
      </c>
      <c r="B42" s="126" t="str">
        <f>'F_Input Override'!B42</f>
        <v>CWW12_052TOT_PR24</v>
      </c>
      <c r="C42" s="126" t="str">
        <f>'F_Input Override'!C42</f>
        <v>EA/NRW environmental programme wastewater (WINEP/NEP) - Chemicals and emerging contaminants monitoring, investigations, options appraisals; (WINEP/NEP) wastewater capex - Total</v>
      </c>
      <c r="D42" s="126" t="str">
        <f>'F_Input Override'!D42</f>
        <v>£m</v>
      </c>
      <c r="E42" s="126" t="str">
        <f>'F_Input Override'!E42</f>
        <v>Price Review 2024</v>
      </c>
      <c r="F42" s="127">
        <f>IF('F_Input Override'!F42="",'Consolidated Input'!F42,('F_Input Override'!F42))</f>
        <v>0.03</v>
      </c>
      <c r="G42" s="127">
        <f>IF('F_Input Override'!G42="",'Consolidated Input'!G42,('F_Input Override'!G42))</f>
        <v>0.03</v>
      </c>
      <c r="H42" s="127">
        <f>IF('F_Input Override'!H42="",'Consolidated Input'!H42,('F_Input Override'!H42))</f>
        <v>0</v>
      </c>
      <c r="I42" s="127">
        <f>IF('F_Input Override'!I42="",'Consolidated Input'!I42,('F_Input Override'!I42))</f>
        <v>0</v>
      </c>
      <c r="J42" s="127">
        <f>IF('F_Input Override'!J42="",'Consolidated Input'!J42,('F_Input Override'!J42))</f>
        <v>0</v>
      </c>
      <c r="K42" s="127">
        <f>IF('F_Input Override'!K42="",'Consolidated Input'!K42,('F_Input Override'!K42))</f>
        <v>0</v>
      </c>
      <c r="L42" s="127">
        <f>IF('F_Input Override'!L42="",'Consolidated Input'!L42,('F_Input Override'!L42))</f>
        <v>0</v>
      </c>
      <c r="M42" s="128">
        <f t="shared" si="0"/>
        <v>0</v>
      </c>
    </row>
    <row r="43" spans="1:13" s="2" customFormat="1">
      <c r="A43" s="126" t="str">
        <f>'F_Input Override'!A43</f>
        <v>NES</v>
      </c>
      <c r="B43" s="126" t="str">
        <f>'F_Input Override'!B43</f>
        <v>CWW17_052TOT_PR24</v>
      </c>
      <c r="C43" s="126" t="str">
        <f>'F_Input Override'!C43</f>
        <v>EA/NRW environmental programme wastewater (WINEP/NEP) - Chemicals and emerging contaminants monitoring, investigations, options appraisals; (WINEP/NEP) wastewater capex - Total</v>
      </c>
      <c r="D43" s="126" t="str">
        <f>'F_Input Override'!D43</f>
        <v>£m</v>
      </c>
      <c r="E43" s="126" t="str">
        <f>'F_Input Override'!E43</f>
        <v>Price Review 2024</v>
      </c>
      <c r="F43" s="127">
        <f>IF('F_Input Override'!F43="",'Consolidated Input'!F43,('F_Input Override'!F43))</f>
        <v>0</v>
      </c>
      <c r="G43" s="127">
        <f>IF('F_Input Override'!G43="",'Consolidated Input'!G43,('F_Input Override'!G43))</f>
        <v>0</v>
      </c>
      <c r="H43" s="127">
        <f>IF('F_Input Override'!H43="",'Consolidated Input'!H43,('F_Input Override'!H43))</f>
        <v>0</v>
      </c>
      <c r="I43" s="127">
        <f>IF('F_Input Override'!I43="",'Consolidated Input'!I43,('F_Input Override'!I43))</f>
        <v>0</v>
      </c>
      <c r="J43" s="127">
        <f>IF('F_Input Override'!J43="",'Consolidated Input'!J43,('F_Input Override'!J43))</f>
        <v>0</v>
      </c>
      <c r="K43" s="127">
        <f>IF('F_Input Override'!K43="",'Consolidated Input'!K43,('F_Input Override'!K43))</f>
        <v>0</v>
      </c>
      <c r="L43" s="127">
        <f>IF('F_Input Override'!L43="",'Consolidated Input'!L43,('F_Input Override'!L43))</f>
        <v>0</v>
      </c>
      <c r="M43" s="128">
        <f t="shared" si="0"/>
        <v>0</v>
      </c>
    </row>
    <row r="44" spans="1:13" s="2" customFormat="1">
      <c r="A44" s="126" t="str">
        <f>'F_Input Override'!A44</f>
        <v>NES</v>
      </c>
      <c r="B44" s="126" t="str">
        <f>'F_Input Override'!B44</f>
        <v>CWW12_053TOT_PR24</v>
      </c>
      <c r="C44" s="126" t="str">
        <f>'F_Input Override'!C44</f>
        <v>EA/NRW environmental programme wastewater (WINEP/NEP) - Chemicals and emerging contaminants monitoring, investigations, options appraisals; (WINEP/NEP) wastewater opex - Total</v>
      </c>
      <c r="D44" s="126" t="str">
        <f>'F_Input Override'!D44</f>
        <v>£m</v>
      </c>
      <c r="E44" s="126" t="str">
        <f>'F_Input Override'!E44</f>
        <v>Price Review 2024</v>
      </c>
      <c r="F44" s="127">
        <f>IF('F_Input Override'!F44="",'Consolidated Input'!F44,('F_Input Override'!F44))</f>
        <v>0</v>
      </c>
      <c r="G44" s="127">
        <f>IF('F_Input Override'!G44="",'Consolidated Input'!G44,('F_Input Override'!G44))</f>
        <v>0</v>
      </c>
      <c r="H44" s="127">
        <f>IF('F_Input Override'!H44="",'Consolidated Input'!H44,('F_Input Override'!H44))</f>
        <v>0</v>
      </c>
      <c r="I44" s="127">
        <f>IF('F_Input Override'!I44="",'Consolidated Input'!I44,('F_Input Override'!I44))</f>
        <v>0</v>
      </c>
      <c r="J44" s="127">
        <f>IF('F_Input Override'!J44="",'Consolidated Input'!J44,('F_Input Override'!J44))</f>
        <v>0</v>
      </c>
      <c r="K44" s="127">
        <f>IF('F_Input Override'!K44="",'Consolidated Input'!K44,('F_Input Override'!K44))</f>
        <v>0</v>
      </c>
      <c r="L44" s="127">
        <f>IF('F_Input Override'!L44="",'Consolidated Input'!L44,('F_Input Override'!L44))</f>
        <v>0</v>
      </c>
      <c r="M44" s="128">
        <f t="shared" si="0"/>
        <v>0</v>
      </c>
    </row>
    <row r="45" spans="1:13" s="2" customFormat="1">
      <c r="A45" s="126" t="str">
        <f>'F_Input Override'!A45</f>
        <v>NES</v>
      </c>
      <c r="B45" s="126" t="str">
        <f>'F_Input Override'!B45</f>
        <v>CWW17_053TOT_PR24</v>
      </c>
      <c r="C45" s="126" t="str">
        <f>'F_Input Override'!C45</f>
        <v>EA/NRW environmental programme wastewater (WINEP/NEP) - Chemicals and emerging contaminants monitoring, investigations, options appraisals; (WINEP/NEP) wastewater opex - Total</v>
      </c>
      <c r="D45" s="126" t="str">
        <f>'F_Input Override'!D45</f>
        <v>£m</v>
      </c>
      <c r="E45" s="126" t="str">
        <f>'F_Input Override'!E45</f>
        <v>Price Review 2024</v>
      </c>
      <c r="F45" s="127">
        <f>IF('F_Input Override'!F45="",'Consolidated Input'!F45,('F_Input Override'!F45))</f>
        <v>0</v>
      </c>
      <c r="G45" s="127">
        <f>IF('F_Input Override'!G45="",'Consolidated Input'!G45,('F_Input Override'!G45))</f>
        <v>0</v>
      </c>
      <c r="H45" s="127">
        <f>IF('F_Input Override'!H45="",'Consolidated Input'!H45,('F_Input Override'!H45))</f>
        <v>0</v>
      </c>
      <c r="I45" s="127">
        <f>IF('F_Input Override'!I45="",'Consolidated Input'!I45,('F_Input Override'!I45))</f>
        <v>0</v>
      </c>
      <c r="J45" s="127">
        <f>IF('F_Input Override'!J45="",'Consolidated Input'!J45,('F_Input Override'!J45))</f>
        <v>0</v>
      </c>
      <c r="K45" s="127">
        <f>IF('F_Input Override'!K45="",'Consolidated Input'!K45,('F_Input Override'!K45))</f>
        <v>0</v>
      </c>
      <c r="L45" s="127">
        <f>IF('F_Input Override'!L45="",'Consolidated Input'!L45,('F_Input Override'!L45))</f>
        <v>0</v>
      </c>
      <c r="M45" s="128">
        <f t="shared" si="0"/>
        <v>0</v>
      </c>
    </row>
    <row r="46" spans="1:13" s="2" customFormat="1">
      <c r="A46" s="126" t="str">
        <f>'F_Input Override'!A46</f>
        <v>NES</v>
      </c>
      <c r="B46" s="126" t="str">
        <f>'F_Input Override'!B46</f>
        <v>CWW12_054TOT_PR24</v>
      </c>
      <c r="C46" s="126" t="str">
        <f>'F_Input Override'!C46</f>
        <v>EA/NRW environmental programme wastewater (WINEP/NEP) - Chemicals and emerging contaminants monitoring, investigations, options appraisals; (WINEP/NEP) wastewater totex - Total</v>
      </c>
      <c r="D46" s="126" t="str">
        <f>'F_Input Override'!D46</f>
        <v>£m</v>
      </c>
      <c r="E46" s="126" t="str">
        <f>'F_Input Override'!E46</f>
        <v>Price Review 2024</v>
      </c>
      <c r="F46" s="127">
        <f>IF('F_Input Override'!F46="",'Consolidated Input'!F46,('F_Input Override'!F46))</f>
        <v>0.03</v>
      </c>
      <c r="G46" s="127">
        <f>IF('F_Input Override'!G46="",'Consolidated Input'!G46,('F_Input Override'!G46))</f>
        <v>0.03</v>
      </c>
      <c r="H46" s="127">
        <f>IF('F_Input Override'!H46="",'Consolidated Input'!H46,('F_Input Override'!H46))</f>
        <v>0</v>
      </c>
      <c r="I46" s="127">
        <f>IF('F_Input Override'!I46="",'Consolidated Input'!I46,('F_Input Override'!I46))</f>
        <v>0</v>
      </c>
      <c r="J46" s="127">
        <f>IF('F_Input Override'!J46="",'Consolidated Input'!J46,('F_Input Override'!J46))</f>
        <v>0</v>
      </c>
      <c r="K46" s="127">
        <f>IF('F_Input Override'!K46="",'Consolidated Input'!K46,('F_Input Override'!K46))</f>
        <v>0</v>
      </c>
      <c r="L46" s="127">
        <f>IF('F_Input Override'!L46="",'Consolidated Input'!L46,('F_Input Override'!L46))</f>
        <v>0</v>
      </c>
      <c r="M46" s="128">
        <f t="shared" si="0"/>
        <v>0</v>
      </c>
    </row>
    <row r="47" spans="1:13" s="2" customFormat="1">
      <c r="A47" s="126" t="str">
        <f>'F_Input Override'!A47</f>
        <v>NES</v>
      </c>
      <c r="B47" s="126" t="str">
        <f>'F_Input Override'!B47</f>
        <v>CWW17_054TOT_PR24</v>
      </c>
      <c r="C47" s="126" t="str">
        <f>'F_Input Override'!C47</f>
        <v>EA/NRW environmental programme wastewater (WINEP/NEP) - Chemicals and emerging contaminants monitoring, investigations, options appraisals; (WINEP/NEP) wastewater totex - Total</v>
      </c>
      <c r="D47" s="126" t="str">
        <f>'F_Input Override'!D47</f>
        <v>£m</v>
      </c>
      <c r="E47" s="126" t="str">
        <f>'F_Input Override'!E47</f>
        <v>Price Review 2024</v>
      </c>
      <c r="F47" s="127">
        <f>IF('F_Input Override'!F47="",'Consolidated Input'!F47,('F_Input Override'!F47))</f>
        <v>0</v>
      </c>
      <c r="G47" s="127">
        <f>IF('F_Input Override'!G47="",'Consolidated Input'!G47,('F_Input Override'!G47))</f>
        <v>0</v>
      </c>
      <c r="H47" s="127">
        <f>IF('F_Input Override'!H47="",'Consolidated Input'!H47,('F_Input Override'!H47))</f>
        <v>0</v>
      </c>
      <c r="I47" s="127">
        <f>IF('F_Input Override'!I47="",'Consolidated Input'!I47,('F_Input Override'!I47))</f>
        <v>0</v>
      </c>
      <c r="J47" s="127">
        <f>IF('F_Input Override'!J47="",'Consolidated Input'!J47,('F_Input Override'!J47))</f>
        <v>0</v>
      </c>
      <c r="K47" s="127">
        <f>IF('F_Input Override'!K47="",'Consolidated Input'!K47,('F_Input Override'!K47))</f>
        <v>0</v>
      </c>
      <c r="L47" s="127">
        <f>IF('F_Input Override'!L47="",'Consolidated Input'!L47,('F_Input Override'!L47))</f>
        <v>0</v>
      </c>
      <c r="M47" s="128">
        <f t="shared" si="0"/>
        <v>0</v>
      </c>
    </row>
    <row r="48" spans="1:13" s="2" customFormat="1">
      <c r="A48" s="126" t="str">
        <f>'F_Input Override'!A48</f>
        <v>NES</v>
      </c>
      <c r="B48" s="126" t="str">
        <f>'F_Input Override'!B48</f>
        <v>PR24_NETTOTEX_WASTE</v>
      </c>
      <c r="C48" s="126" t="str">
        <f>'F_Input Override'!C48</f>
        <v>PR24 BP Net totex - Total inc. accelerated &amp; transition costs</v>
      </c>
      <c r="D48" s="126" t="str">
        <f>'F_Input Override'!D48</f>
        <v>£m</v>
      </c>
      <c r="E48" s="126" t="str">
        <f>'F_Input Override'!E48</f>
        <v>Price Review 2024</v>
      </c>
      <c r="F48" s="127">
        <f>IF('F_Input Override'!F48="",'Consolidated Input'!F48,('F_Input Override'!F48))</f>
        <v>0</v>
      </c>
      <c r="G48" s="127">
        <f>IF('F_Input Override'!G48="",'Consolidated Input'!G48,('F_Input Override'!G48))</f>
        <v>0</v>
      </c>
      <c r="H48" s="127">
        <f>IF('F_Input Override'!H48="",'Consolidated Input'!H48,('F_Input Override'!H48))</f>
        <v>0</v>
      </c>
      <c r="I48" s="127">
        <f>IF('F_Input Override'!I48="",'Consolidated Input'!I48,('F_Input Override'!I48))</f>
        <v>0</v>
      </c>
      <c r="J48" s="127">
        <f>IF('F_Input Override'!J48="",'Consolidated Input'!J48,('F_Input Override'!J48))</f>
        <v>0</v>
      </c>
      <c r="K48" s="127">
        <f>IF('F_Input Override'!K48="",'Consolidated Input'!K48,('F_Input Override'!K48))</f>
        <v>0</v>
      </c>
      <c r="L48" s="127">
        <f>IF('F_Input Override'!L48="",'Consolidated Input'!L48,('F_Input Override'!L48))</f>
        <v>0</v>
      </c>
      <c r="M48" s="128">
        <f t="shared" si="0"/>
        <v>0</v>
      </c>
    </row>
    <row r="49" spans="1:13" s="2" customFormat="1">
      <c r="A49" s="126" t="str">
        <f>'F_Input Override'!A49</f>
        <v>SVE</v>
      </c>
      <c r="B49" s="126" t="str">
        <f>'F_Input Override'!B49</f>
        <v>CWW3_052TOT_PR24</v>
      </c>
      <c r="C49" s="126" t="str">
        <f>'F_Input Override'!C49</f>
        <v>EA/NRW environmental programme wastewater (WINEP/NEP) - Chemicals and emerging contaminants monitoring, investigations, options appraisals; (WINEP/NEP) wastewater capex - Total</v>
      </c>
      <c r="D49" s="126" t="str">
        <f>'F_Input Override'!D49</f>
        <v>£m</v>
      </c>
      <c r="E49" s="126" t="str">
        <f>'F_Input Override'!E49</f>
        <v>Price Review 2024</v>
      </c>
      <c r="F49" s="127">
        <f>IF('F_Input Override'!F49="",'Consolidated Input'!F49,('F_Input Override'!F49))</f>
        <v>0</v>
      </c>
      <c r="G49" s="127">
        <f>IF('F_Input Override'!G49="",'Consolidated Input'!G49,('F_Input Override'!G49))</f>
        <v>0</v>
      </c>
      <c r="H49" s="127">
        <f>IF('F_Input Override'!H49="",'Consolidated Input'!H49,('F_Input Override'!H49))</f>
        <v>1.0951869413392581</v>
      </c>
      <c r="I49" s="127">
        <f>IF('F_Input Override'!I49="",'Consolidated Input'!I49,('F_Input Override'!I49))</f>
        <v>2.62753219832075</v>
      </c>
      <c r="J49" s="127">
        <f>IF('F_Input Override'!J49="",'Consolidated Input'!J49,('F_Input Override'!J49))</f>
        <v>0.18554710569434299</v>
      </c>
      <c r="K49" s="127">
        <f>IF('F_Input Override'!K49="",'Consolidated Input'!K49,('F_Input Override'!K49))</f>
        <v>0.186676871668983</v>
      </c>
      <c r="L49" s="127">
        <f>IF('F_Input Override'!L49="",'Consolidated Input'!L49,('F_Input Override'!L49))</f>
        <v>0.188</v>
      </c>
      <c r="M49" s="128">
        <f t="shared" si="0"/>
        <v>4.2829431170233336</v>
      </c>
    </row>
    <row r="50" spans="1:13" s="2" customFormat="1">
      <c r="A50" s="126" t="str">
        <f>'F_Input Override'!A50</f>
        <v>SVE</v>
      </c>
      <c r="B50" s="126" t="str">
        <f>'F_Input Override'!B50</f>
        <v>CWW3_053TOT_PR24</v>
      </c>
      <c r="C50" s="126" t="str">
        <f>'F_Input Override'!C50</f>
        <v>EA/NRW environmental programme wastewater (WINEP/NEP) - Chemicals and emerging contaminants monitoring, investigations, options appraisals; (WINEP/NEP) wastewater opex - Total</v>
      </c>
      <c r="D50" s="126" t="str">
        <f>'F_Input Override'!D50</f>
        <v>£m</v>
      </c>
      <c r="E50" s="126" t="str">
        <f>'F_Input Override'!E50</f>
        <v>Price Review 2024</v>
      </c>
      <c r="F50" s="127">
        <f>IF('F_Input Override'!F50="",'Consolidated Input'!F50,('F_Input Override'!F50))</f>
        <v>0</v>
      </c>
      <c r="G50" s="127">
        <f>IF('F_Input Override'!G50="",'Consolidated Input'!G50,('F_Input Override'!G50))</f>
        <v>0</v>
      </c>
      <c r="H50" s="127">
        <f>IF('F_Input Override'!H50="",'Consolidated Input'!H50,('F_Input Override'!H50))</f>
        <v>0</v>
      </c>
      <c r="I50" s="127">
        <f>IF('F_Input Override'!I50="",'Consolidated Input'!I50,('F_Input Override'!I50))</f>
        <v>0</v>
      </c>
      <c r="J50" s="127">
        <f>IF('F_Input Override'!J50="",'Consolidated Input'!J50,('F_Input Override'!J50))</f>
        <v>0</v>
      </c>
      <c r="K50" s="127">
        <f>IF('F_Input Override'!K50="",'Consolidated Input'!K50,('F_Input Override'!K50))</f>
        <v>0</v>
      </c>
      <c r="L50" s="127">
        <f>IF('F_Input Override'!L50="",'Consolidated Input'!L50,('F_Input Override'!L50))</f>
        <v>0</v>
      </c>
      <c r="M50" s="128">
        <f t="shared" si="0"/>
        <v>0</v>
      </c>
    </row>
    <row r="51" spans="1:13" s="2" customFormat="1">
      <c r="A51" s="126" t="str">
        <f>'F_Input Override'!A51</f>
        <v>SVE</v>
      </c>
      <c r="B51" s="126" t="str">
        <f>'F_Input Override'!B51</f>
        <v>CWW3_054TOT_PR24</v>
      </c>
      <c r="C51" s="126" t="str">
        <f>'F_Input Override'!C51</f>
        <v>EA/NRW environmental programme wastewater (WINEP/NEP) - Chemicals and emerging contaminants monitoring, investigations, options appraisals; (WINEP/NEP) wastewater totex - Total</v>
      </c>
      <c r="D51" s="126" t="str">
        <f>'F_Input Override'!D51</f>
        <v>£m</v>
      </c>
      <c r="E51" s="126" t="str">
        <f>'F_Input Override'!E51</f>
        <v>Price Review 2024</v>
      </c>
      <c r="F51" s="127">
        <f>IF('F_Input Override'!F51="",'Consolidated Input'!F51,('F_Input Override'!F51))</f>
        <v>0</v>
      </c>
      <c r="G51" s="127">
        <f>IF('F_Input Override'!G51="",'Consolidated Input'!G51,('F_Input Override'!G51))</f>
        <v>0</v>
      </c>
      <c r="H51" s="127">
        <f>IF('F_Input Override'!H51="",'Consolidated Input'!H51,('F_Input Override'!H51))</f>
        <v>1.0951869413392581</v>
      </c>
      <c r="I51" s="127">
        <f>IF('F_Input Override'!I51="",'Consolidated Input'!I51,('F_Input Override'!I51))</f>
        <v>2.62753219832075</v>
      </c>
      <c r="J51" s="127">
        <f>IF('F_Input Override'!J51="",'Consolidated Input'!J51,('F_Input Override'!J51))</f>
        <v>0.18554710569434299</v>
      </c>
      <c r="K51" s="127">
        <f>IF('F_Input Override'!K51="",'Consolidated Input'!K51,('F_Input Override'!K51))</f>
        <v>0.186676871668983</v>
      </c>
      <c r="L51" s="127">
        <f>IF('F_Input Override'!L51="",'Consolidated Input'!L51,('F_Input Override'!L51))</f>
        <v>0.188</v>
      </c>
      <c r="M51" s="128">
        <f t="shared" si="0"/>
        <v>4.2829431170233336</v>
      </c>
    </row>
    <row r="52" spans="1:13" s="2" customFormat="1">
      <c r="A52" s="126" t="str">
        <f>'F_Input Override'!A52</f>
        <v>SVE</v>
      </c>
      <c r="B52" s="126" t="str">
        <f>'F_Input Override'!B52</f>
        <v>BN1603_PR24</v>
      </c>
      <c r="C52" s="126" t="str">
        <f>'F_Input Override'!C52</f>
        <v>Sewage treatment data - Current population equivalent served by STWs</v>
      </c>
      <c r="D52" s="126" t="str">
        <f>'F_Input Override'!D52</f>
        <v>000s</v>
      </c>
      <c r="E52" s="126" t="str">
        <f>'F_Input Override'!E52</f>
        <v>Price Review 2024</v>
      </c>
      <c r="F52" s="127">
        <f>IF('F_Input Override'!F52="",'Consolidated Input'!F52,('F_Input Override'!F52))</f>
        <v>10610.32</v>
      </c>
      <c r="G52" s="127">
        <f>IF('F_Input Override'!G52="",'Consolidated Input'!G52,('F_Input Override'!G52))</f>
        <v>10468.344897887</v>
      </c>
      <c r="H52" s="127">
        <f>IF('F_Input Override'!H52="",'Consolidated Input'!H52,('F_Input Override'!H52))</f>
        <v>10540.49547222977</v>
      </c>
      <c r="I52" s="127">
        <f>IF('F_Input Override'!I52="",'Consolidated Input'!I52,('F_Input Override'!I52))</f>
        <v>10601.77377574383</v>
      </c>
      <c r="J52" s="127">
        <f>IF('F_Input Override'!J52="",'Consolidated Input'!J52,('F_Input Override'!J52))</f>
        <v>10661.29669568924</v>
      </c>
      <c r="K52" s="127">
        <f>IF('F_Input Override'!K52="",'Consolidated Input'!K52,('F_Input Override'!K52))</f>
        <v>10826.83120593638</v>
      </c>
      <c r="L52" s="127">
        <f>IF('F_Input Override'!L52="",'Consolidated Input'!L52,('F_Input Override'!L52))</f>
        <v>10884.84595566423</v>
      </c>
      <c r="M52" s="128">
        <f t="shared" si="0"/>
        <v>53515.243105263449</v>
      </c>
    </row>
    <row r="53" spans="1:13" s="2" customFormat="1">
      <c r="A53" s="126" t="str">
        <f>'F_Input Override'!A53</f>
        <v>SVE</v>
      </c>
      <c r="B53" s="126" t="str">
        <f>'F_Input Override'!B53</f>
        <v>CWW12_052TOT_PR24</v>
      </c>
      <c r="C53" s="126" t="str">
        <f>'F_Input Override'!C53</f>
        <v>EA/NRW environmental programme wastewater (WINEP/NEP) - Chemicals and emerging contaminants monitoring, investigations, options appraisals; (WINEP/NEP) wastewater capex - Total</v>
      </c>
      <c r="D53" s="126" t="str">
        <f>'F_Input Override'!D53</f>
        <v>£m</v>
      </c>
      <c r="E53" s="126" t="str">
        <f>'F_Input Override'!E53</f>
        <v>Price Review 2024</v>
      </c>
      <c r="F53" s="127">
        <f>IF('F_Input Override'!F53="",'Consolidated Input'!F53,('F_Input Override'!F53))</f>
        <v>0</v>
      </c>
      <c r="G53" s="127">
        <f>IF('F_Input Override'!G53="",'Consolidated Input'!G53,('F_Input Override'!G53))</f>
        <v>1.5077451020150889</v>
      </c>
      <c r="H53" s="127">
        <f>IF('F_Input Override'!H53="",'Consolidated Input'!H53,('F_Input Override'!H53))</f>
        <v>0</v>
      </c>
      <c r="I53" s="127">
        <f>IF('F_Input Override'!I53="",'Consolidated Input'!I53,('F_Input Override'!I53))</f>
        <v>0</v>
      </c>
      <c r="J53" s="127">
        <f>IF('F_Input Override'!J53="",'Consolidated Input'!J53,('F_Input Override'!J53))</f>
        <v>0</v>
      </c>
      <c r="K53" s="127">
        <f>IF('F_Input Override'!K53="",'Consolidated Input'!K53,('F_Input Override'!K53))</f>
        <v>0</v>
      </c>
      <c r="L53" s="127">
        <f>IF('F_Input Override'!L53="",'Consolidated Input'!L53,('F_Input Override'!L53))</f>
        <v>0</v>
      </c>
      <c r="M53" s="128">
        <f t="shared" si="0"/>
        <v>0</v>
      </c>
    </row>
    <row r="54" spans="1:13" s="2" customFormat="1">
      <c r="A54" s="126" t="str">
        <f>'F_Input Override'!A54</f>
        <v>SVE</v>
      </c>
      <c r="B54" s="126" t="str">
        <f>'F_Input Override'!B54</f>
        <v>CWW17_052TOT_PR24</v>
      </c>
      <c r="C54" s="126" t="str">
        <f>'F_Input Override'!C54</f>
        <v>EA/NRW environmental programme wastewater (WINEP/NEP) - Chemicals and emerging contaminants monitoring, investigations, options appraisals; (WINEP/NEP) wastewater capex - Total</v>
      </c>
      <c r="D54" s="126" t="str">
        <f>'F_Input Override'!D54</f>
        <v>£m</v>
      </c>
      <c r="E54" s="126" t="str">
        <f>'F_Input Override'!E54</f>
        <v>Price Review 2024</v>
      </c>
      <c r="F54" s="127">
        <f>IF('F_Input Override'!F54="",'Consolidated Input'!F54,('F_Input Override'!F54))</f>
        <v>0</v>
      </c>
      <c r="G54" s="127">
        <f>IF('F_Input Override'!G54="",'Consolidated Input'!G54,('F_Input Override'!G54))</f>
        <v>0</v>
      </c>
      <c r="H54" s="127">
        <f>IF('F_Input Override'!H54="",'Consolidated Input'!H54,('F_Input Override'!H54))</f>
        <v>0</v>
      </c>
      <c r="I54" s="127">
        <f>IF('F_Input Override'!I54="",'Consolidated Input'!I54,('F_Input Override'!I54))</f>
        <v>0</v>
      </c>
      <c r="J54" s="127">
        <f>IF('F_Input Override'!J54="",'Consolidated Input'!J54,('F_Input Override'!J54))</f>
        <v>0</v>
      </c>
      <c r="K54" s="127">
        <f>IF('F_Input Override'!K54="",'Consolidated Input'!K54,('F_Input Override'!K54))</f>
        <v>0</v>
      </c>
      <c r="L54" s="127">
        <f>IF('F_Input Override'!L54="",'Consolidated Input'!L54,('F_Input Override'!L54))</f>
        <v>0</v>
      </c>
      <c r="M54" s="128">
        <f t="shared" si="0"/>
        <v>0</v>
      </c>
    </row>
    <row r="55" spans="1:13" s="2" customFormat="1">
      <c r="A55" s="126" t="str">
        <f>'F_Input Override'!A55</f>
        <v>SVE</v>
      </c>
      <c r="B55" s="126" t="str">
        <f>'F_Input Override'!B55</f>
        <v>CWW12_053TOT_PR24</v>
      </c>
      <c r="C55" s="126" t="str">
        <f>'F_Input Override'!C55</f>
        <v>EA/NRW environmental programme wastewater (WINEP/NEP) - Chemicals and emerging contaminants monitoring, investigations, options appraisals; (WINEP/NEP) wastewater opex - Total</v>
      </c>
      <c r="D55" s="126" t="str">
        <f>'F_Input Override'!D55</f>
        <v>£m</v>
      </c>
      <c r="E55" s="126" t="str">
        <f>'F_Input Override'!E55</f>
        <v>Price Review 2024</v>
      </c>
      <c r="F55" s="127">
        <f>IF('F_Input Override'!F55="",'Consolidated Input'!F55,('F_Input Override'!F55))</f>
        <v>0</v>
      </c>
      <c r="G55" s="127">
        <f>IF('F_Input Override'!G55="",'Consolidated Input'!G55,('F_Input Override'!G55))</f>
        <v>0</v>
      </c>
      <c r="H55" s="127">
        <f>IF('F_Input Override'!H55="",'Consolidated Input'!H55,('F_Input Override'!H55))</f>
        <v>0</v>
      </c>
      <c r="I55" s="127">
        <f>IF('F_Input Override'!I55="",'Consolidated Input'!I55,('F_Input Override'!I55))</f>
        <v>0</v>
      </c>
      <c r="J55" s="127">
        <f>IF('F_Input Override'!J55="",'Consolidated Input'!J55,('F_Input Override'!J55))</f>
        <v>0</v>
      </c>
      <c r="K55" s="127">
        <f>IF('F_Input Override'!K55="",'Consolidated Input'!K55,('F_Input Override'!K55))</f>
        <v>0</v>
      </c>
      <c r="L55" s="127">
        <f>IF('F_Input Override'!L55="",'Consolidated Input'!L55,('F_Input Override'!L55))</f>
        <v>0</v>
      </c>
      <c r="M55" s="128">
        <f t="shared" si="0"/>
        <v>0</v>
      </c>
    </row>
    <row r="56" spans="1:13" s="2" customFormat="1">
      <c r="A56" s="126" t="str">
        <f>'F_Input Override'!A56</f>
        <v>SVE</v>
      </c>
      <c r="B56" s="126" t="str">
        <f>'F_Input Override'!B56</f>
        <v>CWW17_053TOT_PR24</v>
      </c>
      <c r="C56" s="126" t="str">
        <f>'F_Input Override'!C56</f>
        <v>EA/NRW environmental programme wastewater (WINEP/NEP) - Chemicals and emerging contaminants monitoring, investigations, options appraisals; (WINEP/NEP) wastewater opex - Total</v>
      </c>
      <c r="D56" s="126" t="str">
        <f>'F_Input Override'!D56</f>
        <v>£m</v>
      </c>
      <c r="E56" s="126" t="str">
        <f>'F_Input Override'!E56</f>
        <v>Price Review 2024</v>
      </c>
      <c r="F56" s="127">
        <f>IF('F_Input Override'!F56="",'Consolidated Input'!F56,('F_Input Override'!F56))</f>
        <v>0</v>
      </c>
      <c r="G56" s="127">
        <f>IF('F_Input Override'!G56="",'Consolidated Input'!G56,('F_Input Override'!G56))</f>
        <v>0</v>
      </c>
      <c r="H56" s="127">
        <f>IF('F_Input Override'!H56="",'Consolidated Input'!H56,('F_Input Override'!H56))</f>
        <v>0</v>
      </c>
      <c r="I56" s="127">
        <f>IF('F_Input Override'!I56="",'Consolidated Input'!I56,('F_Input Override'!I56))</f>
        <v>0</v>
      </c>
      <c r="J56" s="127">
        <f>IF('F_Input Override'!J56="",'Consolidated Input'!J56,('F_Input Override'!J56))</f>
        <v>0</v>
      </c>
      <c r="K56" s="127">
        <f>IF('F_Input Override'!K56="",'Consolidated Input'!K56,('F_Input Override'!K56))</f>
        <v>0</v>
      </c>
      <c r="L56" s="127">
        <f>IF('F_Input Override'!L56="",'Consolidated Input'!L56,('F_Input Override'!L56))</f>
        <v>0</v>
      </c>
      <c r="M56" s="128">
        <f t="shared" si="0"/>
        <v>0</v>
      </c>
    </row>
    <row r="57" spans="1:13" s="2" customFormat="1">
      <c r="A57" s="126" t="str">
        <f>'F_Input Override'!A57</f>
        <v>SVE</v>
      </c>
      <c r="B57" s="126" t="str">
        <f>'F_Input Override'!B57</f>
        <v>CWW12_054TOT_PR24</v>
      </c>
      <c r="C57" s="126" t="str">
        <f>'F_Input Override'!C57</f>
        <v>EA/NRW environmental programme wastewater (WINEP/NEP) - Chemicals and emerging contaminants monitoring, investigations, options appraisals; (WINEP/NEP) wastewater totex - Total</v>
      </c>
      <c r="D57" s="126" t="str">
        <f>'F_Input Override'!D57</f>
        <v>£m</v>
      </c>
      <c r="E57" s="126" t="str">
        <f>'F_Input Override'!E57</f>
        <v>Price Review 2024</v>
      </c>
      <c r="F57" s="127">
        <f>IF('F_Input Override'!F57="",'Consolidated Input'!F57,('F_Input Override'!F57))</f>
        <v>0</v>
      </c>
      <c r="G57" s="127">
        <f>IF('F_Input Override'!G57="",'Consolidated Input'!G57,('F_Input Override'!G57))</f>
        <v>1.5077451020150889</v>
      </c>
      <c r="H57" s="127">
        <f>IF('F_Input Override'!H57="",'Consolidated Input'!H57,('F_Input Override'!H57))</f>
        <v>0</v>
      </c>
      <c r="I57" s="127">
        <f>IF('F_Input Override'!I57="",'Consolidated Input'!I57,('F_Input Override'!I57))</f>
        <v>0</v>
      </c>
      <c r="J57" s="127">
        <f>IF('F_Input Override'!J57="",'Consolidated Input'!J57,('F_Input Override'!J57))</f>
        <v>0</v>
      </c>
      <c r="K57" s="127">
        <f>IF('F_Input Override'!K57="",'Consolidated Input'!K57,('F_Input Override'!K57))</f>
        <v>0</v>
      </c>
      <c r="L57" s="127">
        <f>IF('F_Input Override'!L57="",'Consolidated Input'!L57,('F_Input Override'!L57))</f>
        <v>0</v>
      </c>
      <c r="M57" s="128">
        <f t="shared" si="0"/>
        <v>0</v>
      </c>
    </row>
    <row r="58" spans="1:13" s="2" customFormat="1">
      <c r="A58" s="126" t="str">
        <f>'F_Input Override'!A58</f>
        <v>SVE</v>
      </c>
      <c r="B58" s="126" t="str">
        <f>'F_Input Override'!B58</f>
        <v>CWW17_054TOT_PR24</v>
      </c>
      <c r="C58" s="126" t="str">
        <f>'F_Input Override'!C58</f>
        <v>EA/NRW environmental programme wastewater (WINEP/NEP) - Chemicals and emerging contaminants monitoring, investigations, options appraisals; (WINEP/NEP) wastewater totex - Total</v>
      </c>
      <c r="D58" s="126" t="str">
        <f>'F_Input Override'!D58</f>
        <v>£m</v>
      </c>
      <c r="E58" s="126" t="str">
        <f>'F_Input Override'!E58</f>
        <v>Price Review 2024</v>
      </c>
      <c r="F58" s="127">
        <f>IF('F_Input Override'!F58="",'Consolidated Input'!F58,('F_Input Override'!F58))</f>
        <v>0</v>
      </c>
      <c r="G58" s="127">
        <f>IF('F_Input Override'!G58="",'Consolidated Input'!G58,('F_Input Override'!G58))</f>
        <v>0</v>
      </c>
      <c r="H58" s="127">
        <f>IF('F_Input Override'!H58="",'Consolidated Input'!H58,('F_Input Override'!H58))</f>
        <v>0</v>
      </c>
      <c r="I58" s="127">
        <f>IF('F_Input Override'!I58="",'Consolidated Input'!I58,('F_Input Override'!I58))</f>
        <v>0</v>
      </c>
      <c r="J58" s="127">
        <f>IF('F_Input Override'!J58="",'Consolidated Input'!J58,('F_Input Override'!J58))</f>
        <v>0</v>
      </c>
      <c r="K58" s="127">
        <f>IF('F_Input Override'!K58="",'Consolidated Input'!K58,('F_Input Override'!K58))</f>
        <v>0</v>
      </c>
      <c r="L58" s="127">
        <f>IF('F_Input Override'!L58="",'Consolidated Input'!L58,('F_Input Override'!L58))</f>
        <v>0</v>
      </c>
      <c r="M58" s="128">
        <f t="shared" si="0"/>
        <v>0</v>
      </c>
    </row>
    <row r="59" spans="1:13" s="2" customFormat="1">
      <c r="A59" s="126" t="str">
        <f>'F_Input Override'!A59</f>
        <v>SVE</v>
      </c>
      <c r="B59" s="126" t="str">
        <f>'F_Input Override'!B59</f>
        <v>PR24_NETTOTEX_WASTE</v>
      </c>
      <c r="C59" s="126" t="str">
        <f>'F_Input Override'!C59</f>
        <v>PR24 BP Net totex - Total inc. accelerated &amp; transition costs</v>
      </c>
      <c r="D59" s="126" t="str">
        <f>'F_Input Override'!D59</f>
        <v>£m</v>
      </c>
      <c r="E59" s="126" t="str">
        <f>'F_Input Override'!E59</f>
        <v>Price Review 2024</v>
      </c>
      <c r="F59" s="127">
        <f>IF('F_Input Override'!F59="",'Consolidated Input'!F59,('F_Input Override'!F59))</f>
        <v>0</v>
      </c>
      <c r="G59" s="127">
        <f>IF('F_Input Override'!G59="",'Consolidated Input'!G59,('F_Input Override'!G59))</f>
        <v>0</v>
      </c>
      <c r="H59" s="127">
        <f>IF('F_Input Override'!H59="",'Consolidated Input'!H59,('F_Input Override'!H59))</f>
        <v>0</v>
      </c>
      <c r="I59" s="127">
        <f>IF('F_Input Override'!I59="",'Consolidated Input'!I59,('F_Input Override'!I59))</f>
        <v>0</v>
      </c>
      <c r="J59" s="127">
        <f>IF('F_Input Override'!J59="",'Consolidated Input'!J59,('F_Input Override'!J59))</f>
        <v>0</v>
      </c>
      <c r="K59" s="127">
        <f>IF('F_Input Override'!K59="",'Consolidated Input'!K59,('F_Input Override'!K59))</f>
        <v>0</v>
      </c>
      <c r="L59" s="127">
        <f>IF('F_Input Override'!L59="",'Consolidated Input'!L59,('F_Input Override'!L59))</f>
        <v>0</v>
      </c>
      <c r="M59" s="128">
        <f t="shared" si="0"/>
        <v>0</v>
      </c>
    </row>
    <row r="60" spans="1:13" s="2" customFormat="1">
      <c r="A60" s="126" t="str">
        <f>'F_Input Override'!A60</f>
        <v>SWB</v>
      </c>
      <c r="B60" s="126" t="str">
        <f>'F_Input Override'!B60</f>
        <v>CWW3_052TOT_PR24</v>
      </c>
      <c r="C60" s="126" t="str">
        <f>'F_Input Override'!C60</f>
        <v>EA/NRW environmental programme wastewater (WINEP/NEP) - Chemicals and emerging contaminants monitoring, investigations, options appraisals; (WINEP/NEP) wastewater capex - Total</v>
      </c>
      <c r="D60" s="126" t="str">
        <f>'F_Input Override'!D60</f>
        <v>£m</v>
      </c>
      <c r="E60" s="126" t="str">
        <f>'F_Input Override'!E60</f>
        <v>Price Review 2024</v>
      </c>
      <c r="F60" s="127">
        <f>IF('F_Input Override'!F60="",'Consolidated Input'!F60,('F_Input Override'!F60))</f>
        <v>0</v>
      </c>
      <c r="G60" s="127">
        <f>IF('F_Input Override'!G60="",'Consolidated Input'!G60,('F_Input Override'!G60))</f>
        <v>0</v>
      </c>
      <c r="H60" s="127">
        <f>IF('F_Input Override'!H60="",'Consolidated Input'!H60,('F_Input Override'!H60))</f>
        <v>0.56999999999999995</v>
      </c>
      <c r="I60" s="127">
        <f>IF('F_Input Override'!I60="",'Consolidated Input'!I60,('F_Input Override'!I60))</f>
        <v>0.67200000000000004</v>
      </c>
      <c r="J60" s="127">
        <f>IF('F_Input Override'!J60="",'Consolidated Input'!J60,('F_Input Override'!J60))</f>
        <v>0.70599999999999996</v>
      </c>
      <c r="K60" s="127">
        <f>IF('F_Input Override'!K60="",'Consolidated Input'!K60,('F_Input Override'!K60))</f>
        <v>0.17</v>
      </c>
      <c r="L60" s="127">
        <f>IF('F_Input Override'!L60="",'Consolidated Input'!L60,('F_Input Override'!L60))</f>
        <v>6.8000000000000005E-2</v>
      </c>
      <c r="M60" s="128">
        <f t="shared" si="0"/>
        <v>2.1859999999999999</v>
      </c>
    </row>
    <row r="61" spans="1:13" s="2" customFormat="1">
      <c r="A61" s="126" t="str">
        <f>'F_Input Override'!A61</f>
        <v>SWB</v>
      </c>
      <c r="B61" s="126" t="str">
        <f>'F_Input Override'!B61</f>
        <v>CWW3_053TOT_PR24</v>
      </c>
      <c r="C61" s="126" t="str">
        <f>'F_Input Override'!C61</f>
        <v>EA/NRW environmental programme wastewater (WINEP/NEP) - Chemicals and emerging contaminants monitoring, investigations, options appraisals; (WINEP/NEP) wastewater opex - Total</v>
      </c>
      <c r="D61" s="126" t="str">
        <f>'F_Input Override'!D61</f>
        <v>£m</v>
      </c>
      <c r="E61" s="126" t="str">
        <f>'F_Input Override'!E61</f>
        <v>Price Review 2024</v>
      </c>
      <c r="F61" s="127">
        <f>IF('F_Input Override'!F61="",'Consolidated Input'!F61,('F_Input Override'!F61))</f>
        <v>0</v>
      </c>
      <c r="G61" s="127">
        <f>IF('F_Input Override'!G61="",'Consolidated Input'!G61,('F_Input Override'!G61))</f>
        <v>0</v>
      </c>
      <c r="H61" s="127">
        <f>IF('F_Input Override'!H61="",'Consolidated Input'!H61,('F_Input Override'!H61))</f>
        <v>0</v>
      </c>
      <c r="I61" s="127">
        <f>IF('F_Input Override'!I61="",'Consolidated Input'!I61,('F_Input Override'!I61))</f>
        <v>0</v>
      </c>
      <c r="J61" s="127">
        <f>IF('F_Input Override'!J61="",'Consolidated Input'!J61,('F_Input Override'!J61))</f>
        <v>0</v>
      </c>
      <c r="K61" s="127">
        <f>IF('F_Input Override'!K61="",'Consolidated Input'!K61,('F_Input Override'!K61))</f>
        <v>0</v>
      </c>
      <c r="L61" s="127">
        <f>IF('F_Input Override'!L61="",'Consolidated Input'!L61,('F_Input Override'!L61))</f>
        <v>0</v>
      </c>
      <c r="M61" s="128">
        <f t="shared" si="0"/>
        <v>0</v>
      </c>
    </row>
    <row r="62" spans="1:13" s="2" customFormat="1">
      <c r="A62" s="126" t="str">
        <f>'F_Input Override'!A62</f>
        <v>SWB</v>
      </c>
      <c r="B62" s="126" t="str">
        <f>'F_Input Override'!B62</f>
        <v>CWW3_054TOT_PR24</v>
      </c>
      <c r="C62" s="126" t="str">
        <f>'F_Input Override'!C62</f>
        <v>EA/NRW environmental programme wastewater (WINEP/NEP) - Chemicals and emerging contaminants monitoring, investigations, options appraisals; (WINEP/NEP) wastewater totex - Total</v>
      </c>
      <c r="D62" s="126" t="str">
        <f>'F_Input Override'!D62</f>
        <v>£m</v>
      </c>
      <c r="E62" s="126" t="str">
        <f>'F_Input Override'!E62</f>
        <v>Price Review 2024</v>
      </c>
      <c r="F62" s="127">
        <f>IF('F_Input Override'!F62="",'Consolidated Input'!F62,('F_Input Override'!F62))</f>
        <v>0</v>
      </c>
      <c r="G62" s="127">
        <f>IF('F_Input Override'!G62="",'Consolidated Input'!G62,('F_Input Override'!G62))</f>
        <v>0</v>
      </c>
      <c r="H62" s="127">
        <f>IF('F_Input Override'!H62="",'Consolidated Input'!H62,('F_Input Override'!H62))</f>
        <v>0.56999999999999995</v>
      </c>
      <c r="I62" s="127">
        <f>IF('F_Input Override'!I62="",'Consolidated Input'!I62,('F_Input Override'!I62))</f>
        <v>0.67200000000000004</v>
      </c>
      <c r="J62" s="127">
        <f>IF('F_Input Override'!J62="",'Consolidated Input'!J62,('F_Input Override'!J62))</f>
        <v>0.70599999999999996</v>
      </c>
      <c r="K62" s="127">
        <f>IF('F_Input Override'!K62="",'Consolidated Input'!K62,('F_Input Override'!K62))</f>
        <v>0.17</v>
      </c>
      <c r="L62" s="127">
        <f>IF('F_Input Override'!L62="",'Consolidated Input'!L62,('F_Input Override'!L62))</f>
        <v>6.8000000000000005E-2</v>
      </c>
      <c r="M62" s="128">
        <f t="shared" si="0"/>
        <v>2.1859999999999999</v>
      </c>
    </row>
    <row r="63" spans="1:13" s="2" customFormat="1">
      <c r="A63" s="126" t="str">
        <f>'F_Input Override'!A63</f>
        <v>SWB</v>
      </c>
      <c r="B63" s="126" t="str">
        <f>'F_Input Override'!B63</f>
        <v>BN1603_PR24</v>
      </c>
      <c r="C63" s="126" t="str">
        <f>'F_Input Override'!C63</f>
        <v>Sewage treatment data - Current population equivalent served by STWs</v>
      </c>
      <c r="D63" s="126" t="str">
        <f>'F_Input Override'!D63</f>
        <v>000s</v>
      </c>
      <c r="E63" s="126" t="str">
        <f>'F_Input Override'!E63</f>
        <v>Price Review 2024</v>
      </c>
      <c r="F63" s="127">
        <f>IF('F_Input Override'!F63="",'Consolidated Input'!F63,('F_Input Override'!F63))</f>
        <v>1743.2239999999999</v>
      </c>
      <c r="G63" s="127">
        <f>IF('F_Input Override'!G63="",'Consolidated Input'!G63,('F_Input Override'!G63))</f>
        <v>1751.7670000000001</v>
      </c>
      <c r="H63" s="127">
        <f>IF('F_Input Override'!H63="",'Consolidated Input'!H63,('F_Input Override'!H63))</f>
        <v>1774.5709999999999</v>
      </c>
      <c r="I63" s="127">
        <f>IF('F_Input Override'!I63="",'Consolidated Input'!I63,('F_Input Override'!I63))</f>
        <v>1796.923</v>
      </c>
      <c r="J63" s="127">
        <f>IF('F_Input Override'!J63="",'Consolidated Input'!J63,('F_Input Override'!J63))</f>
        <v>1818.9839999999999</v>
      </c>
      <c r="K63" s="127">
        <f>IF('F_Input Override'!K63="",'Consolidated Input'!K63,('F_Input Override'!K63))</f>
        <v>1840.02</v>
      </c>
      <c r="L63" s="127">
        <f>IF('F_Input Override'!L63="",'Consolidated Input'!L63,('F_Input Override'!L63))</f>
        <v>1860.396</v>
      </c>
      <c r="M63" s="128">
        <f t="shared" si="0"/>
        <v>9090.8940000000002</v>
      </c>
    </row>
    <row r="64" spans="1:13" s="2" customFormat="1">
      <c r="A64" s="126" t="str">
        <f>'F_Input Override'!A64</f>
        <v>SWB</v>
      </c>
      <c r="B64" s="126" t="str">
        <f>'F_Input Override'!B64</f>
        <v>CWW12_052TOT_PR24</v>
      </c>
      <c r="C64" s="126" t="str">
        <f>'F_Input Override'!C64</f>
        <v>EA/NRW environmental programme wastewater (WINEP/NEP) - Chemicals and emerging contaminants monitoring, investigations, options appraisals; (WINEP/NEP) wastewater capex - Total</v>
      </c>
      <c r="D64" s="126" t="str">
        <f>'F_Input Override'!D64</f>
        <v>£m</v>
      </c>
      <c r="E64" s="126" t="str">
        <f>'F_Input Override'!E64</f>
        <v>Price Review 2024</v>
      </c>
      <c r="F64" s="127">
        <f>IF('F_Input Override'!F64="",'Consolidated Input'!F64,('F_Input Override'!F64))</f>
        <v>0</v>
      </c>
      <c r="G64" s="127">
        <f>IF('F_Input Override'!G64="",'Consolidated Input'!G64,('F_Input Override'!G64))</f>
        <v>0</v>
      </c>
      <c r="H64" s="127">
        <f>IF('F_Input Override'!H64="",'Consolidated Input'!H64,('F_Input Override'!H64))</f>
        <v>0</v>
      </c>
      <c r="I64" s="127">
        <f>IF('F_Input Override'!I64="",'Consolidated Input'!I64,('F_Input Override'!I64))</f>
        <v>0</v>
      </c>
      <c r="J64" s="127">
        <f>IF('F_Input Override'!J64="",'Consolidated Input'!J64,('F_Input Override'!J64))</f>
        <v>0</v>
      </c>
      <c r="K64" s="127">
        <f>IF('F_Input Override'!K64="",'Consolidated Input'!K64,('F_Input Override'!K64))</f>
        <v>0</v>
      </c>
      <c r="L64" s="127">
        <f>IF('F_Input Override'!L64="",'Consolidated Input'!L64,('F_Input Override'!L64))</f>
        <v>0</v>
      </c>
      <c r="M64" s="128">
        <f t="shared" si="0"/>
        <v>0</v>
      </c>
    </row>
    <row r="65" spans="1:13" s="2" customFormat="1">
      <c r="A65" s="126" t="str">
        <f>'F_Input Override'!A65</f>
        <v>SWB</v>
      </c>
      <c r="B65" s="126" t="str">
        <f>'F_Input Override'!B65</f>
        <v>CWW17_052TOT_PR24</v>
      </c>
      <c r="C65" s="126" t="str">
        <f>'F_Input Override'!C65</f>
        <v>EA/NRW environmental programme wastewater (WINEP/NEP) - Chemicals and emerging contaminants monitoring, investigations, options appraisals; (WINEP/NEP) wastewater capex - Total</v>
      </c>
      <c r="D65" s="126" t="str">
        <f>'F_Input Override'!D65</f>
        <v>£m</v>
      </c>
      <c r="E65" s="126" t="str">
        <f>'F_Input Override'!E65</f>
        <v>Price Review 2024</v>
      </c>
      <c r="F65" s="127">
        <f>IF('F_Input Override'!F65="",'Consolidated Input'!F65,('F_Input Override'!F65))</f>
        <v>0</v>
      </c>
      <c r="G65" s="127">
        <f>IF('F_Input Override'!G65="",'Consolidated Input'!G65,('F_Input Override'!G65))</f>
        <v>0</v>
      </c>
      <c r="H65" s="127">
        <f>IF('F_Input Override'!H65="",'Consolidated Input'!H65,('F_Input Override'!H65))</f>
        <v>0</v>
      </c>
      <c r="I65" s="127">
        <f>IF('F_Input Override'!I65="",'Consolidated Input'!I65,('F_Input Override'!I65))</f>
        <v>0</v>
      </c>
      <c r="J65" s="127">
        <f>IF('F_Input Override'!J65="",'Consolidated Input'!J65,('F_Input Override'!J65))</f>
        <v>0</v>
      </c>
      <c r="K65" s="127">
        <f>IF('F_Input Override'!K65="",'Consolidated Input'!K65,('F_Input Override'!K65))</f>
        <v>0</v>
      </c>
      <c r="L65" s="127">
        <f>IF('F_Input Override'!L65="",'Consolidated Input'!L65,('F_Input Override'!L65))</f>
        <v>0</v>
      </c>
      <c r="M65" s="128">
        <f t="shared" si="0"/>
        <v>0</v>
      </c>
    </row>
    <row r="66" spans="1:13" s="2" customFormat="1">
      <c r="A66" s="126" t="str">
        <f>'F_Input Override'!A66</f>
        <v>SWB</v>
      </c>
      <c r="B66" s="126" t="str">
        <f>'F_Input Override'!B66</f>
        <v>CWW12_053TOT_PR24</v>
      </c>
      <c r="C66" s="126" t="str">
        <f>'F_Input Override'!C66</f>
        <v>EA/NRW environmental programme wastewater (WINEP/NEP) - Chemicals and emerging contaminants monitoring, investigations, options appraisals; (WINEP/NEP) wastewater opex - Total</v>
      </c>
      <c r="D66" s="126" t="str">
        <f>'F_Input Override'!D66</f>
        <v>£m</v>
      </c>
      <c r="E66" s="126" t="str">
        <f>'F_Input Override'!E66</f>
        <v>Price Review 2024</v>
      </c>
      <c r="F66" s="127">
        <f>IF('F_Input Override'!F66="",'Consolidated Input'!F66,('F_Input Override'!F66))</f>
        <v>0</v>
      </c>
      <c r="G66" s="127">
        <f>IF('F_Input Override'!G66="",'Consolidated Input'!G66,('F_Input Override'!G66))</f>
        <v>0</v>
      </c>
      <c r="H66" s="127">
        <f>IF('F_Input Override'!H66="",'Consolidated Input'!H66,('F_Input Override'!H66))</f>
        <v>0</v>
      </c>
      <c r="I66" s="127">
        <f>IF('F_Input Override'!I66="",'Consolidated Input'!I66,('F_Input Override'!I66))</f>
        <v>0</v>
      </c>
      <c r="J66" s="127">
        <f>IF('F_Input Override'!J66="",'Consolidated Input'!J66,('F_Input Override'!J66))</f>
        <v>0</v>
      </c>
      <c r="K66" s="127">
        <f>IF('F_Input Override'!K66="",'Consolidated Input'!K66,('F_Input Override'!K66))</f>
        <v>0</v>
      </c>
      <c r="L66" s="127">
        <f>IF('F_Input Override'!L66="",'Consolidated Input'!L66,('F_Input Override'!L66))</f>
        <v>0</v>
      </c>
      <c r="M66" s="128">
        <f t="shared" si="0"/>
        <v>0</v>
      </c>
    </row>
    <row r="67" spans="1:13" s="2" customFormat="1">
      <c r="A67" s="126" t="str">
        <f>'F_Input Override'!A67</f>
        <v>SWB</v>
      </c>
      <c r="B67" s="126" t="str">
        <f>'F_Input Override'!B67</f>
        <v>CWW17_053TOT_PR24</v>
      </c>
      <c r="C67" s="126" t="str">
        <f>'F_Input Override'!C67</f>
        <v>EA/NRW environmental programme wastewater (WINEP/NEP) - Chemicals and emerging contaminants monitoring, investigations, options appraisals; (WINEP/NEP) wastewater opex - Total</v>
      </c>
      <c r="D67" s="126" t="str">
        <f>'F_Input Override'!D67</f>
        <v>£m</v>
      </c>
      <c r="E67" s="126" t="str">
        <f>'F_Input Override'!E67</f>
        <v>Price Review 2024</v>
      </c>
      <c r="F67" s="127">
        <f>IF('F_Input Override'!F67="",'Consolidated Input'!F67,('F_Input Override'!F67))</f>
        <v>0</v>
      </c>
      <c r="G67" s="127">
        <f>IF('F_Input Override'!G67="",'Consolidated Input'!G67,('F_Input Override'!G67))</f>
        <v>0</v>
      </c>
      <c r="H67" s="127">
        <f>IF('F_Input Override'!H67="",'Consolidated Input'!H67,('F_Input Override'!H67))</f>
        <v>0</v>
      </c>
      <c r="I67" s="127">
        <f>IF('F_Input Override'!I67="",'Consolidated Input'!I67,('F_Input Override'!I67))</f>
        <v>0</v>
      </c>
      <c r="J67" s="127">
        <f>IF('F_Input Override'!J67="",'Consolidated Input'!J67,('F_Input Override'!J67))</f>
        <v>0</v>
      </c>
      <c r="K67" s="127">
        <f>IF('F_Input Override'!K67="",'Consolidated Input'!K67,('F_Input Override'!K67))</f>
        <v>0</v>
      </c>
      <c r="L67" s="127">
        <f>IF('F_Input Override'!L67="",'Consolidated Input'!L67,('F_Input Override'!L67))</f>
        <v>0</v>
      </c>
      <c r="M67" s="128">
        <f t="shared" si="0"/>
        <v>0</v>
      </c>
    </row>
    <row r="68" spans="1:13" s="2" customFormat="1">
      <c r="A68" s="126" t="str">
        <f>'F_Input Override'!A68</f>
        <v>SWB</v>
      </c>
      <c r="B68" s="126" t="str">
        <f>'F_Input Override'!B68</f>
        <v>CWW12_054TOT_PR24</v>
      </c>
      <c r="C68" s="126" t="str">
        <f>'F_Input Override'!C68</f>
        <v>EA/NRW environmental programme wastewater (WINEP/NEP) - Chemicals and emerging contaminants monitoring, investigations, options appraisals; (WINEP/NEP) wastewater totex - Total</v>
      </c>
      <c r="D68" s="126" t="str">
        <f>'F_Input Override'!D68</f>
        <v>£m</v>
      </c>
      <c r="E68" s="126" t="str">
        <f>'F_Input Override'!E68</f>
        <v>Price Review 2024</v>
      </c>
      <c r="F68" s="127">
        <f>IF('F_Input Override'!F68="",'Consolidated Input'!F68,('F_Input Override'!F68))</f>
        <v>0</v>
      </c>
      <c r="G68" s="127">
        <f>IF('F_Input Override'!G68="",'Consolidated Input'!G68,('F_Input Override'!G68))</f>
        <v>0</v>
      </c>
      <c r="H68" s="127">
        <f>IF('F_Input Override'!H68="",'Consolidated Input'!H68,('F_Input Override'!H68))</f>
        <v>0</v>
      </c>
      <c r="I68" s="127">
        <f>IF('F_Input Override'!I68="",'Consolidated Input'!I68,('F_Input Override'!I68))</f>
        <v>0</v>
      </c>
      <c r="J68" s="127">
        <f>IF('F_Input Override'!J68="",'Consolidated Input'!J68,('F_Input Override'!J68))</f>
        <v>0</v>
      </c>
      <c r="K68" s="127">
        <f>IF('F_Input Override'!K68="",'Consolidated Input'!K68,('F_Input Override'!K68))</f>
        <v>0</v>
      </c>
      <c r="L68" s="127">
        <f>IF('F_Input Override'!L68="",'Consolidated Input'!L68,('F_Input Override'!L68))</f>
        <v>0</v>
      </c>
      <c r="M68" s="128">
        <f t="shared" si="0"/>
        <v>0</v>
      </c>
    </row>
    <row r="69" spans="1:13" s="2" customFormat="1">
      <c r="A69" s="126" t="str">
        <f>'F_Input Override'!A69</f>
        <v>SWB</v>
      </c>
      <c r="B69" s="126" t="str">
        <f>'F_Input Override'!B69</f>
        <v>CWW17_054TOT_PR24</v>
      </c>
      <c r="C69" s="126" t="str">
        <f>'F_Input Override'!C69</f>
        <v>EA/NRW environmental programme wastewater (WINEP/NEP) - Chemicals and emerging contaminants monitoring, investigations, options appraisals; (WINEP/NEP) wastewater totex - Total</v>
      </c>
      <c r="D69" s="126" t="str">
        <f>'F_Input Override'!D69</f>
        <v>£m</v>
      </c>
      <c r="E69" s="126" t="str">
        <f>'F_Input Override'!E69</f>
        <v>Price Review 2024</v>
      </c>
      <c r="F69" s="127">
        <f>IF('F_Input Override'!F69="",'Consolidated Input'!F69,('F_Input Override'!F69))</f>
        <v>0</v>
      </c>
      <c r="G69" s="127">
        <f>IF('F_Input Override'!G69="",'Consolidated Input'!G69,('F_Input Override'!G69))</f>
        <v>0</v>
      </c>
      <c r="H69" s="127">
        <f>IF('F_Input Override'!H69="",'Consolidated Input'!H69,('F_Input Override'!H69))</f>
        <v>0</v>
      </c>
      <c r="I69" s="127">
        <f>IF('F_Input Override'!I69="",'Consolidated Input'!I69,('F_Input Override'!I69))</f>
        <v>0</v>
      </c>
      <c r="J69" s="127">
        <f>IF('F_Input Override'!J69="",'Consolidated Input'!J69,('F_Input Override'!J69))</f>
        <v>0</v>
      </c>
      <c r="K69" s="127">
        <f>IF('F_Input Override'!K69="",'Consolidated Input'!K69,('F_Input Override'!K69))</f>
        <v>0</v>
      </c>
      <c r="L69" s="127">
        <f>IF('F_Input Override'!L69="",'Consolidated Input'!L69,('F_Input Override'!L69))</f>
        <v>0</v>
      </c>
      <c r="M69" s="128">
        <f t="shared" si="0"/>
        <v>0</v>
      </c>
    </row>
    <row r="70" spans="1:13" s="2" customFormat="1">
      <c r="A70" s="126" t="str">
        <f>'F_Input Override'!A70</f>
        <v>SWB</v>
      </c>
      <c r="B70" s="126" t="str">
        <f>'F_Input Override'!B70</f>
        <v>PR24_NETTOTEX_WASTE</v>
      </c>
      <c r="C70" s="126" t="str">
        <f>'F_Input Override'!C70</f>
        <v>PR24 BP Net totex - Total inc. accelerated &amp; transition costs</v>
      </c>
      <c r="D70" s="126" t="str">
        <f>'F_Input Override'!D70</f>
        <v>£m</v>
      </c>
      <c r="E70" s="126" t="str">
        <f>'F_Input Override'!E70</f>
        <v>Price Review 2024</v>
      </c>
      <c r="F70" s="127">
        <f>IF('F_Input Override'!F70="",'Consolidated Input'!F70,('F_Input Override'!F70))</f>
        <v>0</v>
      </c>
      <c r="G70" s="127">
        <f>IF('F_Input Override'!G70="",'Consolidated Input'!G70,('F_Input Override'!G70))</f>
        <v>0</v>
      </c>
      <c r="H70" s="127">
        <f>IF('F_Input Override'!H70="",'Consolidated Input'!H70,('F_Input Override'!H70))</f>
        <v>0</v>
      </c>
      <c r="I70" s="127">
        <f>IF('F_Input Override'!I70="",'Consolidated Input'!I70,('F_Input Override'!I70))</f>
        <v>0</v>
      </c>
      <c r="J70" s="127">
        <f>IF('F_Input Override'!J70="",'Consolidated Input'!J70,('F_Input Override'!J70))</f>
        <v>0</v>
      </c>
      <c r="K70" s="127">
        <f>IF('F_Input Override'!K70="",'Consolidated Input'!K70,('F_Input Override'!K70))</f>
        <v>0</v>
      </c>
      <c r="L70" s="127">
        <f>IF('F_Input Override'!L70="",'Consolidated Input'!L70,('F_Input Override'!L70))</f>
        <v>0</v>
      </c>
      <c r="M70" s="128">
        <f t="shared" ref="M70:M125" si="1">SUM(H70:L70)</f>
        <v>0</v>
      </c>
    </row>
    <row r="71" spans="1:13" s="2" customFormat="1">
      <c r="A71" s="126" t="str">
        <f>'F_Input Override'!A71</f>
        <v>SRN</v>
      </c>
      <c r="B71" s="126" t="str">
        <f>'F_Input Override'!B71</f>
        <v>CWW3_052TOT_PR24</v>
      </c>
      <c r="C71" s="126" t="str">
        <f>'F_Input Override'!C71</f>
        <v>EA/NRW environmental programme wastewater (WINEP/NEP) - Chemicals and emerging contaminants monitoring, investigations, options appraisals; (WINEP/NEP) wastewater capex - Total</v>
      </c>
      <c r="D71" s="126" t="str">
        <f>'F_Input Override'!D71</f>
        <v>£m</v>
      </c>
      <c r="E71" s="126" t="str">
        <f>'F_Input Override'!E71</f>
        <v>Price Review 2024</v>
      </c>
      <c r="F71" s="127">
        <f>IF('F_Input Override'!F71="",'Consolidated Input'!F71,('F_Input Override'!F71))</f>
        <v>0</v>
      </c>
      <c r="G71" s="127">
        <f>IF('F_Input Override'!G71="",'Consolidated Input'!G71,('F_Input Override'!G71))</f>
        <v>0</v>
      </c>
      <c r="H71" s="127">
        <f>IF('F_Input Override'!H71="",'Consolidated Input'!H71,('F_Input Override'!H71))</f>
        <v>0.34499999999999997</v>
      </c>
      <c r="I71" s="127">
        <f>IF('F_Input Override'!I71="",'Consolidated Input'!I71,('F_Input Override'!I71))</f>
        <v>0.86399999999999999</v>
      </c>
      <c r="J71" s="127">
        <f>IF('F_Input Override'!J71="",'Consolidated Input'!J71,('F_Input Override'!J71))</f>
        <v>5.5E-2</v>
      </c>
      <c r="K71" s="127">
        <f>IF('F_Input Override'!K71="",'Consolidated Input'!K71,('F_Input Override'!K71))</f>
        <v>0</v>
      </c>
      <c r="L71" s="127">
        <f>IF('F_Input Override'!L71="",'Consolidated Input'!L71,('F_Input Override'!L71))</f>
        <v>0</v>
      </c>
      <c r="M71" s="128">
        <f t="shared" si="1"/>
        <v>1.264</v>
      </c>
    </row>
    <row r="72" spans="1:13" s="2" customFormat="1">
      <c r="A72" s="126" t="str">
        <f>'F_Input Override'!A72</f>
        <v>SRN</v>
      </c>
      <c r="B72" s="126" t="str">
        <f>'F_Input Override'!B72</f>
        <v>CWW3_053TOT_PR24</v>
      </c>
      <c r="C72" s="126" t="str">
        <f>'F_Input Override'!C72</f>
        <v>EA/NRW environmental programme wastewater (WINEP/NEP) - Chemicals and emerging contaminants monitoring, investigations, options appraisals; (WINEP/NEP) wastewater opex - Total</v>
      </c>
      <c r="D72" s="126" t="str">
        <f>'F_Input Override'!D72</f>
        <v>£m</v>
      </c>
      <c r="E72" s="126" t="str">
        <f>'F_Input Override'!E72</f>
        <v>Price Review 2024</v>
      </c>
      <c r="F72" s="127">
        <f>IF('F_Input Override'!F72="",'Consolidated Input'!F72,('F_Input Override'!F72))</f>
        <v>0</v>
      </c>
      <c r="G72" s="127">
        <f>IF('F_Input Override'!G72="",'Consolidated Input'!G72,('F_Input Override'!G72))</f>
        <v>0</v>
      </c>
      <c r="H72" s="127">
        <f>IF('F_Input Override'!H72="",'Consolidated Input'!H72,('F_Input Override'!H72))</f>
        <v>0.36399999999999999</v>
      </c>
      <c r="I72" s="127">
        <f>IF('F_Input Override'!I72="",'Consolidated Input'!I72,('F_Input Override'!I72))</f>
        <v>0.61099999999999999</v>
      </c>
      <c r="J72" s="127">
        <f>IF('F_Input Override'!J72="",'Consolidated Input'!J72,('F_Input Override'!J72))</f>
        <v>0</v>
      </c>
      <c r="K72" s="127">
        <f>IF('F_Input Override'!K72="",'Consolidated Input'!K72,('F_Input Override'!K72))</f>
        <v>0</v>
      </c>
      <c r="L72" s="127">
        <f>IF('F_Input Override'!L72="",'Consolidated Input'!L72,('F_Input Override'!L72))</f>
        <v>0</v>
      </c>
      <c r="M72" s="128">
        <f t="shared" si="1"/>
        <v>0.97499999999999998</v>
      </c>
    </row>
    <row r="73" spans="1:13" s="2" customFormat="1">
      <c r="A73" s="126" t="str">
        <f>'F_Input Override'!A73</f>
        <v>SRN</v>
      </c>
      <c r="B73" s="126" t="str">
        <f>'F_Input Override'!B73</f>
        <v>CWW3_054TOT_PR24</v>
      </c>
      <c r="C73" s="126" t="str">
        <f>'F_Input Override'!C73</f>
        <v>EA/NRW environmental programme wastewater (WINEP/NEP) - Chemicals and emerging contaminants monitoring, investigations, options appraisals; (WINEP/NEP) wastewater totex - Total</v>
      </c>
      <c r="D73" s="126" t="str">
        <f>'F_Input Override'!D73</f>
        <v>£m</v>
      </c>
      <c r="E73" s="126" t="str">
        <f>'F_Input Override'!E73</f>
        <v>Price Review 2024</v>
      </c>
      <c r="F73" s="127">
        <f>IF('F_Input Override'!F73="",'Consolidated Input'!F73,('F_Input Override'!F73))</f>
        <v>0</v>
      </c>
      <c r="G73" s="127">
        <f>IF('F_Input Override'!G73="",'Consolidated Input'!G73,('F_Input Override'!G73))</f>
        <v>0</v>
      </c>
      <c r="H73" s="127">
        <f>IF('F_Input Override'!H73="",'Consolidated Input'!H73,('F_Input Override'!H73))</f>
        <v>0.70899999999999996</v>
      </c>
      <c r="I73" s="127">
        <f>IF('F_Input Override'!I73="",'Consolidated Input'!I73,('F_Input Override'!I73))</f>
        <v>1.4750000000000001</v>
      </c>
      <c r="J73" s="127">
        <f>IF('F_Input Override'!J73="",'Consolidated Input'!J73,('F_Input Override'!J73))</f>
        <v>5.5E-2</v>
      </c>
      <c r="K73" s="127">
        <f>IF('F_Input Override'!K73="",'Consolidated Input'!K73,('F_Input Override'!K73))</f>
        <v>0</v>
      </c>
      <c r="L73" s="127">
        <f>IF('F_Input Override'!L73="",'Consolidated Input'!L73,('F_Input Override'!L73))</f>
        <v>0</v>
      </c>
      <c r="M73" s="128">
        <f t="shared" si="1"/>
        <v>2.2390000000000003</v>
      </c>
    </row>
    <row r="74" spans="1:13" s="2" customFormat="1">
      <c r="A74" s="126" t="str">
        <f>'F_Input Override'!A74</f>
        <v>SRN</v>
      </c>
      <c r="B74" s="126" t="str">
        <f>'F_Input Override'!B74</f>
        <v>BN1603_PR24</v>
      </c>
      <c r="C74" s="126" t="str">
        <f>'F_Input Override'!C74</f>
        <v>Sewage treatment data - Current population equivalent served by STWs</v>
      </c>
      <c r="D74" s="126" t="str">
        <f>'F_Input Override'!D74</f>
        <v>000s</v>
      </c>
      <c r="E74" s="126" t="str">
        <f>'F_Input Override'!E74</f>
        <v>Price Review 2024</v>
      </c>
      <c r="F74" s="127">
        <f>IF('F_Input Override'!F74="",'Consolidated Input'!F74,('F_Input Override'!F74))</f>
        <v>4975.1540000000005</v>
      </c>
      <c r="G74" s="127">
        <f>IF('F_Input Override'!G74="",'Consolidated Input'!G74,('F_Input Override'!G74))</f>
        <v>5091.7139999999999</v>
      </c>
      <c r="H74" s="127">
        <f>IF('F_Input Override'!H74="",'Consolidated Input'!H74,('F_Input Override'!H74))</f>
        <v>5135.1840000000002</v>
      </c>
      <c r="I74" s="127">
        <f>IF('F_Input Override'!I74="",'Consolidated Input'!I74,('F_Input Override'!I74))</f>
        <v>5172.4110000000001</v>
      </c>
      <c r="J74" s="127">
        <f>IF('F_Input Override'!J74="",'Consolidated Input'!J74,('F_Input Override'!J74))</f>
        <v>5205.9669999999996</v>
      </c>
      <c r="K74" s="127">
        <f>IF('F_Input Override'!K74="",'Consolidated Input'!K74,('F_Input Override'!K74))</f>
        <v>5235.5519999999997</v>
      </c>
      <c r="L74" s="127">
        <f>IF('F_Input Override'!L74="",'Consolidated Input'!L74,('F_Input Override'!L74))</f>
        <v>5265.1540000000005</v>
      </c>
      <c r="M74" s="128">
        <f t="shared" si="1"/>
        <v>26014.268000000004</v>
      </c>
    </row>
    <row r="75" spans="1:13" s="2" customFormat="1">
      <c r="A75" s="126" t="str">
        <f>'F_Input Override'!A75</f>
        <v>SRN</v>
      </c>
      <c r="B75" s="126" t="str">
        <f>'F_Input Override'!B75</f>
        <v>CWW12_052TOT_PR24</v>
      </c>
      <c r="C75" s="126" t="str">
        <f>'F_Input Override'!C75</f>
        <v>EA/NRW environmental programme wastewater (WINEP/NEP) - Chemicals and emerging contaminants monitoring, investigations, options appraisals; (WINEP/NEP) wastewater capex - Total</v>
      </c>
      <c r="D75" s="126" t="str">
        <f>'F_Input Override'!D75</f>
        <v>£m</v>
      </c>
      <c r="E75" s="126" t="str">
        <f>'F_Input Override'!E75</f>
        <v>Price Review 2024</v>
      </c>
      <c r="F75" s="127">
        <f>IF('F_Input Override'!F75="",'Consolidated Input'!F75,('F_Input Override'!F75))</f>
        <v>0</v>
      </c>
      <c r="G75" s="127">
        <f>IF('F_Input Override'!G75="",'Consolidated Input'!G75,('F_Input Override'!G75))</f>
        <v>0</v>
      </c>
      <c r="H75" s="127">
        <f>IF('F_Input Override'!H75="",'Consolidated Input'!H75,('F_Input Override'!H75))</f>
        <v>0</v>
      </c>
      <c r="I75" s="127">
        <f>IF('F_Input Override'!I75="",'Consolidated Input'!I75,('F_Input Override'!I75))</f>
        <v>0</v>
      </c>
      <c r="J75" s="127">
        <f>IF('F_Input Override'!J75="",'Consolidated Input'!J75,('F_Input Override'!J75))</f>
        <v>0</v>
      </c>
      <c r="K75" s="127">
        <f>IF('F_Input Override'!K75="",'Consolidated Input'!K75,('F_Input Override'!K75))</f>
        <v>0</v>
      </c>
      <c r="L75" s="127">
        <f>IF('F_Input Override'!L75="",'Consolidated Input'!L75,('F_Input Override'!L75))</f>
        <v>0</v>
      </c>
      <c r="M75" s="128">
        <f t="shared" si="1"/>
        <v>0</v>
      </c>
    </row>
    <row r="76" spans="1:13" s="2" customFormat="1">
      <c r="A76" s="126" t="str">
        <f>'F_Input Override'!A76</f>
        <v>SRN</v>
      </c>
      <c r="B76" s="126" t="str">
        <f>'F_Input Override'!B76</f>
        <v>CWW17_052TOT_PR24</v>
      </c>
      <c r="C76" s="126" t="str">
        <f>'F_Input Override'!C76</f>
        <v>EA/NRW environmental programme wastewater (WINEP/NEP) - Chemicals and emerging contaminants monitoring, investigations, options appraisals; (WINEP/NEP) wastewater capex - Total</v>
      </c>
      <c r="D76" s="126" t="str">
        <f>'F_Input Override'!D76</f>
        <v>£m</v>
      </c>
      <c r="E76" s="126" t="str">
        <f>'F_Input Override'!E76</f>
        <v>Price Review 2024</v>
      </c>
      <c r="F76" s="127">
        <f>IF('F_Input Override'!F76="",'Consolidated Input'!F76,('F_Input Override'!F76))</f>
        <v>0</v>
      </c>
      <c r="G76" s="127">
        <f>IF('F_Input Override'!G76="",'Consolidated Input'!G76,('F_Input Override'!G76))</f>
        <v>0</v>
      </c>
      <c r="H76" s="127">
        <f>IF('F_Input Override'!H76="",'Consolidated Input'!H76,('F_Input Override'!H76))</f>
        <v>0</v>
      </c>
      <c r="I76" s="127">
        <f>IF('F_Input Override'!I76="",'Consolidated Input'!I76,('F_Input Override'!I76))</f>
        <v>0</v>
      </c>
      <c r="J76" s="127">
        <f>IF('F_Input Override'!J76="",'Consolidated Input'!J76,('F_Input Override'!J76))</f>
        <v>0</v>
      </c>
      <c r="K76" s="127">
        <f>IF('F_Input Override'!K76="",'Consolidated Input'!K76,('F_Input Override'!K76))</f>
        <v>0</v>
      </c>
      <c r="L76" s="127">
        <f>IF('F_Input Override'!L76="",'Consolidated Input'!L76,('F_Input Override'!L76))</f>
        <v>0</v>
      </c>
      <c r="M76" s="128">
        <f t="shared" si="1"/>
        <v>0</v>
      </c>
    </row>
    <row r="77" spans="1:13" s="2" customFormat="1">
      <c r="A77" s="126" t="str">
        <f>'F_Input Override'!A77</f>
        <v>SRN</v>
      </c>
      <c r="B77" s="126" t="str">
        <f>'F_Input Override'!B77</f>
        <v>CWW12_053TOT_PR24</v>
      </c>
      <c r="C77" s="126" t="str">
        <f>'F_Input Override'!C77</f>
        <v>EA/NRW environmental programme wastewater (WINEP/NEP) - Chemicals and emerging contaminants monitoring, investigations, options appraisals; (WINEP/NEP) wastewater opex - Total</v>
      </c>
      <c r="D77" s="126" t="str">
        <f>'F_Input Override'!D77</f>
        <v>£m</v>
      </c>
      <c r="E77" s="126" t="str">
        <f>'F_Input Override'!E77</f>
        <v>Price Review 2024</v>
      </c>
      <c r="F77" s="127">
        <f>IF('F_Input Override'!F77="",'Consolidated Input'!F77,('F_Input Override'!F77))</f>
        <v>0</v>
      </c>
      <c r="G77" s="127">
        <f>IF('F_Input Override'!G77="",'Consolidated Input'!G77,('F_Input Override'!G77))</f>
        <v>0</v>
      </c>
      <c r="H77" s="127">
        <f>IF('F_Input Override'!H77="",'Consolidated Input'!H77,('F_Input Override'!H77))</f>
        <v>0</v>
      </c>
      <c r="I77" s="127">
        <f>IF('F_Input Override'!I77="",'Consolidated Input'!I77,('F_Input Override'!I77))</f>
        <v>0</v>
      </c>
      <c r="J77" s="127">
        <f>IF('F_Input Override'!J77="",'Consolidated Input'!J77,('F_Input Override'!J77))</f>
        <v>0</v>
      </c>
      <c r="K77" s="127">
        <f>IF('F_Input Override'!K77="",'Consolidated Input'!K77,('F_Input Override'!K77))</f>
        <v>0</v>
      </c>
      <c r="L77" s="127">
        <f>IF('F_Input Override'!L77="",'Consolidated Input'!L77,('F_Input Override'!L77))</f>
        <v>0</v>
      </c>
      <c r="M77" s="128">
        <f t="shared" si="1"/>
        <v>0</v>
      </c>
    </row>
    <row r="78" spans="1:13" s="2" customFormat="1">
      <c r="A78" s="126" t="str">
        <f>'F_Input Override'!A78</f>
        <v>SRN</v>
      </c>
      <c r="B78" s="126" t="str">
        <f>'F_Input Override'!B78</f>
        <v>CWW17_053TOT_PR24</v>
      </c>
      <c r="C78" s="126" t="str">
        <f>'F_Input Override'!C78</f>
        <v>EA/NRW environmental programme wastewater (WINEP/NEP) - Chemicals and emerging contaminants monitoring, investigations, options appraisals; (WINEP/NEP) wastewater opex - Total</v>
      </c>
      <c r="D78" s="126" t="str">
        <f>'F_Input Override'!D78</f>
        <v>£m</v>
      </c>
      <c r="E78" s="126" t="str">
        <f>'F_Input Override'!E78</f>
        <v>Price Review 2024</v>
      </c>
      <c r="F78" s="127">
        <f>IF('F_Input Override'!F78="",'Consolidated Input'!F78,('F_Input Override'!F78))</f>
        <v>0</v>
      </c>
      <c r="G78" s="127">
        <f>IF('F_Input Override'!G78="",'Consolidated Input'!G78,('F_Input Override'!G78))</f>
        <v>0</v>
      </c>
      <c r="H78" s="127">
        <f>IF('F_Input Override'!H78="",'Consolidated Input'!H78,('F_Input Override'!H78))</f>
        <v>0</v>
      </c>
      <c r="I78" s="127">
        <f>IF('F_Input Override'!I78="",'Consolidated Input'!I78,('F_Input Override'!I78))</f>
        <v>0</v>
      </c>
      <c r="J78" s="127">
        <f>IF('F_Input Override'!J78="",'Consolidated Input'!J78,('F_Input Override'!J78))</f>
        <v>0</v>
      </c>
      <c r="K78" s="127">
        <f>IF('F_Input Override'!K78="",'Consolidated Input'!K78,('F_Input Override'!K78))</f>
        <v>0</v>
      </c>
      <c r="L78" s="127">
        <f>IF('F_Input Override'!L78="",'Consolidated Input'!L78,('F_Input Override'!L78))</f>
        <v>0</v>
      </c>
      <c r="M78" s="128">
        <f t="shared" si="1"/>
        <v>0</v>
      </c>
    </row>
    <row r="79" spans="1:13" s="2" customFormat="1">
      <c r="A79" s="126" t="str">
        <f>'F_Input Override'!A79</f>
        <v>SRN</v>
      </c>
      <c r="B79" s="126" t="str">
        <f>'F_Input Override'!B79</f>
        <v>CWW12_054TOT_PR24</v>
      </c>
      <c r="C79" s="126" t="str">
        <f>'F_Input Override'!C79</f>
        <v>EA/NRW environmental programme wastewater (WINEP/NEP) - Chemicals and emerging contaminants monitoring, investigations, options appraisals; (WINEP/NEP) wastewater totex - Total</v>
      </c>
      <c r="D79" s="126" t="str">
        <f>'F_Input Override'!D79</f>
        <v>£m</v>
      </c>
      <c r="E79" s="126" t="str">
        <f>'F_Input Override'!E79</f>
        <v>Price Review 2024</v>
      </c>
      <c r="F79" s="127">
        <f>IF('F_Input Override'!F79="",'Consolidated Input'!F79,('F_Input Override'!F79))</f>
        <v>0</v>
      </c>
      <c r="G79" s="127">
        <f>IF('F_Input Override'!G79="",'Consolidated Input'!G79,('F_Input Override'!G79))</f>
        <v>0</v>
      </c>
      <c r="H79" s="127">
        <f>IF('F_Input Override'!H79="",'Consolidated Input'!H79,('F_Input Override'!H79))</f>
        <v>0</v>
      </c>
      <c r="I79" s="127">
        <f>IF('F_Input Override'!I79="",'Consolidated Input'!I79,('F_Input Override'!I79))</f>
        <v>0</v>
      </c>
      <c r="J79" s="127">
        <f>IF('F_Input Override'!J79="",'Consolidated Input'!J79,('F_Input Override'!J79))</f>
        <v>0</v>
      </c>
      <c r="K79" s="127">
        <f>IF('F_Input Override'!K79="",'Consolidated Input'!K79,('F_Input Override'!K79))</f>
        <v>0</v>
      </c>
      <c r="L79" s="127">
        <f>IF('F_Input Override'!L79="",'Consolidated Input'!L79,('F_Input Override'!L79))</f>
        <v>0</v>
      </c>
      <c r="M79" s="128">
        <f t="shared" si="1"/>
        <v>0</v>
      </c>
    </row>
    <row r="80" spans="1:13" s="2" customFormat="1">
      <c r="A80" s="126" t="str">
        <f>'F_Input Override'!A80</f>
        <v>SRN</v>
      </c>
      <c r="B80" s="126" t="str">
        <f>'F_Input Override'!B80</f>
        <v>CWW17_054TOT_PR24</v>
      </c>
      <c r="C80" s="126" t="str">
        <f>'F_Input Override'!C80</f>
        <v>EA/NRW environmental programme wastewater (WINEP/NEP) - Chemicals and emerging contaminants monitoring, investigations, options appraisals; (WINEP/NEP) wastewater totex - Total</v>
      </c>
      <c r="D80" s="126" t="str">
        <f>'F_Input Override'!D80</f>
        <v>£m</v>
      </c>
      <c r="E80" s="126" t="str">
        <f>'F_Input Override'!E80</f>
        <v>Price Review 2024</v>
      </c>
      <c r="F80" s="127">
        <f>IF('F_Input Override'!F80="",'Consolidated Input'!F80,('F_Input Override'!F80))</f>
        <v>0</v>
      </c>
      <c r="G80" s="127">
        <f>IF('F_Input Override'!G80="",'Consolidated Input'!G80,('F_Input Override'!G80))</f>
        <v>0</v>
      </c>
      <c r="H80" s="127">
        <f>IF('F_Input Override'!H80="",'Consolidated Input'!H80,('F_Input Override'!H80))</f>
        <v>0</v>
      </c>
      <c r="I80" s="127">
        <f>IF('F_Input Override'!I80="",'Consolidated Input'!I80,('F_Input Override'!I80))</f>
        <v>0</v>
      </c>
      <c r="J80" s="127">
        <f>IF('F_Input Override'!J80="",'Consolidated Input'!J80,('F_Input Override'!J80))</f>
        <v>0</v>
      </c>
      <c r="K80" s="127">
        <f>IF('F_Input Override'!K80="",'Consolidated Input'!K80,('F_Input Override'!K80))</f>
        <v>0</v>
      </c>
      <c r="L80" s="127">
        <f>IF('F_Input Override'!L80="",'Consolidated Input'!L80,('F_Input Override'!L80))</f>
        <v>0</v>
      </c>
      <c r="M80" s="128">
        <f t="shared" si="1"/>
        <v>0</v>
      </c>
    </row>
    <row r="81" spans="1:13" s="2" customFormat="1">
      <c r="A81" s="126" t="str">
        <f>'F_Input Override'!A81</f>
        <v>SRN</v>
      </c>
      <c r="B81" s="126" t="str">
        <f>'F_Input Override'!B81</f>
        <v>PR24_NETTOTEX_WASTE</v>
      </c>
      <c r="C81" s="126" t="str">
        <f>'F_Input Override'!C81</f>
        <v>PR24 BP Net totex - Total inc. accelerated &amp; transition costs</v>
      </c>
      <c r="D81" s="126" t="str">
        <f>'F_Input Override'!D81</f>
        <v>£m</v>
      </c>
      <c r="E81" s="126" t="str">
        <f>'F_Input Override'!E81</f>
        <v>Price Review 2024</v>
      </c>
      <c r="F81" s="127">
        <f>IF('F_Input Override'!F81="",'Consolidated Input'!F81,('F_Input Override'!F81))</f>
        <v>0</v>
      </c>
      <c r="G81" s="127">
        <f>IF('F_Input Override'!G81="",'Consolidated Input'!G81,('F_Input Override'!G81))</f>
        <v>0</v>
      </c>
      <c r="H81" s="127">
        <f>IF('F_Input Override'!H81="",'Consolidated Input'!H81,('F_Input Override'!H81))</f>
        <v>0</v>
      </c>
      <c r="I81" s="127">
        <f>IF('F_Input Override'!I81="",'Consolidated Input'!I81,('F_Input Override'!I81))</f>
        <v>0</v>
      </c>
      <c r="J81" s="127">
        <f>IF('F_Input Override'!J81="",'Consolidated Input'!J81,('F_Input Override'!J81))</f>
        <v>0</v>
      </c>
      <c r="K81" s="127">
        <f>IF('F_Input Override'!K81="",'Consolidated Input'!K81,('F_Input Override'!K81))</f>
        <v>0</v>
      </c>
      <c r="L81" s="127">
        <f>IF('F_Input Override'!L81="",'Consolidated Input'!L81,('F_Input Override'!L81))</f>
        <v>0</v>
      </c>
      <c r="M81" s="128">
        <f t="shared" si="1"/>
        <v>0</v>
      </c>
    </row>
    <row r="82" spans="1:13" s="2" customFormat="1">
      <c r="A82" s="126" t="str">
        <f>'F_Input Override'!A82</f>
        <v>TMS</v>
      </c>
      <c r="B82" s="126" t="str">
        <f>'F_Input Override'!B82</f>
        <v>CWW3_052TOT_PR24</v>
      </c>
      <c r="C82" s="126" t="str">
        <f>'F_Input Override'!C82</f>
        <v>EA/NRW environmental programme wastewater (WINEP/NEP) - Chemicals and emerging contaminants monitoring, investigations, options appraisals; (WINEP/NEP) wastewater capex - Total</v>
      </c>
      <c r="D82" s="126" t="str">
        <f>'F_Input Override'!D82</f>
        <v>£m</v>
      </c>
      <c r="E82" s="126" t="str">
        <f>'F_Input Override'!E82</f>
        <v>Price Review 2024</v>
      </c>
      <c r="F82" s="127">
        <f>IF('F_Input Override'!F82="",'Consolidated Input'!F82,('F_Input Override'!F82))</f>
        <v>0</v>
      </c>
      <c r="G82" s="127">
        <f>IF('F_Input Override'!G82="",'Consolidated Input'!G82,('F_Input Override'!G82))</f>
        <v>0</v>
      </c>
      <c r="H82" s="127">
        <f>IF('F_Input Override'!H82="",'Consolidated Input'!H82,('F_Input Override'!H82))</f>
        <v>1.177</v>
      </c>
      <c r="I82" s="127">
        <f>IF('F_Input Override'!I82="",'Consolidated Input'!I82,('F_Input Override'!I82))</f>
        <v>1.1830000000000001</v>
      </c>
      <c r="J82" s="127">
        <f>IF('F_Input Override'!J82="",'Consolidated Input'!J82,('F_Input Override'!J82))</f>
        <v>0.59399999999999997</v>
      </c>
      <c r="K82" s="127">
        <f>IF('F_Input Override'!K82="",'Consolidated Input'!K82,('F_Input Override'!K82))</f>
        <v>0</v>
      </c>
      <c r="L82" s="127">
        <f>IF('F_Input Override'!L82="",'Consolidated Input'!L82,('F_Input Override'!L82))</f>
        <v>0</v>
      </c>
      <c r="M82" s="128">
        <f t="shared" si="1"/>
        <v>2.9540000000000002</v>
      </c>
    </row>
    <row r="83" spans="1:13" s="2" customFormat="1">
      <c r="A83" s="126" t="str">
        <f>'F_Input Override'!A83</f>
        <v>TMS</v>
      </c>
      <c r="B83" s="126" t="str">
        <f>'F_Input Override'!B83</f>
        <v>CWW3_053TOT_PR24</v>
      </c>
      <c r="C83" s="126" t="str">
        <f>'F_Input Override'!C83</f>
        <v>EA/NRW environmental programme wastewater (WINEP/NEP) - Chemicals and emerging contaminants monitoring, investigations, options appraisals; (WINEP/NEP) wastewater opex - Total</v>
      </c>
      <c r="D83" s="126" t="str">
        <f>'F_Input Override'!D83</f>
        <v>£m</v>
      </c>
      <c r="E83" s="126" t="str">
        <f>'F_Input Override'!E83</f>
        <v>Price Review 2024</v>
      </c>
      <c r="F83" s="127">
        <f>IF('F_Input Override'!F83="",'Consolidated Input'!F83,('F_Input Override'!F83))</f>
        <v>0</v>
      </c>
      <c r="G83" s="127">
        <f>IF('F_Input Override'!G83="",'Consolidated Input'!G83,('F_Input Override'!G83))</f>
        <v>0</v>
      </c>
      <c r="H83" s="127">
        <f>IF('F_Input Override'!H83="",'Consolidated Input'!H83,('F_Input Override'!H83))</f>
        <v>0.57499999999999996</v>
      </c>
      <c r="I83" s="127">
        <f>IF('F_Input Override'!I83="",'Consolidated Input'!I83,('F_Input Override'!I83))</f>
        <v>1.429</v>
      </c>
      <c r="J83" s="127">
        <f>IF('F_Input Override'!J83="",'Consolidated Input'!J83,('F_Input Override'!J83))</f>
        <v>2.1930000000000001</v>
      </c>
      <c r="K83" s="127">
        <f>IF('F_Input Override'!K83="",'Consolidated Input'!K83,('F_Input Override'!K83))</f>
        <v>8.5000000000000006E-2</v>
      </c>
      <c r="L83" s="127">
        <f>IF('F_Input Override'!L83="",'Consolidated Input'!L83,('F_Input Override'!L83))</f>
        <v>8.5999999999999993E-2</v>
      </c>
      <c r="M83" s="128">
        <f t="shared" si="1"/>
        <v>4.3680000000000003</v>
      </c>
    </row>
    <row r="84" spans="1:13" s="2" customFormat="1">
      <c r="A84" s="126" t="str">
        <f>'F_Input Override'!A84</f>
        <v>TMS</v>
      </c>
      <c r="B84" s="126" t="str">
        <f>'F_Input Override'!B84</f>
        <v>CWW3_054TOT_PR24</v>
      </c>
      <c r="C84" s="126" t="str">
        <f>'F_Input Override'!C84</f>
        <v>EA/NRW environmental programme wastewater (WINEP/NEP) - Chemicals and emerging contaminants monitoring, investigations, options appraisals; (WINEP/NEP) wastewater totex - Total</v>
      </c>
      <c r="D84" s="126" t="str">
        <f>'F_Input Override'!D84</f>
        <v>£m</v>
      </c>
      <c r="E84" s="126" t="str">
        <f>'F_Input Override'!E84</f>
        <v>Price Review 2024</v>
      </c>
      <c r="F84" s="127">
        <f>IF('F_Input Override'!F84="",'Consolidated Input'!F84,('F_Input Override'!F84))</f>
        <v>0</v>
      </c>
      <c r="G84" s="127">
        <f>IF('F_Input Override'!G84="",'Consolidated Input'!G84,('F_Input Override'!G84))</f>
        <v>0</v>
      </c>
      <c r="H84" s="127">
        <f>IF('F_Input Override'!H84="",'Consolidated Input'!H84,('F_Input Override'!H84))</f>
        <v>1.752</v>
      </c>
      <c r="I84" s="127">
        <f>IF('F_Input Override'!I84="",'Consolidated Input'!I84,('F_Input Override'!I84))</f>
        <v>2.6120000000000001</v>
      </c>
      <c r="J84" s="127">
        <f>IF('F_Input Override'!J84="",'Consolidated Input'!J84,('F_Input Override'!J84))</f>
        <v>2.7869999999999999</v>
      </c>
      <c r="K84" s="127">
        <f>IF('F_Input Override'!K84="",'Consolidated Input'!K84,('F_Input Override'!K84))</f>
        <v>8.5000000000000006E-2</v>
      </c>
      <c r="L84" s="127">
        <f>IF('F_Input Override'!L84="",'Consolidated Input'!L84,('F_Input Override'!L84))</f>
        <v>8.5999999999999993E-2</v>
      </c>
      <c r="M84" s="128">
        <f t="shared" si="1"/>
        <v>7.3220000000000001</v>
      </c>
    </row>
    <row r="85" spans="1:13" s="2" customFormat="1">
      <c r="A85" s="126" t="str">
        <f>'F_Input Override'!A85</f>
        <v>TMS</v>
      </c>
      <c r="B85" s="126" t="str">
        <f>'F_Input Override'!B85</f>
        <v>BN1603_PR24</v>
      </c>
      <c r="C85" s="126" t="str">
        <f>'F_Input Override'!C85</f>
        <v>Sewage treatment data - Current population equivalent served by STWs</v>
      </c>
      <c r="D85" s="126" t="str">
        <f>'F_Input Override'!D85</f>
        <v>000s</v>
      </c>
      <c r="E85" s="126" t="str">
        <f>'F_Input Override'!E85</f>
        <v>Price Review 2024</v>
      </c>
      <c r="F85" s="127">
        <f>IF('F_Input Override'!F85="",'Consolidated Input'!F85,('F_Input Override'!F85))</f>
        <v>15428.745999999999</v>
      </c>
      <c r="G85" s="127">
        <f>IF('F_Input Override'!G85="",'Consolidated Input'!G85,('F_Input Override'!G85))</f>
        <v>15703.163270516319</v>
      </c>
      <c r="H85" s="127">
        <f>IF('F_Input Override'!H85="",'Consolidated Input'!H85,('F_Input Override'!H85))</f>
        <v>15862.103270516331</v>
      </c>
      <c r="I85" s="127">
        <f>IF('F_Input Override'!I85="",'Consolidated Input'!I85,('F_Input Override'!I85))</f>
        <v>16007.703270516329</v>
      </c>
      <c r="J85" s="127">
        <f>IF('F_Input Override'!J85="",'Consolidated Input'!J85,('F_Input Override'!J85))</f>
        <v>16139.98327051633</v>
      </c>
      <c r="K85" s="127">
        <f>IF('F_Input Override'!K85="",'Consolidated Input'!K85,('F_Input Override'!K85))</f>
        <v>16266.33327051633</v>
      </c>
      <c r="L85" s="127">
        <f>IF('F_Input Override'!L85="",'Consolidated Input'!L85,('F_Input Override'!L85))</f>
        <v>16369.74327051633</v>
      </c>
      <c r="M85" s="128">
        <f t="shared" si="1"/>
        <v>80645.866352581652</v>
      </c>
    </row>
    <row r="86" spans="1:13" s="2" customFormat="1">
      <c r="A86" s="126" t="str">
        <f>'F_Input Override'!A86</f>
        <v>TMS</v>
      </c>
      <c r="B86" s="126" t="str">
        <f>'F_Input Override'!B86</f>
        <v>CWW12_052TOT_PR24</v>
      </c>
      <c r="C86" s="126" t="str">
        <f>'F_Input Override'!C86</f>
        <v>EA/NRW environmental programme wastewater (WINEP/NEP) - Chemicals and emerging contaminants monitoring, investigations, options appraisals; (WINEP/NEP) wastewater capex - Total</v>
      </c>
      <c r="D86" s="126" t="str">
        <f>'F_Input Override'!D86</f>
        <v>£m</v>
      </c>
      <c r="E86" s="126" t="str">
        <f>'F_Input Override'!E86</f>
        <v>Price Review 2024</v>
      </c>
      <c r="F86" s="127">
        <f>IF('F_Input Override'!F86="",'Consolidated Input'!F86,('F_Input Override'!F86))</f>
        <v>0</v>
      </c>
      <c r="G86" s="127">
        <f>IF('F_Input Override'!G86="",'Consolidated Input'!G86,('F_Input Override'!G86))</f>
        <v>0</v>
      </c>
      <c r="H86" s="127">
        <f>IF('F_Input Override'!H86="",'Consolidated Input'!H86,('F_Input Override'!H86))</f>
        <v>0</v>
      </c>
      <c r="I86" s="127">
        <f>IF('F_Input Override'!I86="",'Consolidated Input'!I86,('F_Input Override'!I86))</f>
        <v>0</v>
      </c>
      <c r="J86" s="127">
        <f>IF('F_Input Override'!J86="",'Consolidated Input'!J86,('F_Input Override'!J86))</f>
        <v>0</v>
      </c>
      <c r="K86" s="127">
        <f>IF('F_Input Override'!K86="",'Consolidated Input'!K86,('F_Input Override'!K86))</f>
        <v>0</v>
      </c>
      <c r="L86" s="127">
        <f>IF('F_Input Override'!L86="",'Consolidated Input'!L86,('F_Input Override'!L86))</f>
        <v>0</v>
      </c>
      <c r="M86" s="128">
        <f t="shared" si="1"/>
        <v>0</v>
      </c>
    </row>
    <row r="87" spans="1:13" s="2" customFormat="1">
      <c r="A87" s="126" t="str">
        <f>'F_Input Override'!A87</f>
        <v>TMS</v>
      </c>
      <c r="B87" s="126" t="str">
        <f>'F_Input Override'!B87</f>
        <v>CWW17_052TOT_PR24</v>
      </c>
      <c r="C87" s="126" t="str">
        <f>'F_Input Override'!C87</f>
        <v>EA/NRW environmental programme wastewater (WINEP/NEP) - Chemicals and emerging contaminants monitoring, investigations, options appraisals; (WINEP/NEP) wastewater capex - Total</v>
      </c>
      <c r="D87" s="126" t="str">
        <f>'F_Input Override'!D87</f>
        <v>£m</v>
      </c>
      <c r="E87" s="126" t="str">
        <f>'F_Input Override'!E87</f>
        <v>Price Review 2024</v>
      </c>
      <c r="F87" s="127">
        <f>IF('F_Input Override'!F87="",'Consolidated Input'!F87,('F_Input Override'!F87))</f>
        <v>0</v>
      </c>
      <c r="G87" s="127">
        <f>IF('F_Input Override'!G87="",'Consolidated Input'!G87,('F_Input Override'!G87))</f>
        <v>0</v>
      </c>
      <c r="H87" s="127">
        <f>IF('F_Input Override'!H87="",'Consolidated Input'!H87,('F_Input Override'!H87))</f>
        <v>0</v>
      </c>
      <c r="I87" s="127">
        <f>IF('F_Input Override'!I87="",'Consolidated Input'!I87,('F_Input Override'!I87))</f>
        <v>0</v>
      </c>
      <c r="J87" s="127">
        <f>IF('F_Input Override'!J87="",'Consolidated Input'!J87,('F_Input Override'!J87))</f>
        <v>0</v>
      </c>
      <c r="K87" s="127">
        <f>IF('F_Input Override'!K87="",'Consolidated Input'!K87,('F_Input Override'!K87))</f>
        <v>0</v>
      </c>
      <c r="L87" s="127">
        <f>IF('F_Input Override'!L87="",'Consolidated Input'!L87,('F_Input Override'!L87))</f>
        <v>0</v>
      </c>
      <c r="M87" s="128">
        <f t="shared" si="1"/>
        <v>0</v>
      </c>
    </row>
    <row r="88" spans="1:13" s="2" customFormat="1">
      <c r="A88" s="126" t="str">
        <f>'F_Input Override'!A88</f>
        <v>TMS</v>
      </c>
      <c r="B88" s="126" t="str">
        <f>'F_Input Override'!B88</f>
        <v>CWW12_053TOT_PR24</v>
      </c>
      <c r="C88" s="126" t="str">
        <f>'F_Input Override'!C88</f>
        <v>EA/NRW environmental programme wastewater (WINEP/NEP) - Chemicals and emerging contaminants monitoring, investigations, options appraisals; (WINEP/NEP) wastewater opex - Total</v>
      </c>
      <c r="D88" s="126" t="str">
        <f>'F_Input Override'!D88</f>
        <v>£m</v>
      </c>
      <c r="E88" s="126" t="str">
        <f>'F_Input Override'!E88</f>
        <v>Price Review 2024</v>
      </c>
      <c r="F88" s="127">
        <f>IF('F_Input Override'!F88="",'Consolidated Input'!F88,('F_Input Override'!F88))</f>
        <v>0</v>
      </c>
      <c r="G88" s="127">
        <f>IF('F_Input Override'!G88="",'Consolidated Input'!G88,('F_Input Override'!G88))</f>
        <v>0</v>
      </c>
      <c r="H88" s="127">
        <f>IF('F_Input Override'!H88="",'Consolidated Input'!H88,('F_Input Override'!H88))</f>
        <v>0</v>
      </c>
      <c r="I88" s="127">
        <f>IF('F_Input Override'!I88="",'Consolidated Input'!I88,('F_Input Override'!I88))</f>
        <v>0</v>
      </c>
      <c r="J88" s="127">
        <f>IF('F_Input Override'!J88="",'Consolidated Input'!J88,('F_Input Override'!J88))</f>
        <v>0</v>
      </c>
      <c r="K88" s="127">
        <f>IF('F_Input Override'!K88="",'Consolidated Input'!K88,('F_Input Override'!K88))</f>
        <v>0</v>
      </c>
      <c r="L88" s="127">
        <f>IF('F_Input Override'!L88="",'Consolidated Input'!L88,('F_Input Override'!L88))</f>
        <v>0</v>
      </c>
      <c r="M88" s="128">
        <f t="shared" si="1"/>
        <v>0</v>
      </c>
    </row>
    <row r="89" spans="1:13" s="2" customFormat="1">
      <c r="A89" s="126" t="str">
        <f>'F_Input Override'!A89</f>
        <v>TMS</v>
      </c>
      <c r="B89" s="126" t="str">
        <f>'F_Input Override'!B89</f>
        <v>CWW17_053TOT_PR24</v>
      </c>
      <c r="C89" s="126" t="str">
        <f>'F_Input Override'!C89</f>
        <v>EA/NRW environmental programme wastewater (WINEP/NEP) - Chemicals and emerging contaminants monitoring, investigations, options appraisals; (WINEP/NEP) wastewater opex - Total</v>
      </c>
      <c r="D89" s="126" t="str">
        <f>'F_Input Override'!D89</f>
        <v>£m</v>
      </c>
      <c r="E89" s="126" t="str">
        <f>'F_Input Override'!E89</f>
        <v>Price Review 2024</v>
      </c>
      <c r="F89" s="127">
        <f>IF('F_Input Override'!F89="",'Consolidated Input'!F89,('F_Input Override'!F89))</f>
        <v>0</v>
      </c>
      <c r="G89" s="127">
        <f>IF('F_Input Override'!G89="",'Consolidated Input'!G89,('F_Input Override'!G89))</f>
        <v>0</v>
      </c>
      <c r="H89" s="127">
        <f>IF('F_Input Override'!H89="",'Consolidated Input'!H89,('F_Input Override'!H89))</f>
        <v>0</v>
      </c>
      <c r="I89" s="127">
        <f>IF('F_Input Override'!I89="",'Consolidated Input'!I89,('F_Input Override'!I89))</f>
        <v>0</v>
      </c>
      <c r="J89" s="127">
        <f>IF('F_Input Override'!J89="",'Consolidated Input'!J89,('F_Input Override'!J89))</f>
        <v>0</v>
      </c>
      <c r="K89" s="127">
        <f>IF('F_Input Override'!K89="",'Consolidated Input'!K89,('F_Input Override'!K89))</f>
        <v>0</v>
      </c>
      <c r="L89" s="127">
        <f>IF('F_Input Override'!L89="",'Consolidated Input'!L89,('F_Input Override'!L89))</f>
        <v>0</v>
      </c>
      <c r="M89" s="128">
        <f t="shared" si="1"/>
        <v>0</v>
      </c>
    </row>
    <row r="90" spans="1:13" s="2" customFormat="1">
      <c r="A90" s="126" t="str">
        <f>'F_Input Override'!A90</f>
        <v>TMS</v>
      </c>
      <c r="B90" s="126" t="str">
        <f>'F_Input Override'!B90</f>
        <v>CWW12_054TOT_PR24</v>
      </c>
      <c r="C90" s="126" t="str">
        <f>'F_Input Override'!C90</f>
        <v>EA/NRW environmental programme wastewater (WINEP/NEP) - Chemicals and emerging contaminants monitoring, investigations, options appraisals; (WINEP/NEP) wastewater totex - Total</v>
      </c>
      <c r="D90" s="126" t="str">
        <f>'F_Input Override'!D90</f>
        <v>£m</v>
      </c>
      <c r="E90" s="126" t="str">
        <f>'F_Input Override'!E90</f>
        <v>Price Review 2024</v>
      </c>
      <c r="F90" s="127">
        <f>IF('F_Input Override'!F90="",'Consolidated Input'!F90,('F_Input Override'!F90))</f>
        <v>0</v>
      </c>
      <c r="G90" s="127">
        <f>IF('F_Input Override'!G90="",'Consolidated Input'!G90,('F_Input Override'!G90))</f>
        <v>0</v>
      </c>
      <c r="H90" s="127">
        <f>IF('F_Input Override'!H90="",'Consolidated Input'!H90,('F_Input Override'!H90))</f>
        <v>0</v>
      </c>
      <c r="I90" s="127">
        <f>IF('F_Input Override'!I90="",'Consolidated Input'!I90,('F_Input Override'!I90))</f>
        <v>0</v>
      </c>
      <c r="J90" s="127">
        <f>IF('F_Input Override'!J90="",'Consolidated Input'!J90,('F_Input Override'!J90))</f>
        <v>0</v>
      </c>
      <c r="K90" s="127">
        <f>IF('F_Input Override'!K90="",'Consolidated Input'!K90,('F_Input Override'!K90))</f>
        <v>0</v>
      </c>
      <c r="L90" s="127">
        <f>IF('F_Input Override'!L90="",'Consolidated Input'!L90,('F_Input Override'!L90))</f>
        <v>0</v>
      </c>
      <c r="M90" s="128">
        <f t="shared" si="1"/>
        <v>0</v>
      </c>
    </row>
    <row r="91" spans="1:13" s="2" customFormat="1">
      <c r="A91" s="126" t="str">
        <f>'F_Input Override'!A91</f>
        <v>TMS</v>
      </c>
      <c r="B91" s="126" t="str">
        <f>'F_Input Override'!B91</f>
        <v>CWW17_054TOT_PR24</v>
      </c>
      <c r="C91" s="126" t="str">
        <f>'F_Input Override'!C91</f>
        <v>EA/NRW environmental programme wastewater (WINEP/NEP) - Chemicals and emerging contaminants monitoring, investigations, options appraisals; (WINEP/NEP) wastewater totex - Total</v>
      </c>
      <c r="D91" s="126" t="str">
        <f>'F_Input Override'!D91</f>
        <v>£m</v>
      </c>
      <c r="E91" s="126" t="str">
        <f>'F_Input Override'!E91</f>
        <v>Price Review 2024</v>
      </c>
      <c r="F91" s="127">
        <f>IF('F_Input Override'!F91="",'Consolidated Input'!F91,('F_Input Override'!F91))</f>
        <v>0</v>
      </c>
      <c r="G91" s="127">
        <f>IF('F_Input Override'!G91="",'Consolidated Input'!G91,('F_Input Override'!G91))</f>
        <v>0</v>
      </c>
      <c r="H91" s="127">
        <f>IF('F_Input Override'!H91="",'Consolidated Input'!H91,('F_Input Override'!H91))</f>
        <v>0</v>
      </c>
      <c r="I91" s="127">
        <f>IF('F_Input Override'!I91="",'Consolidated Input'!I91,('F_Input Override'!I91))</f>
        <v>0</v>
      </c>
      <c r="J91" s="127">
        <f>IF('F_Input Override'!J91="",'Consolidated Input'!J91,('F_Input Override'!J91))</f>
        <v>0</v>
      </c>
      <c r="K91" s="127">
        <f>IF('F_Input Override'!K91="",'Consolidated Input'!K91,('F_Input Override'!K91))</f>
        <v>0</v>
      </c>
      <c r="L91" s="127">
        <f>IF('F_Input Override'!L91="",'Consolidated Input'!L91,('F_Input Override'!L91))</f>
        <v>0</v>
      </c>
      <c r="M91" s="128">
        <f t="shared" si="1"/>
        <v>0</v>
      </c>
    </row>
    <row r="92" spans="1:13" s="2" customFormat="1">
      <c r="A92" s="126" t="str">
        <f>'F_Input Override'!A92</f>
        <v>TMS</v>
      </c>
      <c r="B92" s="126" t="str">
        <f>'F_Input Override'!B92</f>
        <v>PR24_NETTOTEX_WASTE</v>
      </c>
      <c r="C92" s="126" t="str">
        <f>'F_Input Override'!C92</f>
        <v>PR24 BP Net totex - Total inc. accelerated &amp; transition costs</v>
      </c>
      <c r="D92" s="126" t="str">
        <f>'F_Input Override'!D92</f>
        <v>£m</v>
      </c>
      <c r="E92" s="126" t="str">
        <f>'F_Input Override'!E92</f>
        <v>Price Review 2024</v>
      </c>
      <c r="F92" s="127">
        <f>IF('F_Input Override'!F92="",'Consolidated Input'!F92,('F_Input Override'!F92))</f>
        <v>0</v>
      </c>
      <c r="G92" s="127">
        <f>IF('F_Input Override'!G92="",'Consolidated Input'!G92,('F_Input Override'!G92))</f>
        <v>0</v>
      </c>
      <c r="H92" s="127">
        <f>IF('F_Input Override'!H92="",'Consolidated Input'!H92,('F_Input Override'!H92))</f>
        <v>0</v>
      </c>
      <c r="I92" s="127">
        <f>IF('F_Input Override'!I92="",'Consolidated Input'!I92,('F_Input Override'!I92))</f>
        <v>0</v>
      </c>
      <c r="J92" s="127">
        <f>IF('F_Input Override'!J92="",'Consolidated Input'!J92,('F_Input Override'!J92))</f>
        <v>0</v>
      </c>
      <c r="K92" s="127">
        <f>IF('F_Input Override'!K92="",'Consolidated Input'!K92,('F_Input Override'!K92))</f>
        <v>0</v>
      </c>
      <c r="L92" s="127">
        <f>IF('F_Input Override'!L92="",'Consolidated Input'!L92,('F_Input Override'!L92))</f>
        <v>0</v>
      </c>
      <c r="M92" s="128">
        <f t="shared" si="1"/>
        <v>0</v>
      </c>
    </row>
    <row r="93" spans="1:13" s="2" customFormat="1">
      <c r="A93" s="126" t="str">
        <f>'F_Input Override'!A93</f>
        <v>NWT</v>
      </c>
      <c r="B93" s="126" t="str">
        <f>'F_Input Override'!B93</f>
        <v>CWW3_052TOT_PR24</v>
      </c>
      <c r="C93" s="126" t="str">
        <f>'F_Input Override'!C93</f>
        <v>EA/NRW environmental programme wastewater (WINEP/NEP) - Chemicals and emerging contaminants monitoring, investigations, options appraisals; (WINEP/NEP) wastewater capex - Total</v>
      </c>
      <c r="D93" s="126" t="str">
        <f>'F_Input Override'!D93</f>
        <v>£m</v>
      </c>
      <c r="E93" s="126" t="str">
        <f>'F_Input Override'!E93</f>
        <v>Price Review 2024</v>
      </c>
      <c r="F93" s="127">
        <f>IF('F_Input Override'!F93="",'Consolidated Input'!F93,('F_Input Override'!F93))</f>
        <v>0</v>
      </c>
      <c r="G93" s="127">
        <f>IF('F_Input Override'!G93="",'Consolidated Input'!G93,('F_Input Override'!G93))</f>
        <v>0</v>
      </c>
      <c r="H93" s="127">
        <f>IF('F_Input Override'!H93="",'Consolidated Input'!H93,('F_Input Override'!H93))</f>
        <v>3.24249915219084</v>
      </c>
      <c r="I93" s="127">
        <f>IF('F_Input Override'!I93="",'Consolidated Input'!I93,('F_Input Override'!I93))</f>
        <v>2.681757880249751</v>
      </c>
      <c r="J93" s="127">
        <f>IF('F_Input Override'!J93="",'Consolidated Input'!J93,('F_Input Override'!J93))</f>
        <v>2.6708585818780169E-2</v>
      </c>
      <c r="K93" s="127">
        <f>IF('F_Input Override'!K93="",'Consolidated Input'!K93,('F_Input Override'!K93))</f>
        <v>4.8949017942832122E-2</v>
      </c>
      <c r="L93" s="127">
        <f>IF('F_Input Override'!L93="",'Consolidated Input'!L93,('F_Input Override'!L93))</f>
        <v>2.723625577579002E-2</v>
      </c>
      <c r="M93" s="128">
        <f t="shared" si="1"/>
        <v>6.0271508919779944</v>
      </c>
    </row>
    <row r="94" spans="1:13" s="2" customFormat="1">
      <c r="A94" s="126" t="str">
        <f>'F_Input Override'!A94</f>
        <v>NWT</v>
      </c>
      <c r="B94" s="126" t="str">
        <f>'F_Input Override'!B94</f>
        <v>CWW3_053TOT_PR24</v>
      </c>
      <c r="C94" s="126" t="str">
        <f>'F_Input Override'!C94</f>
        <v>EA/NRW environmental programme wastewater (WINEP/NEP) - Chemicals and emerging contaminants monitoring, investigations, options appraisals; (WINEP/NEP) wastewater opex - Total</v>
      </c>
      <c r="D94" s="126" t="str">
        <f>'F_Input Override'!D94</f>
        <v>£m</v>
      </c>
      <c r="E94" s="126" t="str">
        <f>'F_Input Override'!E94</f>
        <v>Price Review 2024</v>
      </c>
      <c r="F94" s="127">
        <f>IF('F_Input Override'!F94="",'Consolidated Input'!F94,('F_Input Override'!F94))</f>
        <v>0</v>
      </c>
      <c r="G94" s="127">
        <f>IF('F_Input Override'!G94="",'Consolidated Input'!G94,('F_Input Override'!G94))</f>
        <v>0</v>
      </c>
      <c r="H94" s="127">
        <f>IF('F_Input Override'!H94="",'Consolidated Input'!H94,('F_Input Override'!H94))</f>
        <v>0</v>
      </c>
      <c r="I94" s="127">
        <f>IF('F_Input Override'!I94="",'Consolidated Input'!I94,('F_Input Override'!I94))</f>
        <v>0</v>
      </c>
      <c r="J94" s="127">
        <f>IF('F_Input Override'!J94="",'Consolidated Input'!J94,('F_Input Override'!J94))</f>
        <v>7.2939106740041622E-3</v>
      </c>
      <c r="K94" s="127">
        <f>IF('F_Input Override'!K94="",'Consolidated Input'!K94,('F_Input Override'!K94))</f>
        <v>7.407598233106401E-3</v>
      </c>
      <c r="L94" s="127">
        <f>IF('F_Input Override'!L94="",'Consolidated Input'!L94,('F_Input Override'!L94))</f>
        <v>7.3847520989665369E-3</v>
      </c>
      <c r="M94" s="128">
        <f t="shared" si="1"/>
        <v>2.20862610060771E-2</v>
      </c>
    </row>
    <row r="95" spans="1:13" s="2" customFormat="1">
      <c r="A95" s="126" t="str">
        <f>'F_Input Override'!A95</f>
        <v>NWT</v>
      </c>
      <c r="B95" s="126" t="str">
        <f>'F_Input Override'!B95</f>
        <v>CWW3_054TOT_PR24</v>
      </c>
      <c r="C95" s="126" t="str">
        <f>'F_Input Override'!C95</f>
        <v>EA/NRW environmental programme wastewater (WINEP/NEP) - Chemicals and emerging contaminants monitoring, investigations, options appraisals; (WINEP/NEP) wastewater totex - Total</v>
      </c>
      <c r="D95" s="126" t="str">
        <f>'F_Input Override'!D95</f>
        <v>£m</v>
      </c>
      <c r="E95" s="126" t="str">
        <f>'F_Input Override'!E95</f>
        <v>Price Review 2024</v>
      </c>
      <c r="F95" s="127">
        <f>IF('F_Input Override'!F95="",'Consolidated Input'!F95,('F_Input Override'!F95))</f>
        <v>0</v>
      </c>
      <c r="G95" s="127">
        <f>IF('F_Input Override'!G95="",'Consolidated Input'!G95,('F_Input Override'!G95))</f>
        <v>0</v>
      </c>
      <c r="H95" s="127">
        <f>IF('F_Input Override'!H95="",'Consolidated Input'!H95,('F_Input Override'!H95))</f>
        <v>3.24249915219084</v>
      </c>
      <c r="I95" s="127">
        <f>IF('F_Input Override'!I95="",'Consolidated Input'!I95,('F_Input Override'!I95))</f>
        <v>2.681757880249751</v>
      </c>
      <c r="J95" s="127">
        <f>IF('F_Input Override'!J95="",'Consolidated Input'!J95,('F_Input Override'!J95))</f>
        <v>3.4002496492784327E-2</v>
      </c>
      <c r="K95" s="127">
        <f>IF('F_Input Override'!K95="",'Consolidated Input'!K95,('F_Input Override'!K95))</f>
        <v>5.6356616175938533E-2</v>
      </c>
      <c r="L95" s="127">
        <f>IF('F_Input Override'!L95="",'Consolidated Input'!L95,('F_Input Override'!L95))</f>
        <v>3.4621007874756547E-2</v>
      </c>
      <c r="M95" s="128">
        <f>SUM(H95:L95)</f>
        <v>6.0492371529840714</v>
      </c>
    </row>
    <row r="96" spans="1:13" s="2" customFormat="1">
      <c r="A96" s="126" t="str">
        <f>'F_Input Override'!A96</f>
        <v>NWT</v>
      </c>
      <c r="B96" s="126" t="str">
        <f>'F_Input Override'!B96</f>
        <v>BN1603_PR24</v>
      </c>
      <c r="C96" s="126" t="str">
        <f>'F_Input Override'!C96</f>
        <v>Sewage treatment data - Current population equivalent served by STWs</v>
      </c>
      <c r="D96" s="126" t="str">
        <f>'F_Input Override'!D96</f>
        <v>000s</v>
      </c>
      <c r="E96" s="126" t="str">
        <f>'F_Input Override'!E96</f>
        <v>Price Review 2024</v>
      </c>
      <c r="F96" s="127">
        <f>IF('F_Input Override'!F96="",'Consolidated Input'!F96,('F_Input Override'!F96))</f>
        <v>8857.8136265519515</v>
      </c>
      <c r="G96" s="127">
        <f>IF('F_Input Override'!G96="",'Consolidated Input'!G96,('F_Input Override'!G96))</f>
        <v>9108.1712246259121</v>
      </c>
      <c r="H96" s="127">
        <f>IF('F_Input Override'!H96="",'Consolidated Input'!H96,('F_Input Override'!H96))</f>
        <v>9152.5088208313791</v>
      </c>
      <c r="I96" s="127">
        <f>IF('F_Input Override'!I96="",'Consolidated Input'!I96,('F_Input Override'!I96))</f>
        <v>9195.4192354562092</v>
      </c>
      <c r="J96" s="127">
        <f>IF('F_Input Override'!J96="",'Consolidated Input'!J96,('F_Input Override'!J96))</f>
        <v>9238.7504614982663</v>
      </c>
      <c r="K96" s="127">
        <f>IF('F_Input Override'!K96="",'Consolidated Input'!K96,('F_Input Override'!K96))</f>
        <v>9279.6902324039256</v>
      </c>
      <c r="L96" s="127">
        <f>IF('F_Input Override'!L96="",'Consolidated Input'!L96,('F_Input Override'!L96))</f>
        <v>9318.818686880124</v>
      </c>
      <c r="M96" s="128">
        <f t="shared" si="1"/>
        <v>46185.187437069908</v>
      </c>
    </row>
    <row r="97" spans="1:13" s="2" customFormat="1">
      <c r="A97" s="126" t="str">
        <f>'F_Input Override'!A97</f>
        <v>NWT</v>
      </c>
      <c r="B97" s="126" t="str">
        <f>'F_Input Override'!B97</f>
        <v>CWW12_052TOT_PR24</v>
      </c>
      <c r="C97" s="126" t="str">
        <f>'F_Input Override'!C97</f>
        <v>EA/NRW environmental programme wastewater (WINEP/NEP) - Chemicals and emerging contaminants monitoring, investigations, options appraisals; (WINEP/NEP) wastewater capex - Total</v>
      </c>
      <c r="D97" s="126" t="str">
        <f>'F_Input Override'!D97</f>
        <v>£m</v>
      </c>
      <c r="E97" s="126" t="str">
        <f>'F_Input Override'!E97</f>
        <v>Price Review 2024</v>
      </c>
      <c r="F97" s="127">
        <f>IF('F_Input Override'!F97="",'Consolidated Input'!F97,('F_Input Override'!F97))</f>
        <v>0.31084484288372688</v>
      </c>
      <c r="G97" s="127">
        <f>IF('F_Input Override'!G97="",'Consolidated Input'!G97,('F_Input Override'!G97))</f>
        <v>2.019469543117149</v>
      </c>
      <c r="H97" s="127">
        <f>IF('F_Input Override'!H97="",'Consolidated Input'!H97,('F_Input Override'!H97))</f>
        <v>0</v>
      </c>
      <c r="I97" s="127">
        <f>IF('F_Input Override'!I97="",'Consolidated Input'!I97,('F_Input Override'!I97))</f>
        <v>0</v>
      </c>
      <c r="J97" s="127">
        <f>IF('F_Input Override'!J97="",'Consolidated Input'!J97,('F_Input Override'!J97))</f>
        <v>0</v>
      </c>
      <c r="K97" s="127">
        <f>IF('F_Input Override'!K97="",'Consolidated Input'!K97,('F_Input Override'!K97))</f>
        <v>0</v>
      </c>
      <c r="L97" s="127">
        <f>IF('F_Input Override'!L97="",'Consolidated Input'!L97,('F_Input Override'!L97))</f>
        <v>0</v>
      </c>
      <c r="M97" s="128">
        <f t="shared" si="1"/>
        <v>0</v>
      </c>
    </row>
    <row r="98" spans="1:13" s="2" customFormat="1">
      <c r="A98" s="126" t="str">
        <f>'F_Input Override'!A98</f>
        <v>NWT</v>
      </c>
      <c r="B98" s="126" t="str">
        <f>'F_Input Override'!B98</f>
        <v>CWW17_052TOT_PR24</v>
      </c>
      <c r="C98" s="126" t="str">
        <f>'F_Input Override'!C98</f>
        <v>EA/NRW environmental programme wastewater (WINEP/NEP) - Chemicals and emerging contaminants monitoring, investigations, options appraisals; (WINEP/NEP) wastewater capex - Total</v>
      </c>
      <c r="D98" s="126" t="str">
        <f>'F_Input Override'!D98</f>
        <v>£m</v>
      </c>
      <c r="E98" s="126" t="str">
        <f>'F_Input Override'!E98</f>
        <v>Price Review 2024</v>
      </c>
      <c r="F98" s="127">
        <f>IF('F_Input Override'!F98="",'Consolidated Input'!F98,('F_Input Override'!F98))</f>
        <v>0</v>
      </c>
      <c r="G98" s="127">
        <f>IF('F_Input Override'!G98="",'Consolidated Input'!G98,('F_Input Override'!G98))</f>
        <v>0</v>
      </c>
      <c r="H98" s="127">
        <f>IF('F_Input Override'!H98="",'Consolidated Input'!H98,('F_Input Override'!H98))</f>
        <v>0</v>
      </c>
      <c r="I98" s="127">
        <f>IF('F_Input Override'!I98="",'Consolidated Input'!I98,('F_Input Override'!I98))</f>
        <v>0</v>
      </c>
      <c r="J98" s="127">
        <f>IF('F_Input Override'!J98="",'Consolidated Input'!J98,('F_Input Override'!J98))</f>
        <v>0</v>
      </c>
      <c r="K98" s="127">
        <f>IF('F_Input Override'!K98="",'Consolidated Input'!K98,('F_Input Override'!K98))</f>
        <v>0</v>
      </c>
      <c r="L98" s="127">
        <f>IF('F_Input Override'!L98="",'Consolidated Input'!L98,('F_Input Override'!L98))</f>
        <v>0</v>
      </c>
      <c r="M98" s="128">
        <f t="shared" si="1"/>
        <v>0</v>
      </c>
    </row>
    <row r="99" spans="1:13" s="2" customFormat="1">
      <c r="A99" s="126" t="str">
        <f>'F_Input Override'!A99</f>
        <v>NWT</v>
      </c>
      <c r="B99" s="126" t="str">
        <f>'F_Input Override'!B99</f>
        <v>CWW12_053TOT_PR24</v>
      </c>
      <c r="C99" s="126" t="str">
        <f>'F_Input Override'!C99</f>
        <v>EA/NRW environmental programme wastewater (WINEP/NEP) - Chemicals and emerging contaminants monitoring, investigations, options appraisals; (WINEP/NEP) wastewater opex - Total</v>
      </c>
      <c r="D99" s="126" t="str">
        <f>'F_Input Override'!D99</f>
        <v>£m</v>
      </c>
      <c r="E99" s="126" t="str">
        <f>'F_Input Override'!E99</f>
        <v>Price Review 2024</v>
      </c>
      <c r="F99" s="127">
        <f>IF('F_Input Override'!F99="",'Consolidated Input'!F99,('F_Input Override'!F99))</f>
        <v>0</v>
      </c>
      <c r="G99" s="127">
        <f>IF('F_Input Override'!G99="",'Consolidated Input'!G99,('F_Input Override'!G99))</f>
        <v>0</v>
      </c>
      <c r="H99" s="127">
        <f>IF('F_Input Override'!H99="",'Consolidated Input'!H99,('F_Input Override'!H99))</f>
        <v>0</v>
      </c>
      <c r="I99" s="127">
        <f>IF('F_Input Override'!I99="",'Consolidated Input'!I99,('F_Input Override'!I99))</f>
        <v>0</v>
      </c>
      <c r="J99" s="127">
        <f>IF('F_Input Override'!J99="",'Consolidated Input'!J99,('F_Input Override'!J99))</f>
        <v>0</v>
      </c>
      <c r="K99" s="127">
        <f>IF('F_Input Override'!K99="",'Consolidated Input'!K99,('F_Input Override'!K99))</f>
        <v>0</v>
      </c>
      <c r="L99" s="127">
        <f>IF('F_Input Override'!L99="",'Consolidated Input'!L99,('F_Input Override'!L99))</f>
        <v>0</v>
      </c>
      <c r="M99" s="128">
        <f t="shared" si="1"/>
        <v>0</v>
      </c>
    </row>
    <row r="100" spans="1:13" s="2" customFormat="1">
      <c r="A100" s="126" t="str">
        <f>'F_Input Override'!A100</f>
        <v>NWT</v>
      </c>
      <c r="B100" s="126" t="str">
        <f>'F_Input Override'!B100</f>
        <v>CWW17_053TOT_PR24</v>
      </c>
      <c r="C100" s="126" t="str">
        <f>'F_Input Override'!C100</f>
        <v>EA/NRW environmental programme wastewater (WINEP/NEP) - Chemicals and emerging contaminants monitoring, investigations, options appraisals; (WINEP/NEP) wastewater opex - Total</v>
      </c>
      <c r="D100" s="126" t="str">
        <f>'F_Input Override'!D100</f>
        <v>£m</v>
      </c>
      <c r="E100" s="126" t="str">
        <f>'F_Input Override'!E100</f>
        <v>Price Review 2024</v>
      </c>
      <c r="F100" s="127">
        <f>IF('F_Input Override'!F100="",'Consolidated Input'!F100,('F_Input Override'!F100))</f>
        <v>0</v>
      </c>
      <c r="G100" s="127">
        <f>IF('F_Input Override'!G100="",'Consolidated Input'!G100,('F_Input Override'!G100))</f>
        <v>0</v>
      </c>
      <c r="H100" s="127">
        <f>IF('F_Input Override'!H100="",'Consolidated Input'!H100,('F_Input Override'!H100))</f>
        <v>0</v>
      </c>
      <c r="I100" s="127">
        <f>IF('F_Input Override'!I100="",'Consolidated Input'!I100,('F_Input Override'!I100))</f>
        <v>0</v>
      </c>
      <c r="J100" s="127">
        <f>IF('F_Input Override'!J100="",'Consolidated Input'!J100,('F_Input Override'!J100))</f>
        <v>0</v>
      </c>
      <c r="K100" s="127">
        <f>IF('F_Input Override'!K100="",'Consolidated Input'!K100,('F_Input Override'!K100))</f>
        <v>0</v>
      </c>
      <c r="L100" s="127">
        <f>IF('F_Input Override'!L100="",'Consolidated Input'!L100,('F_Input Override'!L100))</f>
        <v>0</v>
      </c>
      <c r="M100" s="128">
        <f t="shared" si="1"/>
        <v>0</v>
      </c>
    </row>
    <row r="101" spans="1:13" s="2" customFormat="1">
      <c r="A101" s="126" t="str">
        <f>'F_Input Override'!A101</f>
        <v>NWT</v>
      </c>
      <c r="B101" s="126" t="str">
        <f>'F_Input Override'!B101</f>
        <v>CWW12_054TOT_PR24</v>
      </c>
      <c r="C101" s="126" t="str">
        <f>'F_Input Override'!C101</f>
        <v>EA/NRW environmental programme wastewater (WINEP/NEP) - Chemicals and emerging contaminants monitoring, investigations, options appraisals; (WINEP/NEP) wastewater totex - Total</v>
      </c>
      <c r="D101" s="126" t="str">
        <f>'F_Input Override'!D101</f>
        <v>£m</v>
      </c>
      <c r="E101" s="126" t="str">
        <f>'F_Input Override'!E101</f>
        <v>Price Review 2024</v>
      </c>
      <c r="F101" s="127">
        <f>IF('F_Input Override'!F101="",'Consolidated Input'!F101,('F_Input Override'!F101))</f>
        <v>0.31084484288372688</v>
      </c>
      <c r="G101" s="127">
        <f>IF('F_Input Override'!G101="",'Consolidated Input'!G101,('F_Input Override'!G101))</f>
        <v>2.019469543117149</v>
      </c>
      <c r="H101" s="127">
        <f>IF('F_Input Override'!H101="",'Consolidated Input'!H101,('F_Input Override'!H101))</f>
        <v>0</v>
      </c>
      <c r="I101" s="127">
        <f>IF('F_Input Override'!I101="",'Consolidated Input'!I101,('F_Input Override'!I101))</f>
        <v>0</v>
      </c>
      <c r="J101" s="127">
        <f>IF('F_Input Override'!J101="",'Consolidated Input'!J101,('F_Input Override'!J101))</f>
        <v>0</v>
      </c>
      <c r="K101" s="127">
        <f>IF('F_Input Override'!K101="",'Consolidated Input'!K101,('F_Input Override'!K101))</f>
        <v>0</v>
      </c>
      <c r="L101" s="127">
        <f>IF('F_Input Override'!L101="",'Consolidated Input'!L101,('F_Input Override'!L101))</f>
        <v>0</v>
      </c>
      <c r="M101" s="128">
        <f>SUM(H101:L101)</f>
        <v>0</v>
      </c>
    </row>
    <row r="102" spans="1:13" s="2" customFormat="1">
      <c r="A102" s="126" t="str">
        <f>'F_Input Override'!A102</f>
        <v>NWT</v>
      </c>
      <c r="B102" s="126" t="str">
        <f>'F_Input Override'!B102</f>
        <v>CWW17_054TOT_PR24</v>
      </c>
      <c r="C102" s="126" t="str">
        <f>'F_Input Override'!C102</f>
        <v>EA/NRW environmental programme wastewater (WINEP/NEP) - Chemicals and emerging contaminants monitoring, investigations, options appraisals; (WINEP/NEP) wastewater totex - Total</v>
      </c>
      <c r="D102" s="126" t="str">
        <f>'F_Input Override'!D102</f>
        <v>£m</v>
      </c>
      <c r="E102" s="126" t="str">
        <f>'F_Input Override'!E102</f>
        <v>Price Review 2024</v>
      </c>
      <c r="F102" s="127">
        <f>IF('F_Input Override'!F102="",'Consolidated Input'!F102,('F_Input Override'!F102))</f>
        <v>0</v>
      </c>
      <c r="G102" s="127">
        <f>IF('F_Input Override'!G102="",'Consolidated Input'!G102,('F_Input Override'!G102))</f>
        <v>0</v>
      </c>
      <c r="H102" s="127">
        <f>IF('F_Input Override'!H102="",'Consolidated Input'!H102,('F_Input Override'!H102))</f>
        <v>0</v>
      </c>
      <c r="I102" s="127">
        <f>IF('F_Input Override'!I102="",'Consolidated Input'!I102,('F_Input Override'!I102))</f>
        <v>0</v>
      </c>
      <c r="J102" s="127">
        <f>IF('F_Input Override'!J102="",'Consolidated Input'!J102,('F_Input Override'!J102))</f>
        <v>0</v>
      </c>
      <c r="K102" s="127">
        <f>IF('F_Input Override'!K102="",'Consolidated Input'!K102,('F_Input Override'!K102))</f>
        <v>0</v>
      </c>
      <c r="L102" s="127">
        <f>IF('F_Input Override'!L102="",'Consolidated Input'!L102,('F_Input Override'!L102))</f>
        <v>0</v>
      </c>
      <c r="M102" s="128">
        <f t="shared" si="1"/>
        <v>0</v>
      </c>
    </row>
    <row r="103" spans="1:13" s="2" customFormat="1">
      <c r="A103" s="126" t="str">
        <f>'F_Input Override'!A103</f>
        <v>NWT</v>
      </c>
      <c r="B103" s="126" t="str">
        <f>'F_Input Override'!B103</f>
        <v>PR24_NETTOTEX_WASTE</v>
      </c>
      <c r="C103" s="126" t="str">
        <f>'F_Input Override'!C103</f>
        <v>PR24 BP Net totex - Total inc. accelerated &amp; transition costs</v>
      </c>
      <c r="D103" s="126" t="str">
        <f>'F_Input Override'!D103</f>
        <v>£m</v>
      </c>
      <c r="E103" s="126" t="str">
        <f>'F_Input Override'!E103</f>
        <v>Price Review 2024</v>
      </c>
      <c r="F103" s="127">
        <f>IF('F_Input Override'!F103="",'Consolidated Input'!F103,('F_Input Override'!F103))</f>
        <v>0</v>
      </c>
      <c r="G103" s="127">
        <f>IF('F_Input Override'!G103="",'Consolidated Input'!G103,('F_Input Override'!G103))</f>
        <v>0</v>
      </c>
      <c r="H103" s="127">
        <f>IF('F_Input Override'!H103="",'Consolidated Input'!H103,('F_Input Override'!H103))</f>
        <v>0</v>
      </c>
      <c r="I103" s="127">
        <f>IF('F_Input Override'!I103="",'Consolidated Input'!I103,('F_Input Override'!I103))</f>
        <v>0</v>
      </c>
      <c r="J103" s="127">
        <f>IF('F_Input Override'!J103="",'Consolidated Input'!J103,('F_Input Override'!J103))</f>
        <v>0</v>
      </c>
      <c r="K103" s="127">
        <f>IF('F_Input Override'!K103="",'Consolidated Input'!K103,('F_Input Override'!K103))</f>
        <v>0</v>
      </c>
      <c r="L103" s="127">
        <f>IF('F_Input Override'!L103="",'Consolidated Input'!L103,('F_Input Override'!L103))</f>
        <v>0</v>
      </c>
      <c r="M103" s="128">
        <f t="shared" si="1"/>
        <v>0</v>
      </c>
    </row>
    <row r="104" spans="1:13" s="2" customFormat="1">
      <c r="A104" s="126" t="str">
        <f>'F_Input Override'!A104</f>
        <v>WSX</v>
      </c>
      <c r="B104" s="126" t="str">
        <f>'F_Input Override'!B104</f>
        <v>CWW3_052TOT_PR24</v>
      </c>
      <c r="C104" s="126" t="str">
        <f>'F_Input Override'!C104</f>
        <v>EA/NRW environmental programme wastewater (WINEP/NEP) - Chemicals and emerging contaminants monitoring, investigations, options appraisals; (WINEP/NEP) wastewater capex - Total</v>
      </c>
      <c r="D104" s="126" t="str">
        <f>'F_Input Override'!D104</f>
        <v>£m</v>
      </c>
      <c r="E104" s="126" t="str">
        <f>'F_Input Override'!E104</f>
        <v>Price Review 2024</v>
      </c>
      <c r="F104" s="127">
        <f>IF('F_Input Override'!F104="",'Consolidated Input'!F104,('F_Input Override'!F104))</f>
        <v>0</v>
      </c>
      <c r="G104" s="127">
        <f>IF('F_Input Override'!G104="",'Consolidated Input'!G104,('F_Input Override'!G104))</f>
        <v>0</v>
      </c>
      <c r="H104" s="127">
        <f>IF('F_Input Override'!H104="",'Consolidated Input'!H104,('F_Input Override'!H104))</f>
        <v>0</v>
      </c>
      <c r="I104" s="127">
        <f>IF('F_Input Override'!I104="",'Consolidated Input'!I104,('F_Input Override'!I104))</f>
        <v>0</v>
      </c>
      <c r="J104" s="127">
        <f>IF('F_Input Override'!J104="",'Consolidated Input'!J104,('F_Input Override'!J104))</f>
        <v>0</v>
      </c>
      <c r="K104" s="127">
        <f>IF('F_Input Override'!K104="",'Consolidated Input'!K104,('F_Input Override'!K104))</f>
        <v>0</v>
      </c>
      <c r="L104" s="127">
        <f>IF('F_Input Override'!L104="",'Consolidated Input'!L104,('F_Input Override'!L104))</f>
        <v>0</v>
      </c>
      <c r="M104" s="128">
        <f t="shared" si="1"/>
        <v>0</v>
      </c>
    </row>
    <row r="105" spans="1:13" s="2" customFormat="1">
      <c r="A105" s="126" t="str">
        <f>'F_Input Override'!A105</f>
        <v>WSX</v>
      </c>
      <c r="B105" s="126" t="str">
        <f>'F_Input Override'!B105</f>
        <v>CWW3_053TOT_PR24</v>
      </c>
      <c r="C105" s="126" t="str">
        <f>'F_Input Override'!C105</f>
        <v>EA/NRW environmental programme wastewater (WINEP/NEP) - Chemicals and emerging contaminants monitoring, investigations, options appraisals; (WINEP/NEP) wastewater opex - Total</v>
      </c>
      <c r="D105" s="126" t="str">
        <f>'F_Input Override'!D105</f>
        <v>£m</v>
      </c>
      <c r="E105" s="126" t="str">
        <f>'F_Input Override'!E105</f>
        <v>Price Review 2024</v>
      </c>
      <c r="F105" s="127">
        <f>IF('F_Input Override'!F105="",'Consolidated Input'!F105,('F_Input Override'!F105))</f>
        <v>0</v>
      </c>
      <c r="G105" s="127">
        <f>IF('F_Input Override'!G105="",'Consolidated Input'!G105,('F_Input Override'!G105))</f>
        <v>0</v>
      </c>
      <c r="H105" s="127">
        <f>IF('F_Input Override'!H105="",'Consolidated Input'!H105,('F_Input Override'!H105))</f>
        <v>3.602735</v>
      </c>
      <c r="I105" s="127">
        <f>IF('F_Input Override'!I105="",'Consolidated Input'!I105,('F_Input Override'!I105))</f>
        <v>3.3669609999999999</v>
      </c>
      <c r="J105" s="127">
        <f>IF('F_Input Override'!J105="",'Consolidated Input'!J105,('F_Input Override'!J105))</f>
        <v>1.3767480000000001</v>
      </c>
      <c r="K105" s="127">
        <f>IF('F_Input Override'!K105="",'Consolidated Input'!K105,('F_Input Override'!K105))</f>
        <v>0.60099900000000006</v>
      </c>
      <c r="L105" s="127">
        <f>IF('F_Input Override'!L105="",'Consolidated Input'!L105,('F_Input Override'!L105))</f>
        <v>0.110046</v>
      </c>
      <c r="M105" s="128">
        <f t="shared" si="1"/>
        <v>9.0574890000000003</v>
      </c>
    </row>
    <row r="106" spans="1:13" s="2" customFormat="1">
      <c r="A106" s="126" t="str">
        <f>'F_Input Override'!A106</f>
        <v>WSX</v>
      </c>
      <c r="B106" s="126" t="str">
        <f>'F_Input Override'!B106</f>
        <v>CWW3_054TOT_PR24</v>
      </c>
      <c r="C106" s="126" t="str">
        <f>'F_Input Override'!C106</f>
        <v>EA/NRW environmental programme wastewater (WINEP/NEP) - Chemicals and emerging contaminants monitoring, investigations, options appraisals; (WINEP/NEP) wastewater totex - Total</v>
      </c>
      <c r="D106" s="126" t="str">
        <f>'F_Input Override'!D106</f>
        <v>£m</v>
      </c>
      <c r="E106" s="126" t="str">
        <f>'F_Input Override'!E106</f>
        <v>Price Review 2024</v>
      </c>
      <c r="F106" s="127">
        <f>IF('F_Input Override'!F106="",'Consolidated Input'!F106,('F_Input Override'!F106))</f>
        <v>0</v>
      </c>
      <c r="G106" s="127">
        <f>IF('F_Input Override'!G106="",'Consolidated Input'!G106,('F_Input Override'!G106))</f>
        <v>0</v>
      </c>
      <c r="H106" s="127">
        <f>IF('F_Input Override'!H106="",'Consolidated Input'!H106,('F_Input Override'!H106))</f>
        <v>3.602735</v>
      </c>
      <c r="I106" s="127">
        <f>IF('F_Input Override'!I106="",'Consolidated Input'!I106,('F_Input Override'!I106))</f>
        <v>3.3669609999999999</v>
      </c>
      <c r="J106" s="127">
        <f>IF('F_Input Override'!J106="",'Consolidated Input'!J106,('F_Input Override'!J106))</f>
        <v>1.3767480000000001</v>
      </c>
      <c r="K106" s="127">
        <f>IF('F_Input Override'!K106="",'Consolidated Input'!K106,('F_Input Override'!K106))</f>
        <v>0.60099900000000006</v>
      </c>
      <c r="L106" s="127">
        <f>IF('F_Input Override'!L106="",'Consolidated Input'!L106,('F_Input Override'!L106))</f>
        <v>0.110046</v>
      </c>
      <c r="M106" s="128">
        <f t="shared" si="1"/>
        <v>9.0574890000000003</v>
      </c>
    </row>
    <row r="107" spans="1:13" s="2" customFormat="1">
      <c r="A107" s="126" t="str">
        <f>'F_Input Override'!A107</f>
        <v>WSX</v>
      </c>
      <c r="B107" s="126" t="str">
        <f>'F_Input Override'!B107</f>
        <v>BN1603_PR24</v>
      </c>
      <c r="C107" s="126" t="str">
        <f>'F_Input Override'!C107</f>
        <v>Sewage treatment data - Current population equivalent served by STWs</v>
      </c>
      <c r="D107" s="126" t="str">
        <f>'F_Input Override'!D107</f>
        <v>000s</v>
      </c>
      <c r="E107" s="126" t="str">
        <f>'F_Input Override'!E107</f>
        <v>Price Review 2024</v>
      </c>
      <c r="F107" s="127">
        <f>IF('F_Input Override'!F107="",'Consolidated Input'!F107,('F_Input Override'!F107))</f>
        <v>3587.0859999999998</v>
      </c>
      <c r="G107" s="127">
        <f>IF('F_Input Override'!G107="",'Consolidated Input'!G107,('F_Input Override'!G107))</f>
        <v>3587.8960000000002</v>
      </c>
      <c r="H107" s="127">
        <f>IF('F_Input Override'!H107="",'Consolidated Input'!H107,('F_Input Override'!H107))</f>
        <v>3611.402</v>
      </c>
      <c r="I107" s="127">
        <f>IF('F_Input Override'!I107="",'Consolidated Input'!I107,('F_Input Override'!I107))</f>
        <v>3632.9789999999998</v>
      </c>
      <c r="J107" s="127">
        <f>IF('F_Input Override'!J107="",'Consolidated Input'!J107,('F_Input Override'!J107))</f>
        <v>3654.723</v>
      </c>
      <c r="K107" s="127">
        <f>IF('F_Input Override'!K107="",'Consolidated Input'!K107,('F_Input Override'!K107))</f>
        <v>3676.623</v>
      </c>
      <c r="L107" s="127">
        <f>IF('F_Input Override'!L107="",'Consolidated Input'!L107,('F_Input Override'!L107))</f>
        <v>3808.4479999999999</v>
      </c>
      <c r="M107" s="128">
        <f t="shared" si="1"/>
        <v>18384.174999999999</v>
      </c>
    </row>
    <row r="108" spans="1:13" s="2" customFormat="1">
      <c r="A108" s="126" t="str">
        <f>'F_Input Override'!A108</f>
        <v>WSX</v>
      </c>
      <c r="B108" s="126" t="str">
        <f>'F_Input Override'!B108</f>
        <v>CWW12_052TOT_PR24</v>
      </c>
      <c r="C108" s="126" t="str">
        <f>'F_Input Override'!C108</f>
        <v>EA/NRW environmental programme wastewater (WINEP/NEP) - Chemicals and emerging contaminants monitoring, investigations, options appraisals; (WINEP/NEP) wastewater capex - Total</v>
      </c>
      <c r="D108" s="126" t="str">
        <f>'F_Input Override'!D108</f>
        <v>£m</v>
      </c>
      <c r="E108" s="126" t="str">
        <f>'F_Input Override'!E108</f>
        <v>Price Review 2024</v>
      </c>
      <c r="F108" s="127">
        <f>IF('F_Input Override'!F108="",'Consolidated Input'!F108,('F_Input Override'!F108))</f>
        <v>0</v>
      </c>
      <c r="G108" s="127">
        <f>IF('F_Input Override'!G108="",'Consolidated Input'!G108,('F_Input Override'!G108))</f>
        <v>3.3331000000000013E-2</v>
      </c>
      <c r="H108" s="127">
        <f>IF('F_Input Override'!H108="",'Consolidated Input'!H108,('F_Input Override'!H108))</f>
        <v>0</v>
      </c>
      <c r="I108" s="127">
        <f>IF('F_Input Override'!I108="",'Consolidated Input'!I108,('F_Input Override'!I108))</f>
        <v>0</v>
      </c>
      <c r="J108" s="127">
        <f>IF('F_Input Override'!J108="",'Consolidated Input'!J108,('F_Input Override'!J108))</f>
        <v>0</v>
      </c>
      <c r="K108" s="127">
        <f>IF('F_Input Override'!K108="",'Consolidated Input'!K108,('F_Input Override'!K108))</f>
        <v>0</v>
      </c>
      <c r="L108" s="127">
        <f>IF('F_Input Override'!L108="",'Consolidated Input'!L108,('F_Input Override'!L108))</f>
        <v>0</v>
      </c>
      <c r="M108" s="128">
        <f t="shared" si="1"/>
        <v>0</v>
      </c>
    </row>
    <row r="109" spans="1:13" s="2" customFormat="1">
      <c r="A109" s="126" t="str">
        <f>'F_Input Override'!A109</f>
        <v>WSX</v>
      </c>
      <c r="B109" s="126" t="str">
        <f>'F_Input Override'!B109</f>
        <v>CWW17_052TOT_PR24</v>
      </c>
      <c r="C109" s="126" t="str">
        <f>'F_Input Override'!C109</f>
        <v>EA/NRW environmental programme wastewater (WINEP/NEP) - Chemicals and emerging contaminants monitoring, investigations, options appraisals; (WINEP/NEP) wastewater capex - Total</v>
      </c>
      <c r="D109" s="126" t="str">
        <f>'F_Input Override'!D109</f>
        <v>£m</v>
      </c>
      <c r="E109" s="126" t="str">
        <f>'F_Input Override'!E109</f>
        <v>Price Review 2024</v>
      </c>
      <c r="F109" s="127">
        <f>IF('F_Input Override'!F109="",'Consolidated Input'!F109,('F_Input Override'!F109))</f>
        <v>0</v>
      </c>
      <c r="G109" s="127">
        <f>IF('F_Input Override'!G109="",'Consolidated Input'!G109,('F_Input Override'!G109))</f>
        <v>0</v>
      </c>
      <c r="H109" s="127">
        <f>IF('F_Input Override'!H109="",'Consolidated Input'!H109,('F_Input Override'!H109))</f>
        <v>0</v>
      </c>
      <c r="I109" s="127">
        <f>IF('F_Input Override'!I109="",'Consolidated Input'!I109,('F_Input Override'!I109))</f>
        <v>0</v>
      </c>
      <c r="J109" s="127">
        <f>IF('F_Input Override'!J109="",'Consolidated Input'!J109,('F_Input Override'!J109))</f>
        <v>0</v>
      </c>
      <c r="K109" s="127">
        <f>IF('F_Input Override'!K109="",'Consolidated Input'!K109,('F_Input Override'!K109))</f>
        <v>0</v>
      </c>
      <c r="L109" s="127">
        <f>IF('F_Input Override'!L109="",'Consolidated Input'!L109,('F_Input Override'!L109))</f>
        <v>0</v>
      </c>
      <c r="M109" s="128">
        <f t="shared" si="1"/>
        <v>0</v>
      </c>
    </row>
    <row r="110" spans="1:13" s="2" customFormat="1">
      <c r="A110" s="126" t="str">
        <f>'F_Input Override'!A110</f>
        <v>WSX</v>
      </c>
      <c r="B110" s="126" t="str">
        <f>'F_Input Override'!B110</f>
        <v>CWW12_053TOT_PR24</v>
      </c>
      <c r="C110" s="126" t="str">
        <f>'F_Input Override'!C110</f>
        <v>EA/NRW environmental programme wastewater (WINEP/NEP) - Chemicals and emerging contaminants monitoring, investigations, options appraisals; (WINEP/NEP) wastewater opex - Total</v>
      </c>
      <c r="D110" s="126" t="str">
        <f>'F_Input Override'!D110</f>
        <v>£m</v>
      </c>
      <c r="E110" s="126" t="str">
        <f>'F_Input Override'!E110</f>
        <v>Price Review 2024</v>
      </c>
      <c r="F110" s="127">
        <f>IF('F_Input Override'!F110="",'Consolidated Input'!F110,('F_Input Override'!F110))</f>
        <v>0.187781</v>
      </c>
      <c r="G110" s="127">
        <f>IF('F_Input Override'!G110="",'Consolidated Input'!G110,('F_Input Override'!G110))</f>
        <v>0.70255299999999998</v>
      </c>
      <c r="H110" s="127">
        <f>IF('F_Input Override'!H110="",'Consolidated Input'!H110,('F_Input Override'!H110))</f>
        <v>0</v>
      </c>
      <c r="I110" s="127">
        <f>IF('F_Input Override'!I110="",'Consolidated Input'!I110,('F_Input Override'!I110))</f>
        <v>0</v>
      </c>
      <c r="J110" s="127">
        <f>IF('F_Input Override'!J110="",'Consolidated Input'!J110,('F_Input Override'!J110))</f>
        <v>0</v>
      </c>
      <c r="K110" s="127">
        <f>IF('F_Input Override'!K110="",'Consolidated Input'!K110,('F_Input Override'!K110))</f>
        <v>0</v>
      </c>
      <c r="L110" s="127">
        <f>IF('F_Input Override'!L110="",'Consolidated Input'!L110,('F_Input Override'!L110))</f>
        <v>0</v>
      </c>
      <c r="M110" s="128">
        <f t="shared" si="1"/>
        <v>0</v>
      </c>
    </row>
    <row r="111" spans="1:13" s="2" customFormat="1">
      <c r="A111" s="126" t="str">
        <f>'F_Input Override'!A111</f>
        <v>WSX</v>
      </c>
      <c r="B111" s="126" t="str">
        <f>'F_Input Override'!B111</f>
        <v>CWW17_053TOT_PR24</v>
      </c>
      <c r="C111" s="126" t="str">
        <f>'F_Input Override'!C111</f>
        <v>EA/NRW environmental programme wastewater (WINEP/NEP) - Chemicals and emerging contaminants monitoring, investigations, options appraisals; (WINEP/NEP) wastewater opex - Total</v>
      </c>
      <c r="D111" s="126" t="str">
        <f>'F_Input Override'!D111</f>
        <v>£m</v>
      </c>
      <c r="E111" s="126" t="str">
        <f>'F_Input Override'!E111</f>
        <v>Price Review 2024</v>
      </c>
      <c r="F111" s="127">
        <f>IF('F_Input Override'!F111="",'Consolidated Input'!F111,('F_Input Override'!F111))</f>
        <v>0</v>
      </c>
      <c r="G111" s="127">
        <f>IF('F_Input Override'!G111="",'Consolidated Input'!G111,('F_Input Override'!G111))</f>
        <v>0</v>
      </c>
      <c r="H111" s="127">
        <f>IF('F_Input Override'!H111="",'Consolidated Input'!H111,('F_Input Override'!H111))</f>
        <v>0</v>
      </c>
      <c r="I111" s="127">
        <f>IF('F_Input Override'!I111="",'Consolidated Input'!I111,('F_Input Override'!I111))</f>
        <v>0</v>
      </c>
      <c r="J111" s="127">
        <f>IF('F_Input Override'!J111="",'Consolidated Input'!J111,('F_Input Override'!J111))</f>
        <v>0</v>
      </c>
      <c r="K111" s="127">
        <f>IF('F_Input Override'!K111="",'Consolidated Input'!K111,('F_Input Override'!K111))</f>
        <v>0</v>
      </c>
      <c r="L111" s="127">
        <f>IF('F_Input Override'!L111="",'Consolidated Input'!L111,('F_Input Override'!L111))</f>
        <v>0</v>
      </c>
      <c r="M111" s="128">
        <f t="shared" si="1"/>
        <v>0</v>
      </c>
    </row>
    <row r="112" spans="1:13" s="2" customFormat="1">
      <c r="A112" s="126" t="str">
        <f>'F_Input Override'!A112</f>
        <v>WSX</v>
      </c>
      <c r="B112" s="126" t="str">
        <f>'F_Input Override'!B112</f>
        <v>CWW12_054TOT_PR24</v>
      </c>
      <c r="C112" s="126" t="str">
        <f>'F_Input Override'!C112</f>
        <v>EA/NRW environmental programme wastewater (WINEP/NEP) - Chemicals and emerging contaminants monitoring, investigations, options appraisals; (WINEP/NEP) wastewater totex - Total</v>
      </c>
      <c r="D112" s="126" t="str">
        <f>'F_Input Override'!D112</f>
        <v>£m</v>
      </c>
      <c r="E112" s="126" t="str">
        <f>'F_Input Override'!E112</f>
        <v>Price Review 2024</v>
      </c>
      <c r="F112" s="127">
        <f>IF('F_Input Override'!F112="",'Consolidated Input'!F112,('F_Input Override'!F112))</f>
        <v>0.187781</v>
      </c>
      <c r="G112" s="127">
        <f>IF('F_Input Override'!G112="",'Consolidated Input'!G112,('F_Input Override'!G112))</f>
        <v>0.73588399999999998</v>
      </c>
      <c r="H112" s="127">
        <f>IF('F_Input Override'!H112="",'Consolidated Input'!H112,('F_Input Override'!H112))</f>
        <v>0</v>
      </c>
      <c r="I112" s="127">
        <f>IF('F_Input Override'!I112="",'Consolidated Input'!I112,('F_Input Override'!I112))</f>
        <v>0</v>
      </c>
      <c r="J112" s="127">
        <f>IF('F_Input Override'!J112="",'Consolidated Input'!J112,('F_Input Override'!J112))</f>
        <v>0</v>
      </c>
      <c r="K112" s="127">
        <f>IF('F_Input Override'!K112="",'Consolidated Input'!K112,('F_Input Override'!K112))</f>
        <v>0</v>
      </c>
      <c r="L112" s="127">
        <f>IF('F_Input Override'!L112="",'Consolidated Input'!L112,('F_Input Override'!L112))</f>
        <v>0</v>
      </c>
      <c r="M112" s="128">
        <f t="shared" si="1"/>
        <v>0</v>
      </c>
    </row>
    <row r="113" spans="1:13" s="2" customFormat="1">
      <c r="A113" s="126" t="str">
        <f>'F_Input Override'!A113</f>
        <v>WSX</v>
      </c>
      <c r="B113" s="126" t="str">
        <f>'F_Input Override'!B113</f>
        <v>CWW17_054TOT_PR24</v>
      </c>
      <c r="C113" s="126" t="str">
        <f>'F_Input Override'!C113</f>
        <v>EA/NRW environmental programme wastewater (WINEP/NEP) - Chemicals and emerging contaminants monitoring, investigations, options appraisals; (WINEP/NEP) wastewater totex - Total</v>
      </c>
      <c r="D113" s="126" t="str">
        <f>'F_Input Override'!D113</f>
        <v>£m</v>
      </c>
      <c r="E113" s="126" t="str">
        <f>'F_Input Override'!E113</f>
        <v>Price Review 2024</v>
      </c>
      <c r="F113" s="127">
        <f>IF('F_Input Override'!F113="",'Consolidated Input'!F113,('F_Input Override'!F113))</f>
        <v>0</v>
      </c>
      <c r="G113" s="127">
        <f>IF('F_Input Override'!G113="",'Consolidated Input'!G113,('F_Input Override'!G113))</f>
        <v>0</v>
      </c>
      <c r="H113" s="127">
        <f>IF('F_Input Override'!H113="",'Consolidated Input'!H113,('F_Input Override'!H113))</f>
        <v>0</v>
      </c>
      <c r="I113" s="127">
        <f>IF('F_Input Override'!I113="",'Consolidated Input'!I113,('F_Input Override'!I113))</f>
        <v>0</v>
      </c>
      <c r="J113" s="127">
        <f>IF('F_Input Override'!J113="",'Consolidated Input'!J113,('F_Input Override'!J113))</f>
        <v>0</v>
      </c>
      <c r="K113" s="127">
        <f>IF('F_Input Override'!K113="",'Consolidated Input'!K113,('F_Input Override'!K113))</f>
        <v>0</v>
      </c>
      <c r="L113" s="127">
        <f>IF('F_Input Override'!L113="",'Consolidated Input'!L113,('F_Input Override'!L113))</f>
        <v>0</v>
      </c>
      <c r="M113" s="128">
        <f t="shared" si="1"/>
        <v>0</v>
      </c>
    </row>
    <row r="114" spans="1:13" s="2" customFormat="1">
      <c r="A114" s="126" t="str">
        <f>'F_Input Override'!A114</f>
        <v>WSX</v>
      </c>
      <c r="B114" s="126" t="str">
        <f>'F_Input Override'!B114</f>
        <v>PR24_NETTOTEX_WASTE</v>
      </c>
      <c r="C114" s="126" t="str">
        <f>'F_Input Override'!C114</f>
        <v>PR24 BP Net totex - Total inc. accelerated &amp; transition costs</v>
      </c>
      <c r="D114" s="126" t="str">
        <f>'F_Input Override'!D114</f>
        <v>£m</v>
      </c>
      <c r="E114" s="126" t="str">
        <f>'F_Input Override'!E114</f>
        <v>Price Review 2024</v>
      </c>
      <c r="F114" s="127">
        <f>IF('F_Input Override'!F114="",'Consolidated Input'!F114,('F_Input Override'!F114))</f>
        <v>0</v>
      </c>
      <c r="G114" s="127">
        <f>IF('F_Input Override'!G114="",'Consolidated Input'!G114,('F_Input Override'!G114))</f>
        <v>0</v>
      </c>
      <c r="H114" s="127">
        <f>IF('F_Input Override'!H114="",'Consolidated Input'!H114,('F_Input Override'!H114))</f>
        <v>0</v>
      </c>
      <c r="I114" s="127">
        <f>IF('F_Input Override'!I114="",'Consolidated Input'!I114,('F_Input Override'!I114))</f>
        <v>0</v>
      </c>
      <c r="J114" s="127">
        <f>IF('F_Input Override'!J114="",'Consolidated Input'!J114,('F_Input Override'!J114))</f>
        <v>0</v>
      </c>
      <c r="K114" s="127">
        <f>IF('F_Input Override'!K114="",'Consolidated Input'!K114,('F_Input Override'!K114))</f>
        <v>0</v>
      </c>
      <c r="L114" s="127">
        <f>IF('F_Input Override'!L114="",'Consolidated Input'!L114,('F_Input Override'!L114))</f>
        <v>0</v>
      </c>
      <c r="M114" s="128">
        <f t="shared" si="1"/>
        <v>0</v>
      </c>
    </row>
    <row r="115" spans="1:13" s="2" customFormat="1">
      <c r="A115" s="126" t="str">
        <f>'F_Input Override'!A115</f>
        <v>YKY</v>
      </c>
      <c r="B115" s="126" t="str">
        <f>'F_Input Override'!B115</f>
        <v>CWW3_052TOT_PR24</v>
      </c>
      <c r="C115" s="126" t="str">
        <f>'F_Input Override'!C115</f>
        <v>EA/NRW environmental programme wastewater (WINEP/NEP) - Chemicals and emerging contaminants monitoring, investigations, options appraisals; (WINEP/NEP) wastewater capex - Total</v>
      </c>
      <c r="D115" s="126" t="str">
        <f>'F_Input Override'!D115</f>
        <v>£m</v>
      </c>
      <c r="E115" s="126" t="str">
        <f>'F_Input Override'!E115</f>
        <v>Price Review 2024</v>
      </c>
      <c r="F115" s="127">
        <f>IF('F_Input Override'!F115="",'Consolidated Input'!F115,('F_Input Override'!F115))</f>
        <v>0</v>
      </c>
      <c r="G115" s="127">
        <f>IF('F_Input Override'!G115="",'Consolidated Input'!G115,('F_Input Override'!G115))</f>
        <v>0</v>
      </c>
      <c r="H115" s="127">
        <f>IF('F_Input Override'!H115="",'Consolidated Input'!H115,('F_Input Override'!H115))</f>
        <v>1.0758399999999999</v>
      </c>
      <c r="I115" s="127">
        <f>IF('F_Input Override'!I115="",'Consolidated Input'!I115,('F_Input Override'!I115))</f>
        <v>1.012864</v>
      </c>
      <c r="J115" s="127">
        <f>IF('F_Input Override'!J115="",'Consolidated Input'!J115,('F_Input Override'!J115))</f>
        <v>0.75781120000000002</v>
      </c>
      <c r="K115" s="127">
        <f>IF('F_Input Override'!K115="",'Consolidated Input'!K115,('F_Input Override'!K115))</f>
        <v>0</v>
      </c>
      <c r="L115" s="127">
        <f>IF('F_Input Override'!L115="",'Consolidated Input'!L115,('F_Input Override'!L115))</f>
        <v>0</v>
      </c>
      <c r="M115" s="128">
        <f t="shared" si="1"/>
        <v>2.8465151999999998</v>
      </c>
    </row>
    <row r="116" spans="1:13" s="2" customFormat="1">
      <c r="A116" s="126" t="str">
        <f>'F_Input Override'!A116</f>
        <v>YKY</v>
      </c>
      <c r="B116" s="126" t="str">
        <f>'F_Input Override'!B116</f>
        <v>CWW3_053TOT_PR24</v>
      </c>
      <c r="C116" s="126" t="str">
        <f>'F_Input Override'!C116</f>
        <v>EA/NRW environmental programme wastewater (WINEP/NEP) - Chemicals and emerging contaminants monitoring, investigations, options appraisals; (WINEP/NEP) wastewater opex - Total</v>
      </c>
      <c r="D116" s="126" t="str">
        <f>'F_Input Override'!D116</f>
        <v>£m</v>
      </c>
      <c r="E116" s="126" t="str">
        <f>'F_Input Override'!E116</f>
        <v>Price Review 2024</v>
      </c>
      <c r="F116" s="127">
        <f>IF('F_Input Override'!F116="",'Consolidated Input'!F116,('F_Input Override'!F116))</f>
        <v>0</v>
      </c>
      <c r="G116" s="127">
        <f>IF('F_Input Override'!G116="",'Consolidated Input'!G116,('F_Input Override'!G116))</f>
        <v>0</v>
      </c>
      <c r="H116" s="127">
        <f>IF('F_Input Override'!H116="",'Consolidated Input'!H116,('F_Input Override'!H116))</f>
        <v>1.0978816</v>
      </c>
      <c r="I116" s="127">
        <f>IF('F_Input Override'!I116="",'Consolidated Input'!I116,('F_Input Override'!I116))</f>
        <v>0.93200000000000005</v>
      </c>
      <c r="J116" s="127">
        <f>IF('F_Input Override'!J116="",'Consolidated Input'!J116,('F_Input Override'!J116))</f>
        <v>9.4464000000000006E-2</v>
      </c>
      <c r="K116" s="127">
        <f>IF('F_Input Override'!K116="",'Consolidated Input'!K116,('F_Input Override'!K116))</f>
        <v>9.4E-2</v>
      </c>
      <c r="L116" s="127">
        <f>IF('F_Input Override'!L116="",'Consolidated Input'!L116,('F_Input Override'!L116))</f>
        <v>9.4E-2</v>
      </c>
      <c r="M116" s="128">
        <f t="shared" si="1"/>
        <v>2.3123455999999996</v>
      </c>
    </row>
    <row r="117" spans="1:13" s="2" customFormat="1">
      <c r="A117" s="126" t="str">
        <f>'F_Input Override'!A117</f>
        <v>YKY</v>
      </c>
      <c r="B117" s="126" t="str">
        <f>'F_Input Override'!B117</f>
        <v>CWW3_054TOT_PR24</v>
      </c>
      <c r="C117" s="126" t="str">
        <f>'F_Input Override'!C117</f>
        <v>EA/NRW environmental programme wastewater (WINEP/NEP) - Chemicals and emerging contaminants monitoring, investigations, options appraisals; (WINEP/NEP) wastewater totex - Total</v>
      </c>
      <c r="D117" s="126" t="str">
        <f>'F_Input Override'!D117</f>
        <v>£m</v>
      </c>
      <c r="E117" s="126" t="str">
        <f>'F_Input Override'!E117</f>
        <v>Price Review 2024</v>
      </c>
      <c r="F117" s="127">
        <f>IF('F_Input Override'!F117="",'Consolidated Input'!F117,('F_Input Override'!F117))</f>
        <v>0</v>
      </c>
      <c r="G117" s="127">
        <f>IF('F_Input Override'!G117="",'Consolidated Input'!G117,('F_Input Override'!G117))</f>
        <v>0</v>
      </c>
      <c r="H117" s="127">
        <f>IF('F_Input Override'!H117="",'Consolidated Input'!H117,('F_Input Override'!H117))</f>
        <v>2.1737215999999999</v>
      </c>
      <c r="I117" s="127">
        <f>IF('F_Input Override'!I117="",'Consolidated Input'!I117,('F_Input Override'!I117))</f>
        <v>1.9448639999999999</v>
      </c>
      <c r="J117" s="127">
        <f>IF('F_Input Override'!J117="",'Consolidated Input'!J117,('F_Input Override'!J117))</f>
        <v>0.85227520000000001</v>
      </c>
      <c r="K117" s="127">
        <f>IF('F_Input Override'!K117="",'Consolidated Input'!K117,('F_Input Override'!K117))</f>
        <v>9.4E-2</v>
      </c>
      <c r="L117" s="127">
        <f>IF('F_Input Override'!L117="",'Consolidated Input'!L117,('F_Input Override'!L117))</f>
        <v>9.4E-2</v>
      </c>
      <c r="M117" s="128">
        <f t="shared" si="1"/>
        <v>5.1588608000000002</v>
      </c>
    </row>
    <row r="118" spans="1:13" s="2" customFormat="1">
      <c r="A118" s="126" t="str">
        <f>'F_Input Override'!A118</f>
        <v>YKY</v>
      </c>
      <c r="B118" s="126" t="str">
        <f>'F_Input Override'!B118</f>
        <v>BN1603_PR24</v>
      </c>
      <c r="C118" s="126" t="str">
        <f>'F_Input Override'!C118</f>
        <v>Sewage treatment data - Current population equivalent served by STWs</v>
      </c>
      <c r="D118" s="126" t="str">
        <f>'F_Input Override'!D118</f>
        <v>000s</v>
      </c>
      <c r="E118" s="126" t="str">
        <f>'F_Input Override'!E118</f>
        <v>Price Review 2024</v>
      </c>
      <c r="F118" s="127">
        <f>IF('F_Input Override'!F118="",'Consolidated Input'!F118,('F_Input Override'!F118))</f>
        <v>5966.8530000000001</v>
      </c>
      <c r="G118" s="127">
        <f>IF('F_Input Override'!G118="",'Consolidated Input'!G118,('F_Input Override'!G118))</f>
        <v>5946.8819999999996</v>
      </c>
      <c r="H118" s="127">
        <f>IF('F_Input Override'!H118="",'Consolidated Input'!H118,('F_Input Override'!H118))</f>
        <v>5969.9725020951646</v>
      </c>
      <c r="I118" s="127">
        <f>IF('F_Input Override'!I118="",'Consolidated Input'!I118,('F_Input Override'!I118))</f>
        <v>5992.907411968441</v>
      </c>
      <c r="J118" s="127">
        <f>IF('F_Input Override'!J118="",'Consolidated Input'!J118,('F_Input Override'!J118))</f>
        <v>6019.89099514606</v>
      </c>
      <c r="K118" s="127">
        <f>IF('F_Input Override'!K118="",'Consolidated Input'!K118,('F_Input Override'!K118))</f>
        <v>6032.3946522192846</v>
      </c>
      <c r="L118" s="127">
        <f>IF('F_Input Override'!L118="",'Consolidated Input'!L118,('F_Input Override'!L118))</f>
        <v>6044.499924989088</v>
      </c>
      <c r="M118" s="128">
        <f t="shared" si="1"/>
        <v>30059.665486418038</v>
      </c>
    </row>
    <row r="119" spans="1:13" s="2" customFormat="1">
      <c r="A119" s="126" t="str">
        <f>'F_Input Override'!A119</f>
        <v>YKY</v>
      </c>
      <c r="B119" s="126" t="str">
        <f>'F_Input Override'!B119</f>
        <v>CWW12_052TOT_PR24</v>
      </c>
      <c r="C119" s="126" t="str">
        <f>'F_Input Override'!C119</f>
        <v>EA/NRW environmental programme wastewater (WINEP/NEP) - Chemicals and emerging contaminants monitoring, investigations, options appraisals; (WINEP/NEP) wastewater capex - Total</v>
      </c>
      <c r="D119" s="126" t="str">
        <f>'F_Input Override'!D119</f>
        <v>£m</v>
      </c>
      <c r="E119" s="126" t="str">
        <f>'F_Input Override'!E119</f>
        <v>Price Review 2024</v>
      </c>
      <c r="F119" s="127">
        <f>IF('F_Input Override'!F119="",'Consolidated Input'!F119,('F_Input Override'!F119))</f>
        <v>0</v>
      </c>
      <c r="G119" s="127">
        <f>IF('F_Input Override'!G119="",'Consolidated Input'!G119,('F_Input Override'!G119))</f>
        <v>0.41199999999999998</v>
      </c>
      <c r="H119" s="127">
        <f>IF('F_Input Override'!H119="",'Consolidated Input'!H119,('F_Input Override'!H119))</f>
        <v>0</v>
      </c>
      <c r="I119" s="127">
        <f>IF('F_Input Override'!I119="",'Consolidated Input'!I119,('F_Input Override'!I119))</f>
        <v>0</v>
      </c>
      <c r="J119" s="127">
        <f>IF('F_Input Override'!J119="",'Consolidated Input'!J119,('F_Input Override'!J119))</f>
        <v>0</v>
      </c>
      <c r="K119" s="127">
        <f>IF('F_Input Override'!K119="",'Consolidated Input'!K119,('F_Input Override'!K119))</f>
        <v>0</v>
      </c>
      <c r="L119" s="127">
        <f>IF('F_Input Override'!L119="",'Consolidated Input'!L119,('F_Input Override'!L119))</f>
        <v>0</v>
      </c>
      <c r="M119" s="128">
        <f t="shared" si="1"/>
        <v>0</v>
      </c>
    </row>
    <row r="120" spans="1:13" s="2" customFormat="1">
      <c r="A120" s="126" t="str">
        <f>'F_Input Override'!A120</f>
        <v>YKY</v>
      </c>
      <c r="B120" s="126" t="str">
        <f>'F_Input Override'!B120</f>
        <v>CWW17_052TOT_PR24</v>
      </c>
      <c r="C120" s="126" t="str">
        <f>'F_Input Override'!C120</f>
        <v>EA/NRW environmental programme wastewater (WINEP/NEP) - Chemicals and emerging contaminants monitoring, investigations, options appraisals; (WINEP/NEP) wastewater capex - Total</v>
      </c>
      <c r="D120" s="126" t="str">
        <f>'F_Input Override'!D120</f>
        <v>£m</v>
      </c>
      <c r="E120" s="126" t="str">
        <f>'F_Input Override'!E120</f>
        <v>Price Review 2024</v>
      </c>
      <c r="F120" s="127">
        <f>IF('F_Input Override'!F120="",'Consolidated Input'!F120,('F_Input Override'!F120))</f>
        <v>0</v>
      </c>
      <c r="G120" s="127">
        <f>IF('F_Input Override'!G120="",'Consolidated Input'!G120,('F_Input Override'!G120))</f>
        <v>0</v>
      </c>
      <c r="H120" s="127">
        <f>IF('F_Input Override'!H120="",'Consolidated Input'!H120,('F_Input Override'!H120))</f>
        <v>0</v>
      </c>
      <c r="I120" s="127">
        <f>IF('F_Input Override'!I120="",'Consolidated Input'!I120,('F_Input Override'!I120))</f>
        <v>0</v>
      </c>
      <c r="J120" s="127">
        <f>IF('F_Input Override'!J120="",'Consolidated Input'!J120,('F_Input Override'!J120))</f>
        <v>0</v>
      </c>
      <c r="K120" s="127">
        <f>IF('F_Input Override'!K120="",'Consolidated Input'!K120,('F_Input Override'!K120))</f>
        <v>0</v>
      </c>
      <c r="L120" s="127">
        <f>IF('F_Input Override'!L120="",'Consolidated Input'!L120,('F_Input Override'!L120))</f>
        <v>0</v>
      </c>
      <c r="M120" s="128">
        <f t="shared" si="1"/>
        <v>0</v>
      </c>
    </row>
    <row r="121" spans="1:13" s="2" customFormat="1">
      <c r="A121" s="126" t="str">
        <f>'F_Input Override'!A121</f>
        <v>YKY</v>
      </c>
      <c r="B121" s="126" t="str">
        <f>'F_Input Override'!B121</f>
        <v>CWW12_053TOT_PR24</v>
      </c>
      <c r="C121" s="126" t="str">
        <f>'F_Input Override'!C121</f>
        <v>EA/NRW environmental programme wastewater (WINEP/NEP) - Chemicals and emerging contaminants monitoring, investigations, options appraisals; (WINEP/NEP) wastewater opex - Total</v>
      </c>
      <c r="D121" s="126" t="str">
        <f>'F_Input Override'!D121</f>
        <v>£m</v>
      </c>
      <c r="E121" s="126" t="str">
        <f>'F_Input Override'!E121</f>
        <v>Price Review 2024</v>
      </c>
      <c r="F121" s="127">
        <f>IF('F_Input Override'!F121="",'Consolidated Input'!F121,('F_Input Override'!F121))</f>
        <v>0</v>
      </c>
      <c r="G121" s="127">
        <f>IF('F_Input Override'!G121="",'Consolidated Input'!G121,('F_Input Override'!G121))</f>
        <v>0</v>
      </c>
      <c r="H121" s="127">
        <f>IF('F_Input Override'!H121="",'Consolidated Input'!H121,('F_Input Override'!H121))</f>
        <v>0</v>
      </c>
      <c r="I121" s="127">
        <f>IF('F_Input Override'!I121="",'Consolidated Input'!I121,('F_Input Override'!I121))</f>
        <v>0</v>
      </c>
      <c r="J121" s="127">
        <f>IF('F_Input Override'!J121="",'Consolidated Input'!J121,('F_Input Override'!J121))</f>
        <v>0</v>
      </c>
      <c r="K121" s="127">
        <f>IF('F_Input Override'!K121="",'Consolidated Input'!K121,('F_Input Override'!K121))</f>
        <v>0</v>
      </c>
      <c r="L121" s="127">
        <f>IF('F_Input Override'!L121="",'Consolidated Input'!L121,('F_Input Override'!L121))</f>
        <v>0</v>
      </c>
      <c r="M121" s="128">
        <f t="shared" si="1"/>
        <v>0</v>
      </c>
    </row>
    <row r="122" spans="1:13" s="2" customFormat="1">
      <c r="A122" s="126" t="str">
        <f>'F_Input Override'!A122</f>
        <v>YKY</v>
      </c>
      <c r="B122" s="126" t="str">
        <f>'F_Input Override'!B122</f>
        <v>CWW17_053TOT_PR24</v>
      </c>
      <c r="C122" s="126" t="str">
        <f>'F_Input Override'!C122</f>
        <v>EA/NRW environmental programme wastewater (WINEP/NEP) - Chemicals and emerging contaminants monitoring, investigations, options appraisals; (WINEP/NEP) wastewater opex - Total</v>
      </c>
      <c r="D122" s="126" t="str">
        <f>'F_Input Override'!D122</f>
        <v>£m</v>
      </c>
      <c r="E122" s="126" t="str">
        <f>'F_Input Override'!E122</f>
        <v>Price Review 2024</v>
      </c>
      <c r="F122" s="127">
        <f>IF('F_Input Override'!F122="",'Consolidated Input'!F122,('F_Input Override'!F122))</f>
        <v>0</v>
      </c>
      <c r="G122" s="127">
        <f>IF('F_Input Override'!G122="",'Consolidated Input'!G122,('F_Input Override'!G122))</f>
        <v>0</v>
      </c>
      <c r="H122" s="127">
        <f>IF('F_Input Override'!H122="",'Consolidated Input'!H122,('F_Input Override'!H122))</f>
        <v>0</v>
      </c>
      <c r="I122" s="127">
        <f>IF('F_Input Override'!I122="",'Consolidated Input'!I122,('F_Input Override'!I122))</f>
        <v>0</v>
      </c>
      <c r="J122" s="127">
        <f>IF('F_Input Override'!J122="",'Consolidated Input'!J122,('F_Input Override'!J122))</f>
        <v>0</v>
      </c>
      <c r="K122" s="127">
        <f>IF('F_Input Override'!K122="",'Consolidated Input'!K122,('F_Input Override'!K122))</f>
        <v>0</v>
      </c>
      <c r="L122" s="127">
        <f>IF('F_Input Override'!L122="",'Consolidated Input'!L122,('F_Input Override'!L122))</f>
        <v>0</v>
      </c>
      <c r="M122" s="128">
        <f t="shared" si="1"/>
        <v>0</v>
      </c>
    </row>
    <row r="123" spans="1:13" s="2" customFormat="1">
      <c r="A123" s="126" t="str">
        <f>'F_Input Override'!A123</f>
        <v>YKY</v>
      </c>
      <c r="B123" s="126" t="str">
        <f>'F_Input Override'!B123</f>
        <v>CWW12_054TOT_PR24</v>
      </c>
      <c r="C123" s="126" t="str">
        <f>'F_Input Override'!C123</f>
        <v>EA/NRW environmental programme wastewater (WINEP/NEP) - Chemicals and emerging contaminants monitoring, investigations, options appraisals; (WINEP/NEP) wastewater totex - Total</v>
      </c>
      <c r="D123" s="126" t="str">
        <f>'F_Input Override'!D123</f>
        <v>£m</v>
      </c>
      <c r="E123" s="126" t="str">
        <f>'F_Input Override'!E123</f>
        <v>Price Review 2024</v>
      </c>
      <c r="F123" s="127">
        <f>IF('F_Input Override'!F123="",'Consolidated Input'!F123,('F_Input Override'!F123))</f>
        <v>0</v>
      </c>
      <c r="G123" s="127">
        <f>IF('F_Input Override'!G123="",'Consolidated Input'!G123,('F_Input Override'!G123))</f>
        <v>0.41199999999999998</v>
      </c>
      <c r="H123" s="127">
        <f>IF('F_Input Override'!H123="",'Consolidated Input'!H123,('F_Input Override'!H123))</f>
        <v>0</v>
      </c>
      <c r="I123" s="127">
        <f>IF('F_Input Override'!I123="",'Consolidated Input'!I123,('F_Input Override'!I123))</f>
        <v>0</v>
      </c>
      <c r="J123" s="127">
        <f>IF('F_Input Override'!J123="",'Consolidated Input'!J123,('F_Input Override'!J123))</f>
        <v>0</v>
      </c>
      <c r="K123" s="127">
        <f>IF('F_Input Override'!K123="",'Consolidated Input'!K123,('F_Input Override'!K123))</f>
        <v>0</v>
      </c>
      <c r="L123" s="127">
        <f>IF('F_Input Override'!L123="",'Consolidated Input'!L123,('F_Input Override'!L123))</f>
        <v>0</v>
      </c>
      <c r="M123" s="128">
        <f t="shared" si="1"/>
        <v>0</v>
      </c>
    </row>
    <row r="124" spans="1:13" s="2" customFormat="1">
      <c r="A124" s="126" t="str">
        <f>'F_Input Override'!A124</f>
        <v>YKY</v>
      </c>
      <c r="B124" s="126" t="str">
        <f>'F_Input Override'!B124</f>
        <v>CWW17_054TOT_PR24</v>
      </c>
      <c r="C124" s="126" t="str">
        <f>'F_Input Override'!C124</f>
        <v>EA/NRW environmental programme wastewater (WINEP/NEP) - Chemicals and emerging contaminants monitoring, investigations, options appraisals; (WINEP/NEP) wastewater totex - Total</v>
      </c>
      <c r="D124" s="126" t="str">
        <f>'F_Input Override'!D124</f>
        <v>£m</v>
      </c>
      <c r="E124" s="126" t="str">
        <f>'F_Input Override'!E124</f>
        <v>Price Review 2024</v>
      </c>
      <c r="F124" s="127">
        <f>IF('F_Input Override'!F124="",'Consolidated Input'!F124,('F_Input Override'!F124))</f>
        <v>0</v>
      </c>
      <c r="G124" s="127">
        <f>IF('F_Input Override'!G124="",'Consolidated Input'!G124,('F_Input Override'!G124))</f>
        <v>0</v>
      </c>
      <c r="H124" s="127">
        <f>IF('F_Input Override'!H124="",'Consolidated Input'!H124,('F_Input Override'!H124))</f>
        <v>0</v>
      </c>
      <c r="I124" s="127">
        <f>IF('F_Input Override'!I124="",'Consolidated Input'!I124,('F_Input Override'!I124))</f>
        <v>0</v>
      </c>
      <c r="J124" s="127">
        <f>IF('F_Input Override'!J124="",'Consolidated Input'!J124,('F_Input Override'!J124))</f>
        <v>0</v>
      </c>
      <c r="K124" s="127">
        <f>IF('F_Input Override'!K124="",'Consolidated Input'!K124,('F_Input Override'!K124))</f>
        <v>0</v>
      </c>
      <c r="L124" s="127">
        <f>IF('F_Input Override'!L124="",'Consolidated Input'!L124,('F_Input Override'!L124))</f>
        <v>0</v>
      </c>
      <c r="M124" s="128">
        <f t="shared" si="1"/>
        <v>0</v>
      </c>
    </row>
    <row r="125" spans="1:13" s="2" customFormat="1">
      <c r="A125" s="126" t="str">
        <f>'F_Input Override'!A125</f>
        <v>YKY</v>
      </c>
      <c r="B125" s="126" t="str">
        <f>'F_Input Override'!B125</f>
        <v>PR24_NETTOTEX_WASTE</v>
      </c>
      <c r="C125" s="126" t="str">
        <f>'F_Input Override'!C125</f>
        <v>PR24 BP Net totex - Total inc. accelerated &amp; transition costs</v>
      </c>
      <c r="D125" s="126" t="str">
        <f>'F_Input Override'!D125</f>
        <v>£m</v>
      </c>
      <c r="E125" s="126" t="str">
        <f>'F_Input Override'!E125</f>
        <v>Price Review 2024</v>
      </c>
      <c r="F125" s="127">
        <f>IF('F_Input Override'!F125="",'Consolidated Input'!F125,('F_Input Override'!F125))</f>
        <v>0</v>
      </c>
      <c r="G125" s="127">
        <f>IF('F_Input Override'!G125="",'Consolidated Input'!G125,('F_Input Override'!G125))</f>
        <v>0</v>
      </c>
      <c r="H125" s="127">
        <f>IF('F_Input Override'!H125="",'Consolidated Input'!H125,('F_Input Override'!H125))</f>
        <v>0</v>
      </c>
      <c r="I125" s="127">
        <f>IF('F_Input Override'!I125="",'Consolidated Input'!I125,('F_Input Override'!I125))</f>
        <v>0</v>
      </c>
      <c r="J125" s="127">
        <f>IF('F_Input Override'!J125="",'Consolidated Input'!J125,('F_Input Override'!J125))</f>
        <v>0</v>
      </c>
      <c r="K125" s="127">
        <f>IF('F_Input Override'!K125="",'Consolidated Input'!K125,('F_Input Override'!K125))</f>
        <v>0</v>
      </c>
      <c r="L125" s="127">
        <f>IF('F_Input Override'!L125="",'Consolidated Input'!L125,('F_Input Override'!L125))</f>
        <v>0</v>
      </c>
      <c r="M125" s="128">
        <f t="shared" si="1"/>
        <v>0</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6324-51BA-4A25-8A25-08D08D8B5ADD}">
  <sheetPr>
    <tabColor rgb="FFFFDB8E"/>
  </sheetPr>
  <dimension ref="A1:L62"/>
  <sheetViews>
    <sheetView zoomScale="80" zoomScaleNormal="80" workbookViewId="0"/>
  </sheetViews>
  <sheetFormatPr defaultRowHeight="12.75"/>
  <cols>
    <col min="1" max="1" width="21.28515625" style="21" customWidth="1"/>
    <col min="2" max="10" width="20.5703125" customWidth="1"/>
    <col min="11" max="11" width="15.7109375" customWidth="1"/>
    <col min="12" max="12" width="19" customWidth="1"/>
  </cols>
  <sheetData>
    <row r="1" spans="1:12" ht="31.5">
      <c r="A1" s="1" t="str">
        <f ca="1" xml:space="preserve"> RIGHT(CELL("filename", $A$1), LEN(CELL("filename", $A$1)) - SEARCH("]", CELL("filename", $A$1)))</f>
        <v>Data_final_model_format</v>
      </c>
      <c r="B1" s="1"/>
      <c r="C1" s="1"/>
      <c r="D1" s="1"/>
      <c r="E1" s="1"/>
      <c r="F1" s="1"/>
      <c r="G1" s="1"/>
      <c r="H1" s="1"/>
      <c r="I1" s="1"/>
      <c r="J1" s="1"/>
      <c r="K1" s="1"/>
      <c r="L1" s="1"/>
    </row>
    <row r="2" spans="1:12">
      <c r="C2" t="s">
        <v>82</v>
      </c>
    </row>
    <row r="3" spans="1:12">
      <c r="C3" t="s">
        <v>91</v>
      </c>
    </row>
    <row r="4" spans="1:12">
      <c r="A4" s="131"/>
      <c r="B4" s="2" t="s">
        <v>71</v>
      </c>
      <c r="C4" t="s">
        <v>92</v>
      </c>
      <c r="D4" s="2"/>
      <c r="E4" s="2"/>
      <c r="F4" s="2"/>
      <c r="G4" s="2"/>
      <c r="H4" s="2"/>
      <c r="I4" s="2"/>
      <c r="J4" s="2"/>
      <c r="K4" s="2"/>
      <c r="L4" s="2" t="s">
        <v>85</v>
      </c>
    </row>
    <row r="5" spans="1:12">
      <c r="A5" s="215"/>
      <c r="B5" s="216" t="s">
        <v>93</v>
      </c>
      <c r="C5" s="216"/>
      <c r="D5" s="216" t="s">
        <v>83</v>
      </c>
      <c r="E5" s="217"/>
      <c r="F5" s="217"/>
      <c r="G5" s="217"/>
      <c r="H5" s="217"/>
      <c r="I5" s="217"/>
      <c r="J5" s="217"/>
      <c r="K5" s="217"/>
      <c r="L5" s="216" t="s">
        <v>84</v>
      </c>
    </row>
    <row r="6" spans="1:12" ht="99.75" customHeight="1">
      <c r="A6" s="218" t="s">
        <v>52</v>
      </c>
      <c r="B6" s="219" t="s">
        <v>110</v>
      </c>
      <c r="C6" s="220" t="s">
        <v>111</v>
      </c>
      <c r="D6" s="221" t="s">
        <v>64</v>
      </c>
      <c r="E6" s="221" t="s">
        <v>65</v>
      </c>
      <c r="F6" s="221" t="s">
        <v>66</v>
      </c>
      <c r="G6" s="221" t="s">
        <v>67</v>
      </c>
      <c r="H6" s="221" t="s">
        <v>68</v>
      </c>
      <c r="I6" s="221" t="s">
        <v>69</v>
      </c>
      <c r="J6" s="221" t="s">
        <v>70</v>
      </c>
      <c r="K6" s="220" t="s">
        <v>112</v>
      </c>
      <c r="L6" s="222" t="s">
        <v>113</v>
      </c>
    </row>
    <row r="7" spans="1:12">
      <c r="A7" s="11" t="s">
        <v>75</v>
      </c>
      <c r="B7" s="139" cm="1">
        <f t="array" ref="B7">INDEX(F_Inputs!$F$7:$M$127,MATCH(Data_final_model_format!$A7&amp;Data_final_model_format!$B$5,F_Inputs!$A$7:$A$127&amp;F_Inputs!$B$7:$B$127,0),MATCH(Data_final_model_format!$B$4,F_Inputs!$F$2:$M$2))</f>
        <v>6050.1791019508782</v>
      </c>
      <c r="C7" s="140">
        <f>SUMIFS(F_Inputs_adjusted!$U$8:$U$128,F_Inputs_adjusted!$B$8:$B$128,Data_final_model_format!$C$2,F_Inputs_adjusted!$A$8:$A$128,Data_final_model_format!$A7)+SUMIFS(F_Inputs_adjusted!$U$8:$U$128,F_Inputs_adjusted!$B$8:$B$128,Data_final_model_format!$C$3,F_Inputs_adjusted!$A$8:$A$128,Data_final_model_format!$A7)+SUMIFS(F_Inputs_adjusted!$U$8:$U$128,F_Inputs_adjusted!$B$8:$B$128,Data_final_model_format!$C$4,F_Inputs_adjusted!$A$8:$A$128,Data_final_model_format!$A7)</f>
        <v>25.616999999999997</v>
      </c>
      <c r="D7" s="140">
        <f ca="1">SUMIFS('Final Input'!F:F,'Final Input'!$A:$A,$A7,'Final Input'!$C:$C,$D$5)</f>
        <v>1.9E-2</v>
      </c>
      <c r="E7" s="140">
        <f ca="1">SUMIFS('Final Input'!G:G,'Final Input'!$A:$A,$A7,'Final Input'!$C:$C,$D$5)</f>
        <v>1.7999999999999999E-2</v>
      </c>
      <c r="F7" s="140">
        <f ca="1">SUMIFS('Final Input'!H:H,'Final Input'!$A:$A,$A7,'Final Input'!$C:$C,$D$5)</f>
        <v>4.6470000000000002</v>
      </c>
      <c r="G7" s="140">
        <f ca="1">SUMIFS('Final Input'!I:I,'Final Input'!$A:$A,$A7,'Final Input'!$C:$C,$D$5)</f>
        <v>6.5570000000000004</v>
      </c>
      <c r="H7" s="140">
        <f ca="1">SUMIFS('Final Input'!J:J,'Final Input'!$A:$A,$A7,'Final Input'!$C:$C,$D$5)</f>
        <v>4.6680000000000001</v>
      </c>
      <c r="I7" s="140">
        <f ca="1">SUMIFS('Final Input'!K:K,'Final Input'!$A:$A,$A7,'Final Input'!$C:$C,$D$5)</f>
        <v>4.6769999999999996</v>
      </c>
      <c r="J7" s="140">
        <f ca="1">SUMIFS('Final Input'!L:L,'Final Input'!$A:$A,$A7,'Final Input'!$C:$C,$D$5)</f>
        <v>5.0309999999999997</v>
      </c>
      <c r="K7" s="141">
        <f ca="1">SUM(D7:J7)</f>
        <v>25.616999999999997</v>
      </c>
      <c r="L7" s="203" cm="1">
        <f t="array" aca="1" ref="L7" ca="1">_xlfn.XLOOKUP(Data_final_model_format!$A7&amp;$L$4,'Final Input'!$A:$A&amp;'Final Input'!$C:$C,'Final Input'!$F:$F)</f>
        <v>7392.8429999999998</v>
      </c>
    </row>
    <row r="8" spans="1:12">
      <c r="A8" s="9" t="s">
        <v>95</v>
      </c>
      <c r="B8" s="132" cm="1">
        <f t="array" ref="B8">INDEX(F_Inputs!$F$7:$M$127,MATCH(Data_final_model_format!$A8&amp;Data_final_model_format!$B$5,F_Inputs!$A$7:$A$127&amp;F_Inputs!$B$7:$B$127,0),MATCH(Data_final_model_format!$B$4,F_Inputs!$F$2:$M$2))</f>
        <v>3318.1690000000003</v>
      </c>
      <c r="C8" s="140">
        <f>SUMIFS(F_Inputs_adjusted!$U$8:$U$128,F_Inputs_adjusted!$B$8:$B$128,Data_final_model_format!$C$2,F_Inputs_adjusted!$A$8:$A$128,Data_final_model_format!$A8)+SUMIFS(F_Inputs_adjusted!$U$8:$U$128,F_Inputs_adjusted!$B$8:$B$128,Data_final_model_format!$C$3,F_Inputs_adjusted!$A$8:$A$128,Data_final_model_format!$A8)+SUMIFS(F_Inputs_adjusted!$U$8:$U$128,F_Inputs_adjusted!$B$8:$B$128,Data_final_model_format!$C$4,F_Inputs_adjusted!$A$8:$A$128,Data_final_model_format!$A8)</f>
        <v>3.0489999999999999</v>
      </c>
      <c r="D8" s="133">
        <f ca="1">SUMIFS('Final Input'!F:F,'Final Input'!$A:$A,$A8,'Final Input'!$C:$C,$D$5)</f>
        <v>0</v>
      </c>
      <c r="E8" s="133">
        <f ca="1">SUMIFS('Final Input'!G:G,'Final Input'!$A:$A,$A8,'Final Input'!$C:$C,$D$5)</f>
        <v>0</v>
      </c>
      <c r="F8" s="133">
        <f ca="1">SUMIFS('Final Input'!H:H,'Final Input'!$A:$A,$A8,'Final Input'!$C:$C,$D$5)</f>
        <v>1.3959999999999999</v>
      </c>
      <c r="G8" s="133">
        <f ca="1">SUMIFS('Final Input'!I:I,'Final Input'!$A:$A,$A8,'Final Input'!$C:$C,$D$5)</f>
        <v>1.3560000000000001</v>
      </c>
      <c r="H8" s="133">
        <f ca="1">SUMIFS('Final Input'!J:J,'Final Input'!$A:$A,$A8,'Final Input'!$C:$C,$D$5)</f>
        <v>0</v>
      </c>
      <c r="I8" s="133">
        <f ca="1">SUMIFS('Final Input'!K:K,'Final Input'!$A:$A,$A8,'Final Input'!$C:$C,$D$5)</f>
        <v>0</v>
      </c>
      <c r="J8" s="133">
        <f ca="1">SUMIFS('Final Input'!L:L,'Final Input'!$A:$A,$A8,'Final Input'!$C:$C,$D$5)</f>
        <v>0</v>
      </c>
      <c r="K8" s="89">
        <f ca="1">SUM(D8:J8)</f>
        <v>2.7519999999999998</v>
      </c>
      <c r="L8" s="203" cm="1">
        <f t="array" aca="1" ref="L8" ca="1">_xlfn.XLOOKUP(Data_final_model_format!$A8&amp;$L$4,'Final Input'!$A:$A&amp;'Final Input'!$C:$C,'Final Input'!$F:$F)</f>
        <v>3946.3209999999999</v>
      </c>
    </row>
    <row r="9" spans="1:12">
      <c r="A9" s="9" t="s">
        <v>96</v>
      </c>
      <c r="B9" s="132" cm="1">
        <f t="array" ref="B9">INDEX(F_Inputs!$F$7:$M$127,MATCH(Data_final_model_format!$A9&amp;Data_final_model_format!$B$5,F_Inputs!$A$7:$A$127&amp;F_Inputs!$B$7:$B$127,0),MATCH(Data_final_model_format!$B$4,F_Inputs!$F$2:$M$2))</f>
        <v>61.302812018456414</v>
      </c>
      <c r="C9" s="140">
        <f>SUMIFS(F_Inputs_adjusted!$U$8:$U$128,F_Inputs_adjusted!$B$8:$B$128,Data_final_model_format!$C$2,F_Inputs_adjusted!$A$8:$A$128,Data_final_model_format!$A9)+SUMIFS(F_Inputs_adjusted!$U$8:$U$128,F_Inputs_adjusted!$B$8:$B$128,Data_final_model_format!$C$3,F_Inputs_adjusted!$A$8:$A$128,Data_final_model_format!$A9)+SUMIFS(F_Inputs_adjusted!$U$8:$U$128,F_Inputs_adjusted!$B$8:$B$128,Data_final_model_format!$C$4,F_Inputs_adjusted!$A$8:$A$128,Data_final_model_format!$A9)</f>
        <v>0</v>
      </c>
      <c r="D9" s="133">
        <f ca="1">SUMIFS('Final Input'!F:F,'Final Input'!$A:$A,$A9,'Final Input'!$C:$C,$D$5)</f>
        <v>0</v>
      </c>
      <c r="E9" s="133">
        <f ca="1">SUMIFS('Final Input'!G:G,'Final Input'!$A:$A,$A9,'Final Input'!$C:$C,$D$5)</f>
        <v>0</v>
      </c>
      <c r="F9" s="133">
        <f ca="1">SUMIFS('Final Input'!H:H,'Final Input'!$A:$A,$A9,'Final Input'!$C:$C,$D$5)</f>
        <v>0</v>
      </c>
      <c r="G9" s="133">
        <f ca="1">SUMIFS('Final Input'!I:I,'Final Input'!$A:$A,$A9,'Final Input'!$C:$C,$D$5)</f>
        <v>0</v>
      </c>
      <c r="H9" s="133">
        <f ca="1">SUMIFS('Final Input'!J:J,'Final Input'!$A:$A,$A9,'Final Input'!$C:$C,$D$5)</f>
        <v>0</v>
      </c>
      <c r="I9" s="133">
        <f ca="1">SUMIFS('Final Input'!K:K,'Final Input'!$A:$A,$A9,'Final Input'!$C:$C,$D$5)</f>
        <v>0</v>
      </c>
      <c r="J9" s="133">
        <f ca="1">SUMIFS('Final Input'!L:L,'Final Input'!$A:$A,$A9,'Final Input'!$C:$C,$D$5)</f>
        <v>0</v>
      </c>
      <c r="K9" s="89">
        <f ca="1">SUM(D9:J9)</f>
        <v>0</v>
      </c>
      <c r="L9" s="203" cm="1">
        <f t="array" aca="1" ref="L9" ca="1">_xlfn.XLOOKUP(Data_final_model_format!$A9&amp;$L$4,'Final Input'!$A:$A&amp;'Final Input'!$C:$C,'Final Input'!$F:$F)</f>
        <v>44.999000000000002</v>
      </c>
    </row>
    <row r="10" spans="1:12">
      <c r="A10" s="9" t="s">
        <v>97</v>
      </c>
      <c r="B10" s="132" cm="1">
        <f t="array" ref="B10">INDEX(F_Inputs!$F$7:$M$127,MATCH(Data_final_model_format!$A10&amp;Data_final_model_format!$B$5,F_Inputs!$A$7:$A$127&amp;F_Inputs!$B$7:$B$127,0),MATCH(Data_final_model_format!$B$4,F_Inputs!$F$2:$M$2))</f>
        <v>3207.9274023759344</v>
      </c>
      <c r="C10" s="140">
        <f>SUMIFS(F_Inputs_adjusted!$U$8:$U$128,F_Inputs_adjusted!$B$8:$B$128,Data_final_model_format!$C$2,F_Inputs_adjusted!$A$8:$A$128,Data_final_model_format!$A10)+SUMIFS(F_Inputs_adjusted!$U$8:$U$128,F_Inputs_adjusted!$B$8:$B$128,Data_final_model_format!$C$3,F_Inputs_adjusted!$A$8:$A$128,Data_final_model_format!$A10)+SUMIFS(F_Inputs_adjusted!$U$8:$U$128,F_Inputs_adjusted!$B$8:$B$128,Data_final_model_format!$C$4,F_Inputs_adjusted!$A$8:$A$128,Data_final_model_format!$A10)</f>
        <v>5.2639999999999993</v>
      </c>
      <c r="D10" s="133">
        <f ca="1">SUMIFS('Final Input'!F:F,'Final Input'!$A:$A,$A10,'Final Input'!$C:$C,$D$5)</f>
        <v>0.03</v>
      </c>
      <c r="E10" s="133">
        <f ca="1">SUMIFS('Final Input'!G:G,'Final Input'!$A:$A,$A10,'Final Input'!$C:$C,$D$5)</f>
        <v>0.03</v>
      </c>
      <c r="F10" s="133">
        <f ca="1">SUMIFS('Final Input'!H:H,'Final Input'!$A:$A,$A10,'Final Input'!$C:$C,$D$5)</f>
        <v>2.6019999999999999</v>
      </c>
      <c r="G10" s="133">
        <f ca="1">SUMIFS('Final Input'!I:I,'Final Input'!$A:$A,$A10,'Final Input'!$C:$C,$D$5)</f>
        <v>2.6019999999999999</v>
      </c>
      <c r="H10" s="133">
        <f ca="1">SUMIFS('Final Input'!J:J,'Final Input'!$A:$A,$A10,'Final Input'!$C:$C,$D$5)</f>
        <v>0</v>
      </c>
      <c r="I10" s="133">
        <f ca="1">SUMIFS('Final Input'!K:K,'Final Input'!$A:$A,$A10,'Final Input'!$C:$C,$D$5)</f>
        <v>0</v>
      </c>
      <c r="J10" s="133">
        <f ca="1">SUMIFS('Final Input'!L:L,'Final Input'!$A:$A,$A10,'Final Input'!$C:$C,$D$5)</f>
        <v>0</v>
      </c>
      <c r="K10" s="89">
        <f t="shared" ref="K10:K17" ca="1" si="0">SUM(D10:J10)</f>
        <v>5.2639999999999993</v>
      </c>
      <c r="L10" s="203" cm="1">
        <f t="array" aca="1" ref="L10" ca="1">_xlfn.XLOOKUP(Data_final_model_format!$A10&amp;$L$4,'Final Input'!$A:$A&amp;'Final Input'!$C:$C,'Final Input'!$F:$F)</f>
        <v>2832.5329999999999</v>
      </c>
    </row>
    <row r="11" spans="1:12">
      <c r="A11" s="9" t="s">
        <v>102</v>
      </c>
      <c r="B11" s="132" cm="1">
        <f t="array" ref="B11">INDEX(F_Inputs!$F$7:$M$127,MATCH(Data_final_model_format!$A11&amp;Data_final_model_format!$B$5,F_Inputs!$A$7:$A$127&amp;F_Inputs!$B$7:$B$127,0),MATCH(Data_final_model_format!$B$4,F_Inputs!$F$2:$M$2))</f>
        <v>8993.1795747355063</v>
      </c>
      <c r="C11" s="140">
        <f>SUMIFS(F_Inputs_adjusted!$U$8:$U$128,F_Inputs_adjusted!$B$8:$B$128,Data_final_model_format!$C$2,F_Inputs_adjusted!$A$8:$A$128,Data_final_model_format!$A11)+SUMIFS(F_Inputs_adjusted!$U$8:$U$128,F_Inputs_adjusted!$B$8:$B$128,Data_final_model_format!$C$3,F_Inputs_adjusted!$A$8:$A$128,Data_final_model_format!$A11)+SUMIFS(F_Inputs_adjusted!$U$8:$U$128,F_Inputs_adjusted!$B$8:$B$128,Data_final_model_format!$C$4,F_Inputs_adjusted!$A$8:$A$128,Data_final_model_format!$A11)</f>
        <v>8.3795515389849466</v>
      </c>
      <c r="D11" s="133">
        <f ca="1">SUMIFS('Final Input'!F:F,'Final Input'!$A:$A,$A11,'Final Input'!$C:$C,$D$5)</f>
        <v>0.31084484288372688</v>
      </c>
      <c r="E11" s="133">
        <f ca="1">SUMIFS('Final Input'!G:G,'Final Input'!$A:$A,$A11,'Final Input'!$C:$C,$D$5)</f>
        <v>2.019469543117149</v>
      </c>
      <c r="F11" s="133">
        <f ca="1">SUMIFS('Final Input'!H:H,'Final Input'!$A:$A,$A11,'Final Input'!$C:$C,$D$5)</f>
        <v>3.24249915219084</v>
      </c>
      <c r="G11" s="133">
        <f ca="1">SUMIFS('Final Input'!I:I,'Final Input'!$A:$A,$A11,'Final Input'!$C:$C,$D$5)</f>
        <v>2.681757880249751</v>
      </c>
      <c r="H11" s="133">
        <f ca="1">SUMIFS('Final Input'!J:J,'Final Input'!$A:$A,$A11,'Final Input'!$C:$C,$D$5)</f>
        <v>3.4002496492784327E-2</v>
      </c>
      <c r="I11" s="133">
        <f ca="1">SUMIFS('Final Input'!K:K,'Final Input'!$A:$A,$A11,'Final Input'!$C:$C,$D$5)</f>
        <v>5.6356616175938533E-2</v>
      </c>
      <c r="J11" s="133">
        <f ca="1">SUMIFS('Final Input'!L:L,'Final Input'!$A:$A,$A11,'Final Input'!$C:$C,$D$5)</f>
        <v>3.4621007874756547E-2</v>
      </c>
      <c r="K11" s="89">
        <f ca="1">SUM(D11:J11)</f>
        <v>8.3795515389849449</v>
      </c>
      <c r="L11" s="203" cm="1">
        <f t="array" aca="1" ref="L11" ca="1">_xlfn.XLOOKUP(Data_final_model_format!$A11&amp;$L$4,'Final Input'!$A:$A&amp;'Final Input'!$C:$C,'Final Input'!$F:$F)</f>
        <v>8857.8136265519515</v>
      </c>
    </row>
    <row r="12" spans="1:12">
      <c r="A12" s="9" t="s">
        <v>100</v>
      </c>
      <c r="B12" s="132" cm="1">
        <f t="array" ref="B12">INDEX(F_Inputs!$F$7:$M$127,MATCH(Data_final_model_format!$A12&amp;Data_final_model_format!$B$5,F_Inputs!$A$7:$A$127&amp;F_Inputs!$B$7:$B$127,0),MATCH(Data_final_model_format!$B$4,F_Inputs!$F$2:$M$2))</f>
        <v>5114.195692241</v>
      </c>
      <c r="C12" s="140">
        <f>SUMIFS(F_Inputs_adjusted!$U$8:$U$128,F_Inputs_adjusted!$B$8:$B$128,Data_final_model_format!$C$2,F_Inputs_adjusted!$A$8:$A$128,Data_final_model_format!$A12)+SUMIFS(F_Inputs_adjusted!$U$8:$U$128,F_Inputs_adjusted!$B$8:$B$128,Data_final_model_format!$C$3,F_Inputs_adjusted!$A$8:$A$128,Data_final_model_format!$A12)+SUMIFS(F_Inputs_adjusted!$U$8:$U$128,F_Inputs_adjusted!$B$8:$B$128,Data_final_model_format!$C$4,F_Inputs_adjusted!$A$8:$A$128,Data_final_model_format!$A12)</f>
        <v>2.2390000000000003</v>
      </c>
      <c r="D12" s="133">
        <f ca="1">SUMIFS('Final Input'!F:F,'Final Input'!$A:$A,$A12,'Final Input'!$C:$C,$D$5)</f>
        <v>0</v>
      </c>
      <c r="E12" s="133">
        <f ca="1">SUMIFS('Final Input'!G:G,'Final Input'!$A:$A,$A12,'Final Input'!$C:$C,$D$5)</f>
        <v>0</v>
      </c>
      <c r="F12" s="133">
        <f ca="1">SUMIFS('Final Input'!H:H,'Final Input'!$A:$A,$A12,'Final Input'!$C:$C,$D$5)</f>
        <v>0.70899999999999996</v>
      </c>
      <c r="G12" s="133">
        <f ca="1">SUMIFS('Final Input'!I:I,'Final Input'!$A:$A,$A12,'Final Input'!$C:$C,$D$5)</f>
        <v>1.4750000000000001</v>
      </c>
      <c r="H12" s="133">
        <f ca="1">SUMIFS('Final Input'!J:J,'Final Input'!$A:$A,$A12,'Final Input'!$C:$C,$D$5)</f>
        <v>5.5E-2</v>
      </c>
      <c r="I12" s="133">
        <f ca="1">SUMIFS('Final Input'!K:K,'Final Input'!$A:$A,$A12,'Final Input'!$C:$C,$D$5)</f>
        <v>0</v>
      </c>
      <c r="J12" s="133">
        <f ca="1">SUMIFS('Final Input'!L:L,'Final Input'!$A:$A,$A12,'Final Input'!$C:$C,$D$5)</f>
        <v>0</v>
      </c>
      <c r="K12" s="89">
        <f t="shared" ca="1" si="0"/>
        <v>2.2390000000000003</v>
      </c>
      <c r="L12" s="203" cm="1">
        <f t="array" aca="1" ref="L12" ca="1">_xlfn.XLOOKUP(Data_final_model_format!$A12&amp;$L$4,'Final Input'!$A:$A&amp;'Final Input'!$C:$C,'Final Input'!$F:$F)</f>
        <v>4975.1540000000005</v>
      </c>
    </row>
    <row r="13" spans="1:12">
      <c r="A13" s="9" t="s">
        <v>98</v>
      </c>
      <c r="B13" s="132" cm="1">
        <f t="array" ref="B13">INDEX(F_Inputs!$F$7:$M$127,MATCH(Data_final_model_format!$A13&amp;Data_final_model_format!$B$5,F_Inputs!$A$7:$A$127&amp;F_Inputs!$B$7:$B$127,0),MATCH(Data_final_model_format!$B$4,F_Inputs!$F$2:$M$2))</f>
        <v>8618.71199666149</v>
      </c>
      <c r="C13" s="140">
        <f>SUMIFS(F_Inputs_adjusted!$U$8:$U$128,F_Inputs_adjusted!$B$8:$B$128,Data_final_model_format!$C$2,F_Inputs_adjusted!$A$8:$A$128,Data_final_model_format!$A13)+SUMIFS(F_Inputs_adjusted!$U$8:$U$128,F_Inputs_adjusted!$B$8:$B$128,Data_final_model_format!$C$3,F_Inputs_adjusted!$A$8:$A$128,Data_final_model_format!$A13)+SUMIFS(F_Inputs_adjusted!$U$8:$U$128,F_Inputs_adjusted!$B$8:$B$128,Data_final_model_format!$C$4,F_Inputs_adjusted!$A$8:$A$128,Data_final_model_format!$A13)</f>
        <v>5.7906882190384223</v>
      </c>
      <c r="D13" s="133">
        <f ca="1">SUMIFS('Final Input'!F:F,'Final Input'!$A:$A,$A13,'Final Input'!$C:$C,$D$5)</f>
        <v>0</v>
      </c>
      <c r="E13" s="133">
        <f ca="1">SUMIFS('Final Input'!G:G,'Final Input'!$A:$A,$A13,'Final Input'!$C:$C,$D$5)</f>
        <v>1.5077451020150889</v>
      </c>
      <c r="F13" s="133">
        <f ca="1">SUMIFS('Final Input'!H:H,'Final Input'!$A:$A,$A13,'Final Input'!$C:$C,$D$5)</f>
        <v>1.0951869413392581</v>
      </c>
      <c r="G13" s="133">
        <f ca="1">SUMIFS('Final Input'!I:I,'Final Input'!$A:$A,$A13,'Final Input'!$C:$C,$D$5)</f>
        <v>2.62753219832075</v>
      </c>
      <c r="H13" s="133">
        <f ca="1">SUMIFS('Final Input'!J:J,'Final Input'!$A:$A,$A13,'Final Input'!$C:$C,$D$5)</f>
        <v>0.18554710569434299</v>
      </c>
      <c r="I13" s="133">
        <f ca="1">SUMIFS('Final Input'!K:K,'Final Input'!$A:$A,$A13,'Final Input'!$C:$C,$D$5)</f>
        <v>0.186676871668983</v>
      </c>
      <c r="J13" s="133">
        <f ca="1">SUMIFS('Final Input'!L:L,'Final Input'!$A:$A,$A13,'Final Input'!$C:$C,$D$5)</f>
        <v>0.188</v>
      </c>
      <c r="K13" s="89">
        <f t="shared" ca="1" si="0"/>
        <v>5.7906882190384223</v>
      </c>
      <c r="L13" s="203" cm="1">
        <f t="array" aca="1" ref="L13" ca="1">_xlfn.XLOOKUP(Data_final_model_format!$A13&amp;$L$4,'Final Input'!$A:$A&amp;'Final Input'!$C:$C,'Final Input'!$F:$F)</f>
        <v>10610.32</v>
      </c>
    </row>
    <row r="14" spans="1:12">
      <c r="A14" s="9" t="s">
        <v>99</v>
      </c>
      <c r="B14" s="132" cm="1">
        <f t="array" ref="B14">INDEX(F_Inputs!$F$7:$M$127,MATCH(Data_final_model_format!$A14&amp;Data_final_model_format!$B$5,F_Inputs!$A$7:$A$127&amp;F_Inputs!$B$7:$B$127,0),MATCH(Data_final_model_format!$B$4,F_Inputs!$F$2:$M$2))</f>
        <v>2220.3792602351086</v>
      </c>
      <c r="C14" s="140">
        <f>SUMIFS(F_Inputs_adjusted!$U$8:$U$128,F_Inputs_adjusted!$B$8:$B$128,Data_final_model_format!$C$2,F_Inputs_adjusted!$A$8:$A$128,Data_final_model_format!$A14)+SUMIFS(F_Inputs_adjusted!$U$8:$U$128,F_Inputs_adjusted!$B$8:$B$128,Data_final_model_format!$C$3,F_Inputs_adjusted!$A$8:$A$128,Data_final_model_format!$A14)+SUMIFS(F_Inputs_adjusted!$U$8:$U$128,F_Inputs_adjusted!$B$8:$B$128,Data_final_model_format!$C$4,F_Inputs_adjusted!$A$8:$A$128,Data_final_model_format!$A14)</f>
        <v>2.1859999999999999</v>
      </c>
      <c r="D14" s="133">
        <f ca="1">SUMIFS('Final Input'!F:F,'Final Input'!$A:$A,$A14,'Final Input'!$C:$C,$D$5)</f>
        <v>0</v>
      </c>
      <c r="E14" s="133">
        <f ca="1">SUMIFS('Final Input'!G:G,'Final Input'!$A:$A,$A14,'Final Input'!$C:$C,$D$5)</f>
        <v>0</v>
      </c>
      <c r="F14" s="133">
        <f ca="1">SUMIFS('Final Input'!H:H,'Final Input'!$A:$A,$A14,'Final Input'!$C:$C,$D$5)</f>
        <v>0.56999999999999995</v>
      </c>
      <c r="G14" s="133">
        <f ca="1">SUMIFS('Final Input'!I:I,'Final Input'!$A:$A,$A14,'Final Input'!$C:$C,$D$5)</f>
        <v>0.67200000000000004</v>
      </c>
      <c r="H14" s="133">
        <f ca="1">SUMIFS('Final Input'!J:J,'Final Input'!$A:$A,$A14,'Final Input'!$C:$C,$D$5)</f>
        <v>0.70599999999999996</v>
      </c>
      <c r="I14" s="133">
        <f ca="1">SUMIFS('Final Input'!K:K,'Final Input'!$A:$A,$A14,'Final Input'!$C:$C,$D$5)</f>
        <v>0.17</v>
      </c>
      <c r="J14" s="133">
        <f ca="1">SUMIFS('Final Input'!L:L,'Final Input'!$A:$A,$A14,'Final Input'!$C:$C,$D$5)</f>
        <v>6.8000000000000005E-2</v>
      </c>
      <c r="K14" s="89">
        <f t="shared" ca="1" si="0"/>
        <v>2.1859999999999999</v>
      </c>
      <c r="L14" s="203" cm="1">
        <f t="array" aca="1" ref="L14" ca="1">_xlfn.XLOOKUP(Data_final_model_format!$A14&amp;$L$4,'Final Input'!$A:$A&amp;'Final Input'!$C:$C,'Final Input'!$F:$F)</f>
        <v>1743.2239999999999</v>
      </c>
    </row>
    <row r="15" spans="1:12">
      <c r="A15" s="9" t="s">
        <v>101</v>
      </c>
      <c r="B15" s="132" cm="1">
        <f t="array" ref="B15">INDEX(F_Inputs!$F$7:$M$127,MATCH(Data_final_model_format!$A15&amp;Data_final_model_format!$B$5,F_Inputs!$A$7:$A$127&amp;F_Inputs!$B$7:$B$127,0),MATCH(Data_final_model_format!$B$4,F_Inputs!$F$2:$M$2))</f>
        <v>12775.473797822482</v>
      </c>
      <c r="C15" s="140">
        <f>SUMIFS(F_Inputs_adjusted!$U$8:$U$128,F_Inputs_adjusted!$B$8:$B$128,Data_final_model_format!$C$2,F_Inputs_adjusted!$A$8:$A$128,Data_final_model_format!$A15)+SUMIFS(F_Inputs_adjusted!$U$8:$U$128,F_Inputs_adjusted!$B$8:$B$128,Data_final_model_format!$C$3,F_Inputs_adjusted!$A$8:$A$128,Data_final_model_format!$A15)+SUMIFS(F_Inputs_adjusted!$U$8:$U$128,F_Inputs_adjusted!$B$8:$B$128,Data_final_model_format!$C$4,F_Inputs_adjusted!$A$8:$A$128,Data_final_model_format!$A15)</f>
        <v>7.3220000000000001</v>
      </c>
      <c r="D15" s="133">
        <f ca="1">SUMIFS('Final Input'!F:F,'Final Input'!$A:$A,$A15,'Final Input'!$C:$C,$D$5)</f>
        <v>0</v>
      </c>
      <c r="E15" s="133">
        <f ca="1">SUMIFS('Final Input'!G:G,'Final Input'!$A:$A,$A15,'Final Input'!$C:$C,$D$5)</f>
        <v>0</v>
      </c>
      <c r="F15" s="133">
        <f ca="1">SUMIFS('Final Input'!H:H,'Final Input'!$A:$A,$A15,'Final Input'!$C:$C,$D$5)</f>
        <v>1.752</v>
      </c>
      <c r="G15" s="133">
        <f ca="1">SUMIFS('Final Input'!I:I,'Final Input'!$A:$A,$A15,'Final Input'!$C:$C,$D$5)</f>
        <v>2.6120000000000001</v>
      </c>
      <c r="H15" s="133">
        <f ca="1">SUMIFS('Final Input'!J:J,'Final Input'!$A:$A,$A15,'Final Input'!$C:$C,$D$5)</f>
        <v>2.7869999999999999</v>
      </c>
      <c r="I15" s="133">
        <f ca="1">SUMIFS('Final Input'!K:K,'Final Input'!$A:$A,$A15,'Final Input'!$C:$C,$D$5)</f>
        <v>8.5000000000000006E-2</v>
      </c>
      <c r="J15" s="133">
        <f ca="1">SUMIFS('Final Input'!L:L,'Final Input'!$A:$A,$A15,'Final Input'!$C:$C,$D$5)</f>
        <v>8.5999999999999993E-2</v>
      </c>
      <c r="K15" s="89">
        <f t="shared" ca="1" si="0"/>
        <v>7.3220000000000001</v>
      </c>
      <c r="L15" s="203" cm="1">
        <f t="array" aca="1" ref="L15" ca="1">_xlfn.XLOOKUP(Data_final_model_format!$A15&amp;$L$4,'Final Input'!$A:$A&amp;'Final Input'!$C:$C,'Final Input'!$F:$F)</f>
        <v>15428.745999999999</v>
      </c>
    </row>
    <row r="16" spans="1:12">
      <c r="A16" s="9" t="s">
        <v>103</v>
      </c>
      <c r="B16" s="132" cm="1">
        <f t="array" ref="B16">INDEX(F_Inputs!$F$7:$M$127,MATCH(Data_final_model_format!$A16&amp;Data_final_model_format!$B$5,F_Inputs!$A$7:$A$127&amp;F_Inputs!$B$7:$B$127,0),MATCH(Data_final_model_format!$B$4,F_Inputs!$F$2:$M$2))</f>
        <v>3717.8809591462623</v>
      </c>
      <c r="C16" s="140">
        <f>SUMIFS(F_Inputs_adjusted!$U$8:$U$128,F_Inputs_adjusted!$B$8:$B$128,Data_final_model_format!$C$2,F_Inputs_adjusted!$A$8:$A$128,Data_final_model_format!$A16)+SUMIFS(F_Inputs_adjusted!$U$8:$U$128,F_Inputs_adjusted!$B$8:$B$128,Data_final_model_format!$C$3,F_Inputs_adjusted!$A$8:$A$128,Data_final_model_format!$A16)+SUMIFS(F_Inputs_adjusted!$U$8:$U$128,F_Inputs_adjusted!$B$8:$B$128,Data_final_model_format!$C$4,F_Inputs_adjusted!$A$8:$A$128,Data_final_model_format!$A16)</f>
        <v>9.9811540000000001</v>
      </c>
      <c r="D16" s="133">
        <f ca="1">SUMIFS('Final Input'!F:F,'Final Input'!$A:$A,$A16,'Final Input'!$C:$C,$D$5)</f>
        <v>0.187781</v>
      </c>
      <c r="E16" s="133">
        <f ca="1">SUMIFS('Final Input'!G:G,'Final Input'!$A:$A,$A16,'Final Input'!$C:$C,$D$5)</f>
        <v>0.73588399999999998</v>
      </c>
      <c r="F16" s="133">
        <f ca="1">SUMIFS('Final Input'!H:H,'Final Input'!$A:$A,$A16,'Final Input'!$C:$C,$D$5)</f>
        <v>3.602735</v>
      </c>
      <c r="G16" s="133">
        <f ca="1">SUMIFS('Final Input'!I:I,'Final Input'!$A:$A,$A16,'Final Input'!$C:$C,$D$5)</f>
        <v>3.3669609999999999</v>
      </c>
      <c r="H16" s="133">
        <f ca="1">SUMIFS('Final Input'!J:J,'Final Input'!$A:$A,$A16,'Final Input'!$C:$C,$D$5)</f>
        <v>1.3767480000000001</v>
      </c>
      <c r="I16" s="133">
        <f ca="1">SUMIFS('Final Input'!K:K,'Final Input'!$A:$A,$A16,'Final Input'!$C:$C,$D$5)</f>
        <v>0.60099900000000006</v>
      </c>
      <c r="J16" s="133">
        <f ca="1">SUMIFS('Final Input'!L:L,'Final Input'!$A:$A,$A16,'Final Input'!$C:$C,$D$5)</f>
        <v>0.110046</v>
      </c>
      <c r="K16" s="89">
        <f t="shared" ca="1" si="0"/>
        <v>9.9811540000000001</v>
      </c>
      <c r="L16" s="203" cm="1">
        <f t="array" aca="1" ref="L16" ca="1">_xlfn.XLOOKUP(Data_final_model_format!$A16&amp;$L$4,'Final Input'!$A:$A&amp;'Final Input'!$C:$C,'Final Input'!$F:$F)</f>
        <v>3587.0859999999998</v>
      </c>
    </row>
    <row r="17" spans="1:12">
      <c r="A17" s="9" t="s">
        <v>104</v>
      </c>
      <c r="B17" s="132" cm="1">
        <f t="array" ref="B17">INDEX(F_Inputs!$F$7:$M$127,MATCH(Data_final_model_format!$A17&amp;Data_final_model_format!$B$5,F_Inputs!$A$7:$A$127&amp;F_Inputs!$B$7:$B$127,0),MATCH(Data_final_model_format!$B$4,F_Inputs!$F$2:$M$2))</f>
        <v>4605.5684455095561</v>
      </c>
      <c r="C17" s="140">
        <f>SUMIFS(F_Inputs_adjusted!$U$8:$U$128,F_Inputs_adjusted!$B$8:$B$128,Data_final_model_format!$C$2,F_Inputs_adjusted!$A$8:$A$128,Data_final_model_format!$A17)+SUMIFS(F_Inputs_adjusted!$U$8:$U$128,F_Inputs_adjusted!$B$8:$B$128,Data_final_model_format!$C$3,F_Inputs_adjusted!$A$8:$A$128,Data_final_model_format!$A17)+SUMIFS(F_Inputs_adjusted!$U$8:$U$128,F_Inputs_adjusted!$B$8:$B$128,Data_final_model_format!$C$4,F_Inputs_adjusted!$A$8:$A$128,Data_final_model_format!$A17)</f>
        <v>5.5708608000000002</v>
      </c>
      <c r="D17" s="133">
        <f ca="1">SUMIFS('Final Input'!F:F,'Final Input'!$A:$A,$A17,'Final Input'!$C:$C,$D$5)</f>
        <v>0</v>
      </c>
      <c r="E17" s="133">
        <f ca="1">SUMIFS('Final Input'!G:G,'Final Input'!$A:$A,$A17,'Final Input'!$C:$C,$D$5)</f>
        <v>0.41199999999999998</v>
      </c>
      <c r="F17" s="133">
        <f ca="1">SUMIFS('Final Input'!H:H,'Final Input'!$A:$A,$A17,'Final Input'!$C:$C,$D$5)</f>
        <v>2.1737215999999999</v>
      </c>
      <c r="G17" s="133">
        <f ca="1">SUMIFS('Final Input'!I:I,'Final Input'!$A:$A,$A17,'Final Input'!$C:$C,$D$5)</f>
        <v>1.9448639999999999</v>
      </c>
      <c r="H17" s="133">
        <f ca="1">SUMIFS('Final Input'!J:J,'Final Input'!$A:$A,$A17,'Final Input'!$C:$C,$D$5)</f>
        <v>0.85227520000000001</v>
      </c>
      <c r="I17" s="133">
        <f ca="1">SUMIFS('Final Input'!K:K,'Final Input'!$A:$A,$A17,'Final Input'!$C:$C,$D$5)</f>
        <v>9.4E-2</v>
      </c>
      <c r="J17" s="133">
        <f ca="1">SUMIFS('Final Input'!L:L,'Final Input'!$A:$A,$A17,'Final Input'!$C:$C,$D$5)</f>
        <v>9.4E-2</v>
      </c>
      <c r="K17" s="134">
        <f t="shared" ca="1" si="0"/>
        <v>5.5708608000000011</v>
      </c>
      <c r="L17" s="203" cm="1">
        <f t="array" aca="1" ref="L17" ca="1">_xlfn.XLOOKUP(Data_final_model_format!$A17&amp;$L$4,'Final Input'!$A:$A&amp;'Final Input'!$C:$C,'Final Input'!$F:$F)</f>
        <v>5966.8530000000001</v>
      </c>
    </row>
    <row r="18" spans="1:12">
      <c r="A18" s="131"/>
      <c r="B18" s="123"/>
      <c r="C18" s="135">
        <f>SUM(C7:C17)</f>
        <v>75.399254558023372</v>
      </c>
      <c r="D18" s="123"/>
      <c r="E18" s="123"/>
      <c r="F18" s="123"/>
      <c r="G18" s="123"/>
      <c r="H18" s="2"/>
      <c r="I18" s="2"/>
      <c r="J18" s="2"/>
      <c r="K18" s="135">
        <f ca="1">SUM(K7:K17)</f>
        <v>75.102254558023361</v>
      </c>
      <c r="L18" s="204">
        <f ca="1">SUM(L7:L17)</f>
        <v>65385.892626551962</v>
      </c>
    </row>
    <row r="19" spans="1:12">
      <c r="B19" s="24"/>
      <c r="C19" s="24"/>
      <c r="D19" s="24"/>
      <c r="E19" s="24"/>
      <c r="F19" s="24"/>
      <c r="G19" s="24"/>
    </row>
    <row r="20" spans="1:12">
      <c r="B20" s="24"/>
      <c r="C20" s="24"/>
      <c r="D20" s="24"/>
      <c r="E20" s="24"/>
      <c r="F20" s="24"/>
      <c r="G20" s="24"/>
    </row>
    <row r="21" spans="1:12">
      <c r="B21" s="24"/>
      <c r="C21" s="24"/>
      <c r="D21" s="24"/>
      <c r="E21" s="24"/>
      <c r="F21" s="24"/>
      <c r="G21" s="24"/>
    </row>
    <row r="22" spans="1:12">
      <c r="B22" s="25"/>
      <c r="C22" s="25"/>
    </row>
    <row r="23" spans="1:12">
      <c r="B23" s="24"/>
      <c r="C23" s="24"/>
      <c r="D23" s="24"/>
      <c r="E23" s="24"/>
      <c r="F23" s="24"/>
      <c r="G23" s="24"/>
    </row>
    <row r="24" spans="1:12">
      <c r="B24" s="24"/>
      <c r="C24" s="24"/>
      <c r="D24" s="24"/>
      <c r="E24" s="24"/>
      <c r="F24" s="24"/>
      <c r="G24" s="24"/>
    </row>
    <row r="25" spans="1:12">
      <c r="B25" s="24"/>
      <c r="C25" s="24"/>
      <c r="D25" s="24"/>
      <c r="E25" s="24"/>
      <c r="F25" s="24"/>
      <c r="G25" s="24"/>
    </row>
    <row r="26" spans="1:12">
      <c r="B26" s="24"/>
      <c r="C26" s="24"/>
      <c r="D26" s="24"/>
      <c r="E26" s="24"/>
      <c r="F26" s="24"/>
      <c r="G26" s="24"/>
    </row>
    <row r="27" spans="1:12">
      <c r="B27" s="24"/>
      <c r="C27" s="24"/>
      <c r="D27" s="24"/>
      <c r="E27" s="24"/>
      <c r="F27" s="24"/>
      <c r="G27" s="24"/>
    </row>
    <row r="28" spans="1:12">
      <c r="B28" s="24"/>
      <c r="C28" s="24"/>
      <c r="D28" s="24"/>
      <c r="E28" s="24"/>
      <c r="F28" s="24"/>
      <c r="G28" s="24"/>
    </row>
    <row r="29" spans="1:12">
      <c r="B29" s="24"/>
      <c r="C29" s="24"/>
      <c r="D29" s="24"/>
      <c r="E29" s="24"/>
      <c r="F29" s="24"/>
      <c r="G29" s="24"/>
    </row>
    <row r="30" spans="1:12">
      <c r="B30" s="24"/>
      <c r="C30" s="24"/>
      <c r="D30" s="24"/>
      <c r="E30" s="24"/>
      <c r="F30" s="24"/>
      <c r="G30" s="24"/>
    </row>
    <row r="31" spans="1:12">
      <c r="B31" s="24"/>
      <c r="C31" s="24"/>
      <c r="D31" s="24"/>
      <c r="E31" s="24"/>
      <c r="F31" s="24"/>
      <c r="G31" s="24"/>
    </row>
    <row r="32" spans="1:12">
      <c r="B32" s="24"/>
      <c r="C32" s="24"/>
      <c r="D32" s="24"/>
      <c r="E32" s="24"/>
      <c r="F32" s="24"/>
      <c r="G32" s="24"/>
    </row>
    <row r="33" spans="2:7">
      <c r="B33" s="24"/>
      <c r="C33" s="24"/>
      <c r="D33" s="24"/>
      <c r="E33" s="24"/>
      <c r="F33" s="24"/>
      <c r="G33" s="24"/>
    </row>
    <row r="34" spans="2:7">
      <c r="B34" s="24"/>
      <c r="C34" s="24"/>
      <c r="D34" s="24"/>
      <c r="E34" s="24"/>
      <c r="F34" s="24"/>
      <c r="G34" s="24"/>
    </row>
    <row r="35" spans="2:7">
      <c r="B35" s="24"/>
      <c r="C35" s="24"/>
      <c r="D35" s="24"/>
      <c r="E35" s="24"/>
      <c r="F35" s="24"/>
      <c r="G35" s="24"/>
    </row>
    <row r="36" spans="2:7">
      <c r="B36" s="24"/>
      <c r="C36" s="24"/>
      <c r="D36" s="24"/>
      <c r="E36" s="24"/>
      <c r="F36" s="24"/>
      <c r="G36" s="24"/>
    </row>
    <row r="37" spans="2:7">
      <c r="B37" s="24"/>
      <c r="C37" s="24"/>
      <c r="D37" s="24"/>
      <c r="E37" s="24"/>
      <c r="F37" s="24"/>
      <c r="G37" s="24"/>
    </row>
    <row r="38" spans="2:7">
      <c r="B38" s="24"/>
      <c r="C38" s="24"/>
      <c r="D38" s="24"/>
      <c r="E38" s="24"/>
      <c r="F38" s="24"/>
      <c r="G38" s="24"/>
    </row>
    <row r="39" spans="2:7">
      <c r="B39" s="24"/>
      <c r="C39" s="24"/>
      <c r="D39" s="24"/>
      <c r="E39" s="24"/>
      <c r="F39" s="24"/>
      <c r="G39" s="24"/>
    </row>
    <row r="40" spans="2:7">
      <c r="B40" s="24"/>
      <c r="C40" s="24"/>
      <c r="D40" s="24"/>
      <c r="E40" s="24"/>
      <c r="F40" s="24"/>
      <c r="G40" s="24"/>
    </row>
    <row r="41" spans="2:7">
      <c r="B41" s="24"/>
      <c r="C41" s="24"/>
      <c r="D41" s="24"/>
      <c r="E41" s="24"/>
      <c r="F41" s="24"/>
      <c r="G41" s="24"/>
    </row>
    <row r="42" spans="2:7">
      <c r="B42" s="24"/>
      <c r="C42" s="24"/>
      <c r="D42" s="24"/>
      <c r="E42" s="24"/>
      <c r="F42" s="24"/>
      <c r="G42" s="24"/>
    </row>
    <row r="43" spans="2:7">
      <c r="B43" s="24"/>
      <c r="C43" s="24"/>
      <c r="D43" s="24"/>
      <c r="E43" s="24"/>
      <c r="F43" s="24"/>
      <c r="G43" s="24"/>
    </row>
    <row r="44" spans="2:7">
      <c r="B44" s="24"/>
      <c r="C44" s="24"/>
      <c r="D44" s="24"/>
      <c r="E44" s="24"/>
      <c r="F44" s="24"/>
      <c r="G44" s="24"/>
    </row>
    <row r="45" spans="2:7">
      <c r="B45" s="24"/>
      <c r="C45" s="24"/>
      <c r="D45" s="24"/>
      <c r="E45" s="24"/>
      <c r="F45" s="24"/>
      <c r="G45" s="24"/>
    </row>
    <row r="46" spans="2:7">
      <c r="B46" s="24"/>
      <c r="C46" s="24"/>
      <c r="D46" s="24"/>
      <c r="E46" s="24"/>
      <c r="F46" s="24"/>
      <c r="G46" s="24"/>
    </row>
    <row r="47" spans="2:7">
      <c r="B47" s="24"/>
      <c r="C47" s="24"/>
      <c r="D47" s="24"/>
      <c r="E47" s="24"/>
      <c r="F47" s="24"/>
      <c r="G47" s="24"/>
    </row>
    <row r="48" spans="2:7">
      <c r="B48" s="24"/>
      <c r="C48" s="24"/>
      <c r="D48" s="24"/>
      <c r="E48" s="24"/>
      <c r="F48" s="24"/>
      <c r="G48" s="24"/>
    </row>
    <row r="49" spans="2:7">
      <c r="B49" s="24"/>
      <c r="C49" s="24"/>
      <c r="D49" s="24"/>
      <c r="E49" s="24"/>
      <c r="F49" s="24"/>
      <c r="G49" s="24"/>
    </row>
    <row r="50" spans="2:7">
      <c r="B50" s="24"/>
      <c r="C50" s="24"/>
      <c r="D50" s="24"/>
      <c r="E50" s="24"/>
      <c r="F50" s="24"/>
      <c r="G50" s="24"/>
    </row>
    <row r="51" spans="2:7">
      <c r="B51" s="24"/>
      <c r="C51" s="24"/>
      <c r="D51" s="24"/>
      <c r="E51" s="24"/>
      <c r="F51" s="24"/>
      <c r="G51" s="24"/>
    </row>
    <row r="52" spans="2:7">
      <c r="B52" s="24"/>
      <c r="C52" s="24"/>
      <c r="D52" s="24"/>
      <c r="E52" s="24"/>
      <c r="F52" s="24"/>
      <c r="G52" s="24"/>
    </row>
    <row r="53" spans="2:7">
      <c r="B53" s="24"/>
      <c r="C53" s="24"/>
      <c r="D53" s="24"/>
      <c r="E53" s="24"/>
      <c r="F53" s="24"/>
      <c r="G53" s="24"/>
    </row>
    <row r="54" spans="2:7">
      <c r="B54" s="24"/>
      <c r="C54" s="24"/>
      <c r="D54" s="24"/>
      <c r="E54" s="24"/>
      <c r="F54" s="24"/>
      <c r="G54" s="24"/>
    </row>
    <row r="55" spans="2:7">
      <c r="B55" s="24"/>
      <c r="C55" s="24"/>
      <c r="D55" s="24"/>
      <c r="E55" s="24"/>
      <c r="F55" s="24"/>
      <c r="G55" s="24"/>
    </row>
    <row r="56" spans="2:7">
      <c r="B56" s="24"/>
      <c r="C56" s="24"/>
      <c r="D56" s="24"/>
      <c r="E56" s="24"/>
      <c r="F56" s="24"/>
      <c r="G56" s="24"/>
    </row>
    <row r="57" spans="2:7">
      <c r="B57" s="24"/>
      <c r="C57" s="24"/>
      <c r="D57" s="24"/>
      <c r="E57" s="24"/>
      <c r="F57" s="24"/>
      <c r="G57" s="24"/>
    </row>
    <row r="58" spans="2:7">
      <c r="B58" s="24"/>
      <c r="C58" s="24"/>
      <c r="D58" s="24"/>
      <c r="E58" s="24"/>
      <c r="F58" s="24"/>
      <c r="G58" s="24"/>
    </row>
    <row r="59" spans="2:7">
      <c r="B59" s="24"/>
      <c r="C59" s="24"/>
      <c r="D59" s="24"/>
      <c r="E59" s="24"/>
      <c r="F59" s="24"/>
      <c r="G59" s="24"/>
    </row>
    <row r="60" spans="2:7">
      <c r="B60" s="24"/>
      <c r="C60" s="24"/>
      <c r="D60" s="24"/>
      <c r="E60" s="24"/>
      <c r="F60" s="24"/>
      <c r="G60" s="24"/>
    </row>
    <row r="61" spans="2:7">
      <c r="B61" s="24"/>
      <c r="C61" s="24"/>
      <c r="D61" s="24"/>
      <c r="E61" s="24"/>
      <c r="F61" s="24"/>
      <c r="G61" s="24"/>
    </row>
    <row r="62" spans="2:7">
      <c r="B62" s="24"/>
      <c r="C62" s="24"/>
      <c r="D62" s="24"/>
      <c r="E62" s="24"/>
      <c r="F62" s="24"/>
      <c r="G62" s="24"/>
    </row>
  </sheetData>
  <phoneticPr fontId="4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9587F6-7D0F-42EF-8B4E-E48379624594}"/>
</file>

<file path=customXml/itemProps2.xml><?xml version="1.0" encoding="utf-8"?>
<ds:datastoreItem xmlns:ds="http://schemas.openxmlformats.org/officeDocument/2006/customXml" ds:itemID="{8EC8B83B-81C4-4098-AD5B-55601819C96B}"/>
</file>

<file path=customXml/itemProps3.xml><?xml version="1.0" encoding="utf-8"?>
<ds:datastoreItem xmlns:ds="http://schemas.openxmlformats.org/officeDocument/2006/customXml" ds:itemID="{8B1AB964-0627-40AD-87C3-BEE2A36A4F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Hugh Myers</cp:lastModifiedBy>
  <cp:revision>1</cp:revision>
  <dcterms:created xsi:type="dcterms:W3CDTF">2024-12-13T12:05:17Z</dcterms:created>
  <dcterms:modified xsi:type="dcterms:W3CDTF">2024-12-16T14:29:18Z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Order">
    <vt:r8>8700</vt:r8>
  </property>
  <property fmtid="{D5CDD505-2E9C-101B-9397-08002B2CF9AE}" pid="4" name="j014a7bd3fd34d828fc493e84f684b49">
    <vt:lpwstr/>
  </property>
  <property fmtid="{D5CDD505-2E9C-101B-9397-08002B2CF9AE}" pid="5" name="Meeting">
    <vt:lpwstr/>
  </property>
  <property fmtid="{D5CDD505-2E9C-101B-9397-08002B2CF9AE}" pid="6" name="b2faa34e97554b63aaaf45270201a270">
    <vt:lpwstr/>
  </property>
  <property fmtid="{D5CDD505-2E9C-101B-9397-08002B2CF9AE}" pid="7" name="PageName">
    <vt:lpwstr/>
  </property>
  <property fmtid="{D5CDD505-2E9C-101B-9397-08002B2CF9AE}" pid="8" name="xd_ProgID">
    <vt:lpwstr/>
  </property>
  <property fmtid="{D5CDD505-2E9C-101B-9397-08002B2CF9AE}" pid="9" name="MediaServiceImageTags">
    <vt:lpwstr/>
  </property>
  <property fmtid="{D5CDD505-2E9C-101B-9397-08002B2CF9AE}" pid="10" name="Stakeholder 2">
    <vt:lpwstr/>
  </property>
  <property fmtid="{D5CDD505-2E9C-101B-9397-08002B2CF9AE}" pid="11" name="ContentTypeId">
    <vt:lpwstr>0x0101004010F36128E44943B1120CACFDAE9F7B</vt:lpwstr>
  </property>
  <property fmtid="{D5CDD505-2E9C-101B-9397-08002B2CF9AE}" pid="12" name="Hierarchy">
    <vt:lpwstr/>
  </property>
  <property fmtid="{D5CDD505-2E9C-101B-9397-08002B2CF9AE}" pid="13" name="ComplianceAssetId">
    <vt:lpwstr/>
  </property>
  <property fmtid="{D5CDD505-2E9C-101B-9397-08002B2CF9AE}" pid="14" name="TemplateUrl">
    <vt:lpwstr/>
  </property>
  <property fmtid="{D5CDD505-2E9C-101B-9397-08002B2CF9AE}" pid="15" name="Collection">
    <vt:lpwstr/>
  </property>
  <property fmtid="{D5CDD505-2E9C-101B-9397-08002B2CF9AE}" pid="16" name="m279c8e365374608a4eb2bb657f838c2">
    <vt:lpwstr/>
  </property>
  <property fmtid="{D5CDD505-2E9C-101B-9397-08002B2CF9AE}" pid="17" name="Project Code">
    <vt:lpwstr/>
  </property>
  <property fmtid="{D5CDD505-2E9C-101B-9397-08002B2CF9AE}" pid="18" name="OfwatPolicyType">
    <vt:lpwstr>2;#Form|370855c6-d98d-422f-af45-033b01692a3f</vt:lpwstr>
  </property>
  <property fmtid="{D5CDD505-2E9C-101B-9397-08002B2CF9AE}" pid="19" name="j7c77f2a1a924badb0d621542422dc19">
    <vt:lpwstr/>
  </property>
  <property fmtid="{D5CDD505-2E9C-101B-9397-08002B2CF9AE}" pid="20" name="OfwatPolicyCategory">
    <vt:lpwstr>3;#All Ofwat|818d8686-f149-4d61-afd2-beebc820126a</vt:lpwstr>
  </property>
  <property fmtid="{D5CDD505-2E9C-101B-9397-08002B2CF9AE}" pid="21" name="Stakeholder 3">
    <vt:lpwstr/>
  </property>
  <property fmtid="{D5CDD505-2E9C-101B-9397-08002B2CF9AE}" pid="22" name="Water Companies">
    <vt:lpwstr/>
  </property>
  <property fmtid="{D5CDD505-2E9C-101B-9397-08002B2CF9AE}" pid="23" name="_ExtendedDescription">
    <vt:lpwstr/>
  </property>
  <property fmtid="{D5CDD505-2E9C-101B-9397-08002B2CF9AE}" pid="24" name="e3282ffb8aa84113a2fc01ee206d1f3f">
    <vt:lpwstr>Form|370855c6-d98d-422f-af45-033b01692a3f</vt:lpwstr>
  </property>
  <property fmtid="{D5CDD505-2E9C-101B-9397-08002B2CF9AE}" pid="25" name="a9250910d34f4f6d82af870f608babb6">
    <vt:lpwstr/>
  </property>
  <property fmtid="{D5CDD505-2E9C-101B-9397-08002B2CF9AE}" pid="26" name="oe9d4f963f4c420b8d2b35d038476850">
    <vt:lpwstr/>
  </property>
  <property fmtid="{D5CDD505-2E9C-101B-9397-08002B2CF9AE}" pid="27" name="Stakeholder">
    <vt:lpwstr/>
  </property>
  <property fmtid="{D5CDD505-2E9C-101B-9397-08002B2CF9AE}" pid="28" name="Document Type">
    <vt:lpwstr/>
  </property>
  <property fmtid="{D5CDD505-2E9C-101B-9397-08002B2CF9AE}" pid="29" name="Security Classification">
    <vt:lpwstr/>
  </property>
  <property fmtid="{D5CDD505-2E9C-101B-9397-08002B2CF9AE}" pid="30" name="OfwatPolicyTopic">
    <vt:lpwstr/>
  </property>
  <property fmtid="{D5CDD505-2E9C-101B-9397-08002B2CF9AE}" pid="31" name="b128efbe498d4e38a73555a2e7be12ea">
    <vt:lpwstr/>
  </property>
  <property fmtid="{D5CDD505-2E9C-101B-9397-08002B2CF9AE}" pid="32" name="Stakeholder 4">
    <vt:lpwstr/>
  </property>
  <property fmtid="{D5CDD505-2E9C-101B-9397-08002B2CF9AE}" pid="33" name="xd_Signature">
    <vt:bool>false</vt:bool>
  </property>
  <property fmtid="{D5CDD505-2E9C-101B-9397-08002B2CF9AE}" pid="34" name="GUID">
    <vt:lpwstr>2879a730-d57d-4bee-a1a9-aef614050b47</vt:lpwstr>
  </property>
  <property fmtid="{D5CDD505-2E9C-101B-9397-08002B2CF9AE}" pid="35" name="da4e9ae56afa494a84f353054bd212ec">
    <vt:lpwstr/>
  </property>
  <property fmtid="{D5CDD505-2E9C-101B-9397-08002B2CF9AE}" pid="36" name="f8aa492165544285b4c7fe9d1b6ad82c">
    <vt:lpwstr/>
  </property>
  <property fmtid="{D5CDD505-2E9C-101B-9397-08002B2CF9AE}" pid="37" name="Stakeholder 5">
    <vt:lpwstr/>
  </property>
  <property fmtid="{D5CDD505-2E9C-101B-9397-08002B2CF9AE}" pid="38" name="Area">
    <vt:lpwstr>2;#All Ofwat|a2f0c570-ff2d-47bb-b6f0-977a73bf09bf</vt:lpwstr>
  </property>
  <property fmtid="{D5CDD505-2E9C-101B-9397-08002B2CF9AE}" pid="39" name="b20f10deb29d4945907115b7b62c5b70">
    <vt:lpwstr/>
  </property>
  <property fmtid="{D5CDD505-2E9C-101B-9397-08002B2CF9AE}" pid="40" name="DocumentType">
    <vt:lpwstr>4;#Form|0296d661-b298-4bb3-82b3-ac8e6c6047c5</vt:lpwstr>
  </property>
  <property fmtid="{D5CDD505-2E9C-101B-9397-08002B2CF9AE}" pid="41" name="a3e3f1078fb942d09b9b3b0aad8c1e11">
    <vt:lpwstr>All Ofwat|818d8686-f149-4d61-afd2-beebc820126a</vt:lpwstr>
  </property>
  <property fmtid="{D5CDD505-2E9C-101B-9397-08002B2CF9AE}" pid="42" name="TriggerFlowInfo">
    <vt:lpwstr/>
  </property>
</Properties>
</file>