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fileSharing readOnlyRecommended="1"/>
  <workbookPr filterPrivacy="1" showInkAnnotation="0" codeName="ThisWorkbook"/>
  <xr:revisionPtr revIDLastSave="98" documentId="8_{BF7C1383-EB97-41E7-9FF5-326755AED92E}" xr6:coauthVersionLast="47" xr6:coauthVersionMax="47" xr10:uidLastSave="{4C5C6E7E-4EC0-4F3C-BABF-578B26B1BEA7}"/>
  <bookViews>
    <workbookView xWindow="-98" yWindow="-98" windowWidth="21795" windowHeight="13875" tabRatio="686" firstSheet="1" activeTab="1" xr2:uid="{00000000-000D-0000-FFFF-FFFF00000000}"/>
  </bookViews>
  <sheets>
    <sheet name="CLEAR_SHEET" sheetId="204" state="hidden" r:id="rId1"/>
    <sheet name="Cover" sheetId="206" r:id="rId2"/>
    <sheet name="Model formatting" sheetId="199" r:id="rId3"/>
    <sheet name="ToC" sheetId="200" r:id="rId4"/>
    <sheet name="Inputs" sheetId="188" r:id="rId5"/>
    <sheet name="Time" sheetId="186" r:id="rId6"/>
    <sheet name="Indices and K factor" sheetId="187" r:id="rId7"/>
    <sheet name="Wholesale Water" sheetId="119" r:id="rId8"/>
    <sheet name="Wastewater Network-Plus" sheetId="189" r:id="rId9"/>
    <sheet name="Wastewater TTT" sheetId="201" r:id="rId10"/>
    <sheet name="Output" sheetId="190" r:id="rId11"/>
    <sheet name="F_Outputs" sheetId="202" r:id="rId12"/>
    <sheet name="Check" sheetId="193" r:id="rId13"/>
  </sheets>
  <definedNames>
    <definedName name="____net1" localSheetId="1" hidden="1">{"NET",#N/A,FALSE,"401C11"}</definedName>
    <definedName name="____net1" hidden="1">{"NET",#N/A,FALSE,"401C11"}</definedName>
    <definedName name="__123Graph_A" localSheetId="1" hidden="1">#REF!</definedName>
    <definedName name="__123Graph_A" hidden="1">#REF!</definedName>
    <definedName name="__123Graph_B" localSheetId="1" hidden="1">#REF!</definedName>
    <definedName name="__123Graph_B" hidden="1">#REF!</definedName>
    <definedName name="__123Graph_C" localSheetId="1" hidden="1">#REF!</definedName>
    <definedName name="__123Graph_C" hidden="1">#REF!</definedName>
    <definedName name="__123Graph_X" localSheetId="1" hidden="1">#REF!</definedName>
    <definedName name="__123Graph_X" hidden="1">#REF!</definedName>
    <definedName name="__net1" localSheetId="1" hidden="1">{"NET",#N/A,FALSE,"401C11"}</definedName>
    <definedName name="__net1" hidden="1">{"NET",#N/A,FALSE,"401C11"}</definedName>
    <definedName name="_1_0__123Grap" localSheetId="1" hidden="1">#REF!</definedName>
    <definedName name="_1_0__123Grap" hidden="1">#REF!</definedName>
    <definedName name="_1_123Grap" localSheetId="1" hidden="1">#REF!</definedName>
    <definedName name="_1_123Grap" hidden="1">#REF!</definedName>
    <definedName name="_123Graph_F" localSheetId="1" hidden="1">#REF!</definedName>
    <definedName name="_123Graph_F" hidden="1">#REF!</definedName>
    <definedName name="_2_0__123Grap" localSheetId="1" hidden="1">#REF!</definedName>
    <definedName name="_2_0__123Grap" hidden="1">#REF!</definedName>
    <definedName name="_2_123Grap" localSheetId="1" hidden="1">#REF!</definedName>
    <definedName name="_2_123Grap" hidden="1">#REF!</definedName>
    <definedName name="_3_0_S" localSheetId="1" hidden="1">#REF!</definedName>
    <definedName name="_3_0_S" hidden="1">#REF!</definedName>
    <definedName name="_3_123Grap" localSheetId="1" hidden="1">#REF!</definedName>
    <definedName name="_3_123Grap" hidden="1">#REF!</definedName>
    <definedName name="_34_123Grap" localSheetId="1" hidden="1">#REF!</definedName>
    <definedName name="_34_123Grap" hidden="1">#REF!</definedName>
    <definedName name="_42S" localSheetId="1" hidden="1">#REF!</definedName>
    <definedName name="_42S" hidden="1">#REF!</definedName>
    <definedName name="_4S" localSheetId="1" hidden="1">#REF!</definedName>
    <definedName name="_4S" hidden="1">#REF!</definedName>
    <definedName name="_5_0__123Grap" localSheetId="1" hidden="1">#REF!</definedName>
    <definedName name="_5_0__123Grap" hidden="1">#REF!</definedName>
    <definedName name="_6_0_S" localSheetId="1" hidden="1">#REF!</definedName>
    <definedName name="_6_0_S" hidden="1">#REF!</definedName>
    <definedName name="_6_123Grap" localSheetId="1" hidden="1">#REF!</definedName>
    <definedName name="_6_123Grap" hidden="1">#REF!</definedName>
    <definedName name="_8_123Grap" localSheetId="1" hidden="1">#REF!</definedName>
    <definedName name="_8_123Grap" hidden="1">#REF!</definedName>
    <definedName name="_8S" localSheetId="1" hidden="1">#REF!</definedName>
    <definedName name="_8S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Dist_Values" hidden="1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net1" localSheetId="1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1" hidden="1">#REF!</definedName>
    <definedName name="_Sort" hidden="1">#REF!</definedName>
    <definedName name="a" localSheetId="1" hidden="1">{"CHARGE",#N/A,FALSE,"401C11"}</definedName>
    <definedName name="a" hidden="1">{"CHARGE",#N/A,FALSE,"401C11"}</definedName>
    <definedName name="aa" localSheetId="1" hidden="1">{"CHARGE",#N/A,FALSE,"401C11"}</definedName>
    <definedName name="aa" hidden="1">{"CHARGE",#N/A,FALSE,"401C11"}</definedName>
    <definedName name="aaa" localSheetId="1" hidden="1">{"CHARGE",#N/A,FALSE,"401C11"}</definedName>
    <definedName name="aaa" hidden="1">{"CHARGE",#N/A,FALSE,"401C11"}</definedName>
    <definedName name="aaaa" localSheetId="1" hidden="1">{"CHARGE",#N/A,FALSE,"401C11"}</definedName>
    <definedName name="aaaa" hidden="1">{"CHARGE",#N/A,FALSE,"401C11"}</definedName>
    <definedName name="abc" localSheetId="1" hidden="1">{"NET",#N/A,FALSE,"401C11"}</definedName>
    <definedName name="abc" hidden="1">{"NET",#N/A,FALSE,"401C11"}</definedName>
    <definedName name="adbr" localSheetId="1" hidden="1">{"CHARGE",#N/A,FALSE,"401C11"}</definedName>
    <definedName name="adbr" hidden="1">{"CHARGE",#N/A,FALSE,"401C11"}</definedName>
    <definedName name="b" localSheetId="1" hidden="1">{"CHARGE",#N/A,FALSE,"401C11"}</definedName>
    <definedName name="b" hidden="1">{"CHARGE",#N/A,FALSE,"401C11"}</definedName>
    <definedName name="BMGHIndex" hidden="1">"O"</definedName>
    <definedName name="change1" localSheetId="1" hidden="1">{"CHARGE",#N/A,FALSE,"401C11"}</definedName>
    <definedName name="change1" hidden="1">{"CHARGE",#N/A,FALSE,"401C11"}</definedName>
    <definedName name="charge" localSheetId="1" hidden="1">{"CHARGE",#N/A,FALSE,"401C11"}</definedName>
    <definedName name="charge" hidden="1">{"CHARGE",#N/A,FALSE,"401C11"}</definedName>
    <definedName name="Chk_Tol">Inputs!$F$159</definedName>
    <definedName name="da" localSheetId="1" hidden="1">#REF!</definedName>
    <definedName name="da" hidden="1">#REF!</definedName>
    <definedName name="dog" localSheetId="1" hidden="1">{"NET",#N/A,FALSE,"401C11"}</definedName>
    <definedName name="dog" hidden="1">{"NET",#N/A,FALSE,"401C11"}</definedName>
    <definedName name="EV__LASTREFTIME__" hidden="1">40339.4799074074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output" localSheetId="1" hidden="1">#REF!</definedName>
    <definedName name="Foutput" hidden="1">#REF!</definedName>
    <definedName name="fsdfffd" localSheetId="1" hidden="1">#REF!</definedName>
    <definedName name="fsdfffd" hidden="1">#REF!</definedName>
    <definedName name="fsdfsd" localSheetId="1" hidden="1">#REF!</definedName>
    <definedName name="fsdfsd" hidden="1">#REF!</definedName>
    <definedName name="fsfds" localSheetId="1" hidden="1">#REF!</definedName>
    <definedName name="fsfds" hidden="1">#REF!</definedName>
    <definedName name="fsfsd" localSheetId="1" hidden="1">#REF!</definedName>
    <definedName name="fsfsd" hidden="1">#REF!</definedName>
    <definedName name="gfff" localSheetId="1" hidden="1">{"CHARGE",#N/A,FALSE,"401C11"}</definedName>
    <definedName name="gfff" hidden="1">{"CHARGE",#N/A,FALSE,"401C11"}</definedName>
    <definedName name="gross" localSheetId="1" hidden="1">{"GROSS",#N/A,FALSE,"401C11"}</definedName>
    <definedName name="gross" hidden="1">{"GROSS",#N/A,FALSE,"401C11"}</definedName>
    <definedName name="gross1" localSheetId="1" hidden="1">{"GROSS",#N/A,FALSE,"401C11"}</definedName>
    <definedName name="gross1" hidden="1">{"GROSS",#N/A,FALSE,"401C11"}</definedName>
    <definedName name="hasdfjklhklj" localSheetId="1" hidden="1">{"NET",#N/A,FALSE,"401C11"}</definedName>
    <definedName name="hasdfjklhklj" hidden="1">{"NET",#N/A,FALSE,"401C11"}</definedName>
    <definedName name="help" localSheetId="1" hidden="1">{"CHARGE",#N/A,FALSE,"401C11"}</definedName>
    <definedName name="help" hidden="1">{"CHARGE",#N/A,FALSE,"401C11"}</definedName>
    <definedName name="hghghhj" localSheetId="1" hidden="1">{"CHARGE",#N/A,FALSE,"401C11"}</definedName>
    <definedName name="hghghhj" hidden="1">{"CHARGE",#N/A,FALSE,"401C11"}</definedName>
    <definedName name="HTML_CodePage" hidden="1">1252</definedName>
    <definedName name="HTML_Control" localSheetId="1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1" hidden="1">#REF!</definedName>
    <definedName name="JFELL" hidden="1">#REF!</definedName>
    <definedName name="new" localSheetId="1" hidden="1">{"bal",#N/A,FALSE,"working papers";"income",#N/A,FALSE,"working papers"}</definedName>
    <definedName name="new" hidden="1">{"bal",#N/A,FALSE,"working papers";"income",#N/A,FALSE,"working papers"}</definedName>
    <definedName name="OISIII" localSheetId="1" hidden="1">#REF!</definedName>
    <definedName name="OISIII" hidden="1">#REF!</definedName>
    <definedName name="qfx" localSheetId="1" hidden="1">{"NET",#N/A,FALSE,"401C11"}</definedName>
    <definedName name="qfx" hidden="1">{"NET",#N/A,FALSE,"401C11"}</definedName>
    <definedName name="qwefqefa" localSheetId="1" hidden="1">#REF!</definedName>
    <definedName name="qwefqefa" hidden="1">#REF!</definedName>
    <definedName name="real" localSheetId="1" hidden="1">#REF!</definedName>
    <definedName name="real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localSheetId="1">5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ytry" localSheetId="1" hidden="1">{"NET",#N/A,FALSE,"401C11"}</definedName>
    <definedName name="rytry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1" hidden="1">#REF!</definedName>
    <definedName name="sort" hidden="1">#REF!</definedName>
    <definedName name="Table3.4" localSheetId="1" hidden="1">{"CHARGE",#N/A,FALSE,"401C11"}</definedName>
    <definedName name="Table3.4" hidden="1">{"CHARGE",#N/A,FALSE,"401C11"}</definedName>
    <definedName name="Test23" localSheetId="1" hidden="1">{"NET",#N/A,FALSE,"401C11"}</definedName>
    <definedName name="Test23" hidden="1">{"NET",#N/A,FALSE,"401C11"}</definedName>
    <definedName name="trdhtr" localSheetId="1" hidden="1">#REF!</definedName>
    <definedName name="trdhtr" hidden="1">#REF!</definedName>
    <definedName name="Trk_Tol">Inputs!$F$161</definedName>
    <definedName name="wert" localSheetId="1" hidden="1">{"GROSS",#N/A,FALSE,"401C11"}</definedName>
    <definedName name="wert" hidden="1">{"GROSS",#N/A,FALSE,"401C11"}</definedName>
    <definedName name="wombat" localSheetId="1" hidden="1">#REF!</definedName>
    <definedName name="wombat" hidden="1">#REF!</definedName>
    <definedName name="wotsthis" localSheetId="1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1" hidden="1">{"CHARGE",#N/A,FALSE,"401C11"}</definedName>
    <definedName name="wrn.CHARGE." hidden="1">{"CHARGE",#N/A,FALSE,"401C11"}</definedName>
    <definedName name="wrn.GROSS." localSheetId="1" hidden="1">{"GROSS",#N/A,FALSE,"401C11"}</definedName>
    <definedName name="wrn.GROSS." hidden="1">{"GROSS",#N/A,FALSE,"401C11"}</definedName>
    <definedName name="wrn.NET." localSheetId="1" hidden="1">{"NET",#N/A,FALSE,"401C11"}</definedName>
    <definedName name="wrn.NET." hidden="1">{"NET",#N/A,FALSE,"401C11"}</definedName>
    <definedName name="wrn.papersdraft">{"bal",#N/A,FALSE,"working papers";"income",#N/A,FALSE,"working papers"}</definedName>
    <definedName name="wrn.Print._.5._.and._.12." localSheetId="1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1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1" hidden="1">{"CHARGE",#N/A,FALSE,"401C11"}</definedName>
    <definedName name="xxx" hidden="1">{"CHARGE",#N/A,FALSE,"401C11"}</definedName>
    <definedName name="yyy" localSheetId="1" hidden="1">{"GROSS",#N/A,FALSE,"401C11"}</definedName>
    <definedName name="yyy" hidden="1">{"GROSS",#N/A,FALSE,"401C11"}</definedName>
    <definedName name="zzz" localSheetId="1" hidden="1">{"NET",#N/A,FALSE,"401C11"}</definedName>
    <definedName name="zzz" hidden="1">{"NET",#N/A,FALSE,"401C11"}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06" l="1"/>
  <c r="A1" i="206"/>
  <c r="H130" i="188" l="1"/>
  <c r="F132" i="188" s="1"/>
  <c r="H124" i="188"/>
  <c r="H122" i="188"/>
  <c r="H112" i="188"/>
  <c r="F114" i="188" s="1"/>
  <c r="H104" i="188"/>
  <c r="H102" i="188"/>
  <c r="F94" i="188"/>
  <c r="H92" i="188"/>
  <c r="H86" i="188"/>
  <c r="H84" i="188"/>
  <c r="H82" i="188"/>
  <c r="N41" i="188"/>
  <c r="M41" i="188"/>
  <c r="F43" i="188" s="1"/>
  <c r="T39" i="188"/>
  <c r="U41" i="188" s="1"/>
  <c r="S39" i="188"/>
  <c r="T41" i="188" s="1"/>
  <c r="R39" i="188"/>
  <c r="S41" i="188" s="1"/>
  <c r="Q39" i="188"/>
  <c r="R41" i="188" s="1"/>
  <c r="P39" i="188"/>
  <c r="Q41" i="188" s="1"/>
  <c r="O39" i="188"/>
  <c r="P41" i="188" s="1"/>
  <c r="N39" i="188"/>
  <c r="O41" i="188" s="1"/>
  <c r="M39" i="188"/>
  <c r="L39" i="188"/>
  <c r="K39" i="188"/>
  <c r="L41" i="188" s="1"/>
  <c r="J39" i="188"/>
  <c r="K41" i="188" s="1"/>
  <c r="U39" i="188" l="1"/>
  <c r="V39" i="188" l="1"/>
  <c r="V41" i="188"/>
  <c r="W39" i="188" l="1"/>
  <c r="W41" i="188"/>
  <c r="F150" i="188" l="1"/>
  <c r="F13" i="193" l="1"/>
  <c r="M26" i="187"/>
  <c r="L26" i="187"/>
  <c r="G32" i="193"/>
  <c r="E32" i="193"/>
  <c r="G31" i="193"/>
  <c r="E31" i="193"/>
  <c r="G30" i="193"/>
  <c r="E30" i="193"/>
  <c r="G29" i="193"/>
  <c r="E29" i="193"/>
  <c r="G28" i="193"/>
  <c r="E28" i="193"/>
  <c r="G16" i="193"/>
  <c r="E16" i="193"/>
  <c r="G15" i="193"/>
  <c r="F15" i="193"/>
  <c r="E15" i="193"/>
  <c r="G14" i="193"/>
  <c r="F14" i="193"/>
  <c r="E14" i="193"/>
  <c r="G13" i="193"/>
  <c r="E13" i="193"/>
  <c r="E5" i="193"/>
  <c r="E4" i="193"/>
  <c r="G3" i="193"/>
  <c r="E3" i="193"/>
  <c r="G2" i="193"/>
  <c r="E2" i="193"/>
  <c r="A1" i="193"/>
  <c r="W8" i="200" s="1"/>
  <c r="F9" i="202"/>
  <c r="F8" i="202"/>
  <c r="I15" i="190"/>
  <c r="G15" i="190"/>
  <c r="F15" i="190"/>
  <c r="E15" i="190"/>
  <c r="I13" i="190"/>
  <c r="G13" i="190"/>
  <c r="F13" i="190"/>
  <c r="E13" i="190"/>
  <c r="I11" i="190"/>
  <c r="G11" i="190"/>
  <c r="F11" i="190"/>
  <c r="E11" i="190"/>
  <c r="I9" i="190"/>
  <c r="G9" i="190"/>
  <c r="F9" i="190"/>
  <c r="E9" i="190"/>
  <c r="E5" i="190"/>
  <c r="E4" i="190"/>
  <c r="G3" i="190"/>
  <c r="E3" i="190"/>
  <c r="G2" i="190"/>
  <c r="E2" i="190"/>
  <c r="A1" i="190"/>
  <c r="O8" i="200" s="1"/>
  <c r="I140" i="201"/>
  <c r="G140" i="201"/>
  <c r="F140" i="201"/>
  <c r="E140" i="201"/>
  <c r="I139" i="201"/>
  <c r="G139" i="201"/>
  <c r="F139" i="201"/>
  <c r="E139" i="201"/>
  <c r="I134" i="201"/>
  <c r="G134" i="201"/>
  <c r="F134" i="201"/>
  <c r="E134" i="201"/>
  <c r="I133" i="201"/>
  <c r="G133" i="201"/>
  <c r="F133" i="201"/>
  <c r="E133" i="201"/>
  <c r="I132" i="201"/>
  <c r="G132" i="201"/>
  <c r="F132" i="201"/>
  <c r="E132" i="201"/>
  <c r="I127" i="201"/>
  <c r="G127" i="201"/>
  <c r="F127" i="201"/>
  <c r="E127" i="201"/>
  <c r="I126" i="201"/>
  <c r="G126" i="201"/>
  <c r="F126" i="201"/>
  <c r="E126" i="201"/>
  <c r="I123" i="201"/>
  <c r="G123" i="201"/>
  <c r="F123" i="201"/>
  <c r="E123" i="201"/>
  <c r="I122" i="201"/>
  <c r="G122" i="201"/>
  <c r="F122" i="201"/>
  <c r="E122" i="201"/>
  <c r="I121" i="201"/>
  <c r="H121" i="201"/>
  <c r="G121" i="201"/>
  <c r="F121" i="201"/>
  <c r="E121" i="201"/>
  <c r="W120" i="201"/>
  <c r="V120" i="201"/>
  <c r="U120" i="201"/>
  <c r="T120" i="201"/>
  <c r="S120" i="201"/>
  <c r="R120" i="201"/>
  <c r="Q120" i="201"/>
  <c r="P120" i="201"/>
  <c r="O120" i="201"/>
  <c r="N120" i="201"/>
  <c r="M120" i="201"/>
  <c r="L120" i="201"/>
  <c r="K120" i="201"/>
  <c r="J120" i="201"/>
  <c r="I120" i="201"/>
  <c r="H120" i="201"/>
  <c r="G120" i="201"/>
  <c r="F120" i="201"/>
  <c r="E120" i="201"/>
  <c r="I117" i="201"/>
  <c r="G117" i="201"/>
  <c r="F117" i="201"/>
  <c r="E117" i="201"/>
  <c r="I116" i="201"/>
  <c r="G116" i="201"/>
  <c r="F116" i="201"/>
  <c r="E116" i="201"/>
  <c r="I115" i="201"/>
  <c r="H115" i="201"/>
  <c r="G115" i="201"/>
  <c r="F115" i="201"/>
  <c r="E115" i="201"/>
  <c r="W114" i="201"/>
  <c r="V114" i="201"/>
  <c r="U114" i="201"/>
  <c r="T114" i="201"/>
  <c r="S114" i="201"/>
  <c r="R114" i="201"/>
  <c r="Q114" i="201"/>
  <c r="P114" i="201"/>
  <c r="O114" i="201"/>
  <c r="N114" i="201"/>
  <c r="M114" i="201"/>
  <c r="L114" i="201"/>
  <c r="K114" i="201"/>
  <c r="J114" i="201"/>
  <c r="I114" i="201"/>
  <c r="H114" i="201"/>
  <c r="G114" i="201"/>
  <c r="F114" i="201"/>
  <c r="E114" i="201"/>
  <c r="I107" i="201"/>
  <c r="G107" i="201"/>
  <c r="F107" i="201"/>
  <c r="E107" i="201"/>
  <c r="W106" i="201"/>
  <c r="V106" i="201"/>
  <c r="I106" i="201"/>
  <c r="G106" i="201"/>
  <c r="F106" i="201"/>
  <c r="E106" i="201"/>
  <c r="W105" i="201"/>
  <c r="V105" i="201"/>
  <c r="I105" i="201"/>
  <c r="G105" i="201"/>
  <c r="F105" i="201"/>
  <c r="E105" i="201"/>
  <c r="I100" i="201"/>
  <c r="H100" i="201"/>
  <c r="G100" i="201"/>
  <c r="F100" i="201"/>
  <c r="E100" i="201"/>
  <c r="W99" i="201"/>
  <c r="V99" i="201"/>
  <c r="U99" i="201"/>
  <c r="T99" i="201"/>
  <c r="S99" i="201"/>
  <c r="R99" i="201"/>
  <c r="Q99" i="201"/>
  <c r="P99" i="201"/>
  <c r="O99" i="201"/>
  <c r="N99" i="201"/>
  <c r="M99" i="201"/>
  <c r="L99" i="201"/>
  <c r="K99" i="201"/>
  <c r="J99" i="201"/>
  <c r="I99" i="201"/>
  <c r="H99" i="201"/>
  <c r="G99" i="201"/>
  <c r="F99" i="201"/>
  <c r="E99" i="201"/>
  <c r="I94" i="201"/>
  <c r="G94" i="201"/>
  <c r="F94" i="201"/>
  <c r="E94" i="201"/>
  <c r="I93" i="201"/>
  <c r="G93" i="201"/>
  <c r="F93" i="201"/>
  <c r="E93" i="201"/>
  <c r="I92" i="201"/>
  <c r="H92" i="201"/>
  <c r="G92" i="201"/>
  <c r="F92" i="201"/>
  <c r="E92" i="201"/>
  <c r="I89" i="201"/>
  <c r="G89" i="201"/>
  <c r="F89" i="201"/>
  <c r="E89" i="201"/>
  <c r="W88" i="201"/>
  <c r="V88" i="201"/>
  <c r="U88" i="201"/>
  <c r="T88" i="201"/>
  <c r="S88" i="201"/>
  <c r="R88" i="201"/>
  <c r="Q88" i="201"/>
  <c r="P88" i="201"/>
  <c r="O88" i="201"/>
  <c r="N88" i="201"/>
  <c r="M88" i="201"/>
  <c r="L88" i="201"/>
  <c r="K88" i="201"/>
  <c r="J88" i="201"/>
  <c r="I88" i="201"/>
  <c r="H88" i="201"/>
  <c r="G88" i="201"/>
  <c r="F88" i="201"/>
  <c r="E88" i="201"/>
  <c r="I85" i="201"/>
  <c r="G85" i="201"/>
  <c r="F85" i="201"/>
  <c r="E85" i="201"/>
  <c r="I82" i="201"/>
  <c r="G82" i="201"/>
  <c r="F82" i="201"/>
  <c r="E82" i="201"/>
  <c r="I81" i="201"/>
  <c r="H81" i="201"/>
  <c r="G81" i="201"/>
  <c r="F81" i="201"/>
  <c r="E81" i="201"/>
  <c r="I80" i="201"/>
  <c r="G80" i="201"/>
  <c r="F80" i="201"/>
  <c r="E80" i="201"/>
  <c r="I77" i="201"/>
  <c r="H77" i="201"/>
  <c r="G77" i="201"/>
  <c r="F77" i="201"/>
  <c r="E77" i="201"/>
  <c r="W76" i="201"/>
  <c r="V76" i="201"/>
  <c r="U76" i="201"/>
  <c r="T76" i="201"/>
  <c r="S76" i="201"/>
  <c r="R76" i="201"/>
  <c r="Q76" i="201"/>
  <c r="P76" i="201"/>
  <c r="O76" i="201"/>
  <c r="N76" i="201"/>
  <c r="M76" i="201"/>
  <c r="L76" i="201"/>
  <c r="K76" i="201"/>
  <c r="J76" i="201"/>
  <c r="I76" i="201"/>
  <c r="H76" i="201"/>
  <c r="G76" i="201"/>
  <c r="F76" i="201"/>
  <c r="E76" i="201"/>
  <c r="I73" i="201"/>
  <c r="H73" i="201"/>
  <c r="G73" i="201"/>
  <c r="F73" i="201"/>
  <c r="E73" i="201"/>
  <c r="I72" i="201"/>
  <c r="H72" i="201"/>
  <c r="G72" i="201"/>
  <c r="F72" i="201"/>
  <c r="E72" i="201"/>
  <c r="W71" i="201"/>
  <c r="V71" i="201"/>
  <c r="U71" i="201"/>
  <c r="T71" i="201"/>
  <c r="S71" i="201"/>
  <c r="R71" i="201"/>
  <c r="Q71" i="201"/>
  <c r="P71" i="201"/>
  <c r="O71" i="201"/>
  <c r="N71" i="201"/>
  <c r="M71" i="201"/>
  <c r="L71" i="201"/>
  <c r="K71" i="201"/>
  <c r="J71" i="201"/>
  <c r="I71" i="201"/>
  <c r="H71" i="201"/>
  <c r="G71" i="201"/>
  <c r="F71" i="201"/>
  <c r="E71" i="201"/>
  <c r="W70" i="201"/>
  <c r="V70" i="201"/>
  <c r="U70" i="201"/>
  <c r="T70" i="201"/>
  <c r="S70" i="201"/>
  <c r="R70" i="201"/>
  <c r="Q70" i="201"/>
  <c r="P70" i="201"/>
  <c r="O70" i="201"/>
  <c r="N70" i="201"/>
  <c r="M70" i="201"/>
  <c r="L70" i="201"/>
  <c r="K70" i="201"/>
  <c r="J70" i="201"/>
  <c r="I70" i="201"/>
  <c r="H70" i="201"/>
  <c r="G70" i="201"/>
  <c r="F70" i="201"/>
  <c r="E70" i="201"/>
  <c r="I67" i="201"/>
  <c r="H67" i="201"/>
  <c r="G67" i="201"/>
  <c r="F67" i="201"/>
  <c r="E67" i="201"/>
  <c r="W66" i="201"/>
  <c r="V66" i="201"/>
  <c r="U66" i="201"/>
  <c r="T66" i="201"/>
  <c r="S66" i="201"/>
  <c r="R66" i="201"/>
  <c r="Q66" i="201"/>
  <c r="P66" i="201"/>
  <c r="O66" i="201"/>
  <c r="N66" i="201"/>
  <c r="M66" i="201"/>
  <c r="L66" i="201"/>
  <c r="K66" i="201"/>
  <c r="J66" i="201"/>
  <c r="I66" i="201"/>
  <c r="H66" i="201"/>
  <c r="G66" i="201"/>
  <c r="F66" i="201"/>
  <c r="E66" i="201"/>
  <c r="I63" i="201"/>
  <c r="G63" i="201"/>
  <c r="F63" i="201"/>
  <c r="E63" i="201"/>
  <c r="I62" i="201"/>
  <c r="G62" i="201"/>
  <c r="F62" i="201"/>
  <c r="E62" i="201"/>
  <c r="I55" i="201"/>
  <c r="G55" i="201"/>
  <c r="F55" i="201"/>
  <c r="E55" i="201"/>
  <c r="I54" i="201"/>
  <c r="H54" i="201"/>
  <c r="G54" i="201"/>
  <c r="F54" i="201"/>
  <c r="E54" i="201"/>
  <c r="I51" i="201"/>
  <c r="H51" i="201"/>
  <c r="G51" i="201"/>
  <c r="F51" i="201"/>
  <c r="E51" i="201"/>
  <c r="I50" i="201"/>
  <c r="G50" i="201"/>
  <c r="F50" i="201"/>
  <c r="E50" i="201"/>
  <c r="W49" i="201"/>
  <c r="V49" i="201"/>
  <c r="U49" i="201"/>
  <c r="T49" i="201"/>
  <c r="S49" i="201"/>
  <c r="R49" i="201"/>
  <c r="Q49" i="201"/>
  <c r="P49" i="201"/>
  <c r="O49" i="201"/>
  <c r="N49" i="201"/>
  <c r="M49" i="201"/>
  <c r="L49" i="201"/>
  <c r="K49" i="201"/>
  <c r="J49" i="201"/>
  <c r="I49" i="201"/>
  <c r="H49" i="201"/>
  <c r="G49" i="201"/>
  <c r="F49" i="201"/>
  <c r="E49" i="201"/>
  <c r="W48" i="201"/>
  <c r="V48" i="201"/>
  <c r="U48" i="201"/>
  <c r="T48" i="201"/>
  <c r="S48" i="201"/>
  <c r="R48" i="201"/>
  <c r="Q48" i="201"/>
  <c r="P48" i="201"/>
  <c r="O48" i="201"/>
  <c r="N48" i="201"/>
  <c r="M48" i="201"/>
  <c r="L48" i="201"/>
  <c r="K48" i="201"/>
  <c r="J48" i="201"/>
  <c r="I48" i="201"/>
  <c r="H48" i="201"/>
  <c r="G48" i="201"/>
  <c r="F48" i="201"/>
  <c r="E48" i="201"/>
  <c r="W43" i="201"/>
  <c r="V43" i="201"/>
  <c r="U43" i="201"/>
  <c r="T43" i="201"/>
  <c r="S43" i="201"/>
  <c r="R43" i="201"/>
  <c r="Q43" i="201"/>
  <c r="P43" i="201"/>
  <c r="O43" i="201"/>
  <c r="N43" i="201"/>
  <c r="M43" i="201"/>
  <c r="L43" i="201"/>
  <c r="K43" i="201"/>
  <c r="J43" i="201"/>
  <c r="I43" i="201"/>
  <c r="H43" i="201"/>
  <c r="G43" i="201"/>
  <c r="F43" i="201"/>
  <c r="E43" i="201"/>
  <c r="I42" i="201"/>
  <c r="G42" i="201"/>
  <c r="F42" i="201"/>
  <c r="E42" i="201"/>
  <c r="J39" i="201"/>
  <c r="I39" i="201"/>
  <c r="G39" i="201"/>
  <c r="F39" i="201"/>
  <c r="E39" i="201"/>
  <c r="I38" i="201"/>
  <c r="G38" i="201"/>
  <c r="F38" i="201"/>
  <c r="E38" i="201"/>
  <c r="I37" i="201"/>
  <c r="G37" i="201"/>
  <c r="F37" i="201"/>
  <c r="E37" i="201"/>
  <c r="I30" i="201"/>
  <c r="G30" i="201"/>
  <c r="F30" i="201"/>
  <c r="E30" i="201"/>
  <c r="I29" i="201"/>
  <c r="H29" i="201"/>
  <c r="G29" i="201"/>
  <c r="F29" i="201"/>
  <c r="E29" i="201"/>
  <c r="I26" i="201"/>
  <c r="H26" i="201"/>
  <c r="G26" i="201"/>
  <c r="F26" i="201"/>
  <c r="E26" i="201"/>
  <c r="I25" i="201"/>
  <c r="G25" i="201"/>
  <c r="F25" i="201"/>
  <c r="E25" i="201"/>
  <c r="W24" i="201"/>
  <c r="V24" i="201"/>
  <c r="U24" i="201"/>
  <c r="T24" i="201"/>
  <c r="S24" i="201"/>
  <c r="R24" i="201"/>
  <c r="Q24" i="201"/>
  <c r="P24" i="201"/>
  <c r="O24" i="201"/>
  <c r="N24" i="201"/>
  <c r="M24" i="201"/>
  <c r="L24" i="201"/>
  <c r="K24" i="201"/>
  <c r="J24" i="201"/>
  <c r="I24" i="201"/>
  <c r="H24" i="201"/>
  <c r="G24" i="201"/>
  <c r="F24" i="201"/>
  <c r="E24" i="201"/>
  <c r="W21" i="201"/>
  <c r="V21" i="201"/>
  <c r="U21" i="201"/>
  <c r="T21" i="201"/>
  <c r="S21" i="201"/>
  <c r="R21" i="201"/>
  <c r="Q21" i="201"/>
  <c r="P21" i="201"/>
  <c r="O21" i="201"/>
  <c r="N21" i="201"/>
  <c r="M21" i="201"/>
  <c r="L21" i="201"/>
  <c r="K21" i="201"/>
  <c r="J21" i="201"/>
  <c r="I21" i="201"/>
  <c r="H21" i="201"/>
  <c r="G21" i="201"/>
  <c r="F21" i="201"/>
  <c r="E21" i="201"/>
  <c r="W20" i="201"/>
  <c r="V20" i="201"/>
  <c r="U20" i="201"/>
  <c r="T20" i="201"/>
  <c r="S20" i="201"/>
  <c r="R20" i="201"/>
  <c r="Q20" i="201"/>
  <c r="P20" i="201"/>
  <c r="O20" i="201"/>
  <c r="N20" i="201"/>
  <c r="M20" i="201"/>
  <c r="L20" i="201"/>
  <c r="K20" i="201"/>
  <c r="J20" i="201"/>
  <c r="I20" i="201"/>
  <c r="H20" i="201"/>
  <c r="G20" i="201"/>
  <c r="F20" i="201"/>
  <c r="S22" i="201" s="1"/>
  <c r="S25" i="201" s="1"/>
  <c r="E20" i="201"/>
  <c r="I13" i="201"/>
  <c r="G13" i="201"/>
  <c r="F13" i="201"/>
  <c r="E13" i="201"/>
  <c r="I12" i="201"/>
  <c r="H12" i="201"/>
  <c r="G12" i="201"/>
  <c r="F12" i="201"/>
  <c r="E12" i="201"/>
  <c r="W11" i="201"/>
  <c r="V11" i="201"/>
  <c r="U11" i="201"/>
  <c r="T11" i="201"/>
  <c r="S11" i="201"/>
  <c r="R11" i="201"/>
  <c r="Q11" i="201"/>
  <c r="P11" i="201"/>
  <c r="O11" i="201"/>
  <c r="N11" i="201"/>
  <c r="M11" i="201"/>
  <c r="L11" i="201"/>
  <c r="K11" i="201"/>
  <c r="J11" i="201"/>
  <c r="I11" i="201"/>
  <c r="H11" i="201"/>
  <c r="G11" i="201"/>
  <c r="F11" i="201"/>
  <c r="E11" i="201"/>
  <c r="E5" i="201"/>
  <c r="E4" i="201"/>
  <c r="G3" i="201"/>
  <c r="E3" i="201"/>
  <c r="G2" i="201"/>
  <c r="E2" i="201"/>
  <c r="A1" i="201"/>
  <c r="K20" i="200" s="1"/>
  <c r="I143" i="189"/>
  <c r="G143" i="189"/>
  <c r="F143" i="189"/>
  <c r="E143" i="189"/>
  <c r="I142" i="189"/>
  <c r="G142" i="189"/>
  <c r="F142" i="189"/>
  <c r="E142" i="189"/>
  <c r="I137" i="189"/>
  <c r="G137" i="189"/>
  <c r="F137" i="189"/>
  <c r="E137" i="189"/>
  <c r="I136" i="189"/>
  <c r="G136" i="189"/>
  <c r="F136" i="189"/>
  <c r="E136" i="189"/>
  <c r="I135" i="189"/>
  <c r="G135" i="189"/>
  <c r="F135" i="189"/>
  <c r="E135" i="189"/>
  <c r="I130" i="189"/>
  <c r="G130" i="189"/>
  <c r="F130" i="189"/>
  <c r="E130" i="189"/>
  <c r="I129" i="189"/>
  <c r="G129" i="189"/>
  <c r="F129" i="189"/>
  <c r="E129" i="189"/>
  <c r="I126" i="189"/>
  <c r="G126" i="189"/>
  <c r="F126" i="189"/>
  <c r="E126" i="189"/>
  <c r="I125" i="189"/>
  <c r="G125" i="189"/>
  <c r="F125" i="189"/>
  <c r="E125" i="189"/>
  <c r="I124" i="189"/>
  <c r="H124" i="189"/>
  <c r="G124" i="189"/>
  <c r="F124" i="189"/>
  <c r="E124" i="189"/>
  <c r="W123" i="189"/>
  <c r="V123" i="189"/>
  <c r="U123" i="189"/>
  <c r="T123" i="189"/>
  <c r="S123" i="189"/>
  <c r="R123" i="189"/>
  <c r="Q123" i="189"/>
  <c r="P123" i="189"/>
  <c r="O123" i="189"/>
  <c r="N123" i="189"/>
  <c r="M123" i="189"/>
  <c r="L123" i="189"/>
  <c r="K123" i="189"/>
  <c r="J123" i="189"/>
  <c r="I123" i="189"/>
  <c r="H123" i="189"/>
  <c r="G123" i="189"/>
  <c r="F123" i="189"/>
  <c r="E123" i="189"/>
  <c r="I120" i="189"/>
  <c r="G120" i="189"/>
  <c r="F120" i="189"/>
  <c r="E120" i="189"/>
  <c r="I119" i="189"/>
  <c r="G119" i="189"/>
  <c r="F119" i="189"/>
  <c r="E119" i="189"/>
  <c r="I118" i="189"/>
  <c r="H118" i="189"/>
  <c r="G118" i="189"/>
  <c r="F118" i="189"/>
  <c r="E118" i="189"/>
  <c r="W117" i="189"/>
  <c r="V117" i="189"/>
  <c r="U117" i="189"/>
  <c r="T117" i="189"/>
  <c r="S117" i="189"/>
  <c r="R117" i="189"/>
  <c r="Q117" i="189"/>
  <c r="P117" i="189"/>
  <c r="O117" i="189"/>
  <c r="N117" i="189"/>
  <c r="M117" i="189"/>
  <c r="L117" i="189"/>
  <c r="K117" i="189"/>
  <c r="J117" i="189"/>
  <c r="I117" i="189"/>
  <c r="H117" i="189"/>
  <c r="G117" i="189"/>
  <c r="F117" i="189"/>
  <c r="E117" i="189"/>
  <c r="I110" i="189"/>
  <c r="G110" i="189"/>
  <c r="F110" i="189"/>
  <c r="E110" i="189"/>
  <c r="W109" i="189"/>
  <c r="V109" i="189"/>
  <c r="I109" i="189"/>
  <c r="G109" i="189"/>
  <c r="F109" i="189"/>
  <c r="E109" i="189"/>
  <c r="W108" i="189"/>
  <c r="V108" i="189"/>
  <c r="I108" i="189"/>
  <c r="G108" i="189"/>
  <c r="F108" i="189"/>
  <c r="E108" i="189"/>
  <c r="I103" i="189"/>
  <c r="H103" i="189"/>
  <c r="G103" i="189"/>
  <c r="F103" i="189"/>
  <c r="E103" i="189"/>
  <c r="W102" i="189"/>
  <c r="V102" i="189"/>
  <c r="U102" i="189"/>
  <c r="T102" i="189"/>
  <c r="S102" i="189"/>
  <c r="R102" i="189"/>
  <c r="Q102" i="189"/>
  <c r="P102" i="189"/>
  <c r="O102" i="189"/>
  <c r="N102" i="189"/>
  <c r="M102" i="189"/>
  <c r="L102" i="189"/>
  <c r="K102" i="189"/>
  <c r="J102" i="189"/>
  <c r="I102" i="189"/>
  <c r="H102" i="189"/>
  <c r="G102" i="189"/>
  <c r="F102" i="189"/>
  <c r="E102" i="189"/>
  <c r="I97" i="189"/>
  <c r="G97" i="189"/>
  <c r="F97" i="189"/>
  <c r="E97" i="189"/>
  <c r="I96" i="189"/>
  <c r="G96" i="189"/>
  <c r="F96" i="189"/>
  <c r="E96" i="189"/>
  <c r="I95" i="189"/>
  <c r="H95" i="189"/>
  <c r="G95" i="189"/>
  <c r="F95" i="189"/>
  <c r="E95" i="189"/>
  <c r="I92" i="189"/>
  <c r="G92" i="189"/>
  <c r="F92" i="189"/>
  <c r="E92" i="189"/>
  <c r="W91" i="189"/>
  <c r="V91" i="189"/>
  <c r="U91" i="189"/>
  <c r="T91" i="189"/>
  <c r="S91" i="189"/>
  <c r="R91" i="189"/>
  <c r="Q91" i="189"/>
  <c r="P91" i="189"/>
  <c r="O91" i="189"/>
  <c r="N91" i="189"/>
  <c r="M91" i="189"/>
  <c r="L91" i="189"/>
  <c r="K91" i="189"/>
  <c r="J91" i="189"/>
  <c r="I91" i="189"/>
  <c r="H91" i="189"/>
  <c r="G91" i="189"/>
  <c r="F91" i="189"/>
  <c r="E91" i="189"/>
  <c r="G87" i="189"/>
  <c r="F87" i="189"/>
  <c r="E87" i="189"/>
  <c r="W85" i="189" a="1"/>
  <c r="W85" i="189" s="1"/>
  <c r="V85" i="189" a="1"/>
  <c r="V85" i="189" s="1"/>
  <c r="U85" i="189" a="1"/>
  <c r="U85" i="189" s="1"/>
  <c r="T85" i="189" a="1"/>
  <c r="T85" i="189" s="1"/>
  <c r="S85" i="189" a="1"/>
  <c r="S85" i="189" s="1"/>
  <c r="R85" i="189" a="1"/>
  <c r="R85" i="189" s="1"/>
  <c r="Q85" i="189" a="1"/>
  <c r="Q85" i="189" s="1"/>
  <c r="P85" i="189" a="1"/>
  <c r="P85" i="189" s="1"/>
  <c r="O85" i="189" a="1"/>
  <c r="O85" i="189" s="1"/>
  <c r="N85" i="189" a="1"/>
  <c r="N85" i="189" s="1"/>
  <c r="M85" i="189" a="1"/>
  <c r="M85" i="189" s="1"/>
  <c r="L85" i="189" a="1"/>
  <c r="L85" i="189" s="1"/>
  <c r="K85" i="189" a="1"/>
  <c r="K85" i="189" s="1"/>
  <c r="J85" i="189" a="1"/>
  <c r="J85" i="189" s="1"/>
  <c r="F85" i="189"/>
  <c r="I82" i="189"/>
  <c r="G82" i="189"/>
  <c r="F82" i="189"/>
  <c r="E82" i="189"/>
  <c r="I81" i="189"/>
  <c r="H81" i="189"/>
  <c r="G81" i="189"/>
  <c r="F81" i="189"/>
  <c r="E81" i="189"/>
  <c r="I80" i="189"/>
  <c r="G80" i="189"/>
  <c r="F80" i="189"/>
  <c r="E80" i="189"/>
  <c r="I77" i="189"/>
  <c r="H77" i="189"/>
  <c r="G77" i="189"/>
  <c r="F77" i="189"/>
  <c r="E77" i="189"/>
  <c r="W76" i="189"/>
  <c r="V76" i="189"/>
  <c r="U76" i="189"/>
  <c r="T76" i="189"/>
  <c r="S76" i="189"/>
  <c r="R76" i="189"/>
  <c r="Q76" i="189"/>
  <c r="P76" i="189"/>
  <c r="O76" i="189"/>
  <c r="N76" i="189"/>
  <c r="M76" i="189"/>
  <c r="L76" i="189"/>
  <c r="K76" i="189"/>
  <c r="J76" i="189"/>
  <c r="I76" i="189"/>
  <c r="H76" i="189"/>
  <c r="G76" i="189"/>
  <c r="F76" i="189"/>
  <c r="E76" i="189"/>
  <c r="I73" i="189"/>
  <c r="H73" i="189"/>
  <c r="G73" i="189"/>
  <c r="F73" i="189"/>
  <c r="E73" i="189"/>
  <c r="I72" i="189"/>
  <c r="H72" i="189"/>
  <c r="G72" i="189"/>
  <c r="F72" i="189"/>
  <c r="E72" i="189"/>
  <c r="W71" i="189"/>
  <c r="V71" i="189"/>
  <c r="U71" i="189"/>
  <c r="T71" i="189"/>
  <c r="S71" i="189"/>
  <c r="R71" i="189"/>
  <c r="Q71" i="189"/>
  <c r="P71" i="189"/>
  <c r="O71" i="189"/>
  <c r="N71" i="189"/>
  <c r="M71" i="189"/>
  <c r="L71" i="189"/>
  <c r="K71" i="189"/>
  <c r="J71" i="189"/>
  <c r="I71" i="189"/>
  <c r="H71" i="189"/>
  <c r="G71" i="189"/>
  <c r="F71" i="189"/>
  <c r="E71" i="189"/>
  <c r="W70" i="189"/>
  <c r="V70" i="189"/>
  <c r="U70" i="189"/>
  <c r="T70" i="189"/>
  <c r="S70" i="189"/>
  <c r="R70" i="189"/>
  <c r="Q70" i="189"/>
  <c r="P70" i="189"/>
  <c r="O70" i="189"/>
  <c r="N70" i="189"/>
  <c r="M70" i="189"/>
  <c r="L70" i="189"/>
  <c r="K70" i="189"/>
  <c r="J70" i="189"/>
  <c r="I70" i="189"/>
  <c r="H70" i="189"/>
  <c r="G70" i="189"/>
  <c r="F70" i="189"/>
  <c r="E70" i="189"/>
  <c r="I67" i="189"/>
  <c r="H67" i="189"/>
  <c r="G67" i="189"/>
  <c r="F67" i="189"/>
  <c r="E67" i="189"/>
  <c r="W66" i="189"/>
  <c r="V66" i="189"/>
  <c r="U66" i="189"/>
  <c r="T66" i="189"/>
  <c r="S66" i="189"/>
  <c r="R66" i="189"/>
  <c r="Q66" i="189"/>
  <c r="P66" i="189"/>
  <c r="O66" i="189"/>
  <c r="N66" i="189"/>
  <c r="M66" i="189"/>
  <c r="L66" i="189"/>
  <c r="K66" i="189"/>
  <c r="J66" i="189"/>
  <c r="I66" i="189"/>
  <c r="H66" i="189"/>
  <c r="G66" i="189"/>
  <c r="F66" i="189"/>
  <c r="E66" i="189"/>
  <c r="I63" i="189"/>
  <c r="G63" i="189"/>
  <c r="F63" i="189"/>
  <c r="E63" i="189"/>
  <c r="I62" i="189"/>
  <c r="G62" i="189"/>
  <c r="F62" i="189"/>
  <c r="E62" i="189"/>
  <c r="I55" i="189"/>
  <c r="G55" i="189"/>
  <c r="F55" i="189"/>
  <c r="E55" i="189"/>
  <c r="I54" i="189"/>
  <c r="H54" i="189"/>
  <c r="G54" i="189"/>
  <c r="F54" i="189"/>
  <c r="E54" i="189"/>
  <c r="I51" i="189"/>
  <c r="H51" i="189"/>
  <c r="G51" i="189"/>
  <c r="F51" i="189"/>
  <c r="E51" i="189"/>
  <c r="I50" i="189"/>
  <c r="G50" i="189"/>
  <c r="F50" i="189"/>
  <c r="E50" i="189"/>
  <c r="W49" i="189"/>
  <c r="V49" i="189"/>
  <c r="U49" i="189"/>
  <c r="T49" i="189"/>
  <c r="S49" i="189"/>
  <c r="R49" i="189"/>
  <c r="Q49" i="189"/>
  <c r="P49" i="189"/>
  <c r="O49" i="189"/>
  <c r="N49" i="189"/>
  <c r="M49" i="189"/>
  <c r="L49" i="189"/>
  <c r="K49" i="189"/>
  <c r="J49" i="189"/>
  <c r="I49" i="189"/>
  <c r="H49" i="189"/>
  <c r="G49" i="189"/>
  <c r="F49" i="189"/>
  <c r="E49" i="189"/>
  <c r="W48" i="189"/>
  <c r="V48" i="189"/>
  <c r="U48" i="189"/>
  <c r="T48" i="189"/>
  <c r="S48" i="189"/>
  <c r="R48" i="189"/>
  <c r="Q48" i="189"/>
  <c r="P48" i="189"/>
  <c r="O48" i="189"/>
  <c r="N48" i="189"/>
  <c r="M48" i="189"/>
  <c r="L48" i="189"/>
  <c r="K48" i="189"/>
  <c r="J48" i="189"/>
  <c r="I48" i="189"/>
  <c r="H48" i="189"/>
  <c r="G48" i="189"/>
  <c r="F48" i="189"/>
  <c r="E48" i="189"/>
  <c r="W43" i="189"/>
  <c r="V43" i="189"/>
  <c r="U43" i="189"/>
  <c r="T43" i="189"/>
  <c r="S43" i="189"/>
  <c r="R43" i="189"/>
  <c r="Q43" i="189"/>
  <c r="P43" i="189"/>
  <c r="O43" i="189"/>
  <c r="N43" i="189"/>
  <c r="M43" i="189"/>
  <c r="L43" i="189"/>
  <c r="K43" i="189"/>
  <c r="J43" i="189"/>
  <c r="I43" i="189"/>
  <c r="G43" i="189"/>
  <c r="F43" i="189"/>
  <c r="E43" i="189"/>
  <c r="I42" i="189"/>
  <c r="G42" i="189"/>
  <c r="F42" i="189"/>
  <c r="E42" i="189"/>
  <c r="J39" i="189"/>
  <c r="I39" i="189"/>
  <c r="G39" i="189"/>
  <c r="F39" i="189"/>
  <c r="E39" i="189"/>
  <c r="I38" i="189"/>
  <c r="G38" i="189"/>
  <c r="F38" i="189"/>
  <c r="E38" i="189"/>
  <c r="I37" i="189"/>
  <c r="G37" i="189"/>
  <c r="F37" i="189"/>
  <c r="E37" i="189"/>
  <c r="I30" i="189"/>
  <c r="G30" i="189"/>
  <c r="F30" i="189"/>
  <c r="E30" i="189"/>
  <c r="I29" i="189"/>
  <c r="H29" i="189"/>
  <c r="G29" i="189"/>
  <c r="F29" i="189"/>
  <c r="E29" i="189"/>
  <c r="I26" i="189"/>
  <c r="H26" i="189"/>
  <c r="G26" i="189"/>
  <c r="F26" i="189"/>
  <c r="E26" i="189"/>
  <c r="I25" i="189"/>
  <c r="G25" i="189"/>
  <c r="F25" i="189"/>
  <c r="E25" i="189"/>
  <c r="W24" i="189"/>
  <c r="V24" i="189"/>
  <c r="U24" i="189"/>
  <c r="T24" i="189"/>
  <c r="S24" i="189"/>
  <c r="R24" i="189"/>
  <c r="Q24" i="189"/>
  <c r="P24" i="189"/>
  <c r="O24" i="189"/>
  <c r="N24" i="189"/>
  <c r="M24" i="189"/>
  <c r="L24" i="189"/>
  <c r="K24" i="189"/>
  <c r="J24" i="189"/>
  <c r="I24" i="189"/>
  <c r="H24" i="189"/>
  <c r="G24" i="189"/>
  <c r="F24" i="189"/>
  <c r="E24" i="189"/>
  <c r="W21" i="189"/>
  <c r="V21" i="189"/>
  <c r="U21" i="189"/>
  <c r="T21" i="189"/>
  <c r="S21" i="189"/>
  <c r="R21" i="189"/>
  <c r="Q21" i="189"/>
  <c r="P21" i="189"/>
  <c r="O21" i="189"/>
  <c r="N21" i="189"/>
  <c r="M21" i="189"/>
  <c r="L21" i="189"/>
  <c r="K21" i="189"/>
  <c r="J21" i="189"/>
  <c r="I21" i="189"/>
  <c r="H21" i="189"/>
  <c r="G21" i="189"/>
  <c r="F21" i="189"/>
  <c r="E21" i="189"/>
  <c r="W20" i="189"/>
  <c r="V20" i="189"/>
  <c r="U20" i="189"/>
  <c r="T20" i="189"/>
  <c r="S20" i="189"/>
  <c r="R20" i="189"/>
  <c r="Q20" i="189"/>
  <c r="P20" i="189"/>
  <c r="O20" i="189"/>
  <c r="N20" i="189"/>
  <c r="M20" i="189"/>
  <c r="L20" i="189"/>
  <c r="K20" i="189"/>
  <c r="J20" i="189"/>
  <c r="I20" i="189"/>
  <c r="H20" i="189"/>
  <c r="G20" i="189"/>
  <c r="F20" i="189"/>
  <c r="E20" i="189"/>
  <c r="I13" i="189"/>
  <c r="G13" i="189"/>
  <c r="F13" i="189"/>
  <c r="E13" i="189"/>
  <c r="I12" i="189"/>
  <c r="H12" i="189"/>
  <c r="G12" i="189"/>
  <c r="F12" i="189"/>
  <c r="E12" i="189"/>
  <c r="W11" i="189"/>
  <c r="V11" i="189"/>
  <c r="U11" i="189"/>
  <c r="T11" i="189"/>
  <c r="S11" i="189"/>
  <c r="R11" i="189"/>
  <c r="Q11" i="189"/>
  <c r="P11" i="189"/>
  <c r="O11" i="189"/>
  <c r="N11" i="189"/>
  <c r="M11" i="189"/>
  <c r="L11" i="189"/>
  <c r="K11" i="189"/>
  <c r="J11" i="189"/>
  <c r="I11" i="189"/>
  <c r="H11" i="189"/>
  <c r="G11" i="189"/>
  <c r="F11" i="189"/>
  <c r="E11" i="189"/>
  <c r="E5" i="189"/>
  <c r="E4" i="189"/>
  <c r="G3" i="189"/>
  <c r="E3" i="189"/>
  <c r="G2" i="189"/>
  <c r="E2" i="189"/>
  <c r="A1" i="189"/>
  <c r="K17" i="200" s="1"/>
  <c r="I290" i="119"/>
  <c r="G290" i="119"/>
  <c r="F290" i="119"/>
  <c r="E290" i="119"/>
  <c r="I289" i="119"/>
  <c r="G289" i="119"/>
  <c r="F289" i="119"/>
  <c r="E289" i="119"/>
  <c r="I286" i="119"/>
  <c r="G286" i="119"/>
  <c r="F286" i="119"/>
  <c r="E286" i="119"/>
  <c r="I285" i="119"/>
  <c r="G285" i="119"/>
  <c r="F285" i="119"/>
  <c r="E285" i="119"/>
  <c r="I280" i="119"/>
  <c r="G280" i="119"/>
  <c r="F280" i="119"/>
  <c r="E280" i="119"/>
  <c r="I279" i="119"/>
  <c r="H279" i="119"/>
  <c r="G279" i="119"/>
  <c r="F279" i="119"/>
  <c r="E279" i="119"/>
  <c r="I278" i="119"/>
  <c r="G278" i="119"/>
  <c r="F278" i="119"/>
  <c r="E278" i="119"/>
  <c r="I277" i="119"/>
  <c r="G277" i="119"/>
  <c r="F277" i="119"/>
  <c r="E277" i="119"/>
  <c r="I272" i="119"/>
  <c r="G272" i="119"/>
  <c r="F272" i="119"/>
  <c r="E272" i="119"/>
  <c r="I271" i="119"/>
  <c r="G271" i="119"/>
  <c r="F271" i="119"/>
  <c r="E271" i="119"/>
  <c r="I270" i="119"/>
  <c r="G270" i="119"/>
  <c r="F270" i="119"/>
  <c r="E270" i="119"/>
  <c r="I265" i="119"/>
  <c r="G265" i="119"/>
  <c r="F265" i="119"/>
  <c r="E265" i="119"/>
  <c r="I264" i="119"/>
  <c r="G264" i="119"/>
  <c r="F264" i="119"/>
  <c r="E264" i="119"/>
  <c r="I261" i="119"/>
  <c r="G261" i="119"/>
  <c r="F261" i="119"/>
  <c r="E261" i="119"/>
  <c r="I260" i="119"/>
  <c r="H260" i="119"/>
  <c r="G260" i="119"/>
  <c r="F260" i="119"/>
  <c r="E260" i="119"/>
  <c r="I259" i="119"/>
  <c r="H259" i="119"/>
  <c r="G259" i="119"/>
  <c r="F259" i="119"/>
  <c r="E259" i="119"/>
  <c r="W258" i="119"/>
  <c r="V258" i="119"/>
  <c r="U258" i="119"/>
  <c r="T258" i="119"/>
  <c r="S258" i="119"/>
  <c r="R258" i="119"/>
  <c r="Q258" i="119"/>
  <c r="P258" i="119"/>
  <c r="O258" i="119"/>
  <c r="N258" i="119"/>
  <c r="M258" i="119"/>
  <c r="L258" i="119"/>
  <c r="K258" i="119"/>
  <c r="J258" i="119"/>
  <c r="I258" i="119"/>
  <c r="H258" i="119"/>
  <c r="G258" i="119"/>
  <c r="F258" i="119"/>
  <c r="E258" i="119"/>
  <c r="I255" i="119"/>
  <c r="G255" i="119"/>
  <c r="F255" i="119"/>
  <c r="E255" i="119"/>
  <c r="I254" i="119"/>
  <c r="G254" i="119"/>
  <c r="F254" i="119"/>
  <c r="E254" i="119"/>
  <c r="I253" i="119"/>
  <c r="G253" i="119"/>
  <c r="F253" i="119"/>
  <c r="E253" i="119"/>
  <c r="I252" i="119"/>
  <c r="H252" i="119"/>
  <c r="G252" i="119"/>
  <c r="F252" i="119"/>
  <c r="E252" i="119"/>
  <c r="W251" i="119"/>
  <c r="V251" i="119"/>
  <c r="U251" i="119"/>
  <c r="T251" i="119"/>
  <c r="S251" i="119"/>
  <c r="R251" i="119"/>
  <c r="Q251" i="119"/>
  <c r="P251" i="119"/>
  <c r="O251" i="119"/>
  <c r="N251" i="119"/>
  <c r="M251" i="119"/>
  <c r="L251" i="119"/>
  <c r="K251" i="119"/>
  <c r="J251" i="119"/>
  <c r="I251" i="119"/>
  <c r="H251" i="119"/>
  <c r="G251" i="119"/>
  <c r="F251" i="119"/>
  <c r="E251" i="119"/>
  <c r="I248" i="119"/>
  <c r="H248" i="119"/>
  <c r="G248" i="119"/>
  <c r="F248" i="119"/>
  <c r="E248" i="119"/>
  <c r="I247" i="119"/>
  <c r="G247" i="119"/>
  <c r="F247" i="119"/>
  <c r="E247" i="119"/>
  <c r="I242" i="119"/>
  <c r="G242" i="119"/>
  <c r="F242" i="119"/>
  <c r="E242" i="119"/>
  <c r="I241" i="119"/>
  <c r="G241" i="119"/>
  <c r="F241" i="119"/>
  <c r="E241" i="119"/>
  <c r="I238" i="119"/>
  <c r="G238" i="119"/>
  <c r="F238" i="119"/>
  <c r="E238" i="119"/>
  <c r="I237" i="119"/>
  <c r="G237" i="119"/>
  <c r="F237" i="119"/>
  <c r="E237" i="119"/>
  <c r="I236" i="119"/>
  <c r="H236" i="119"/>
  <c r="G236" i="119"/>
  <c r="F236" i="119"/>
  <c r="E236" i="119"/>
  <c r="W235" i="119"/>
  <c r="V235" i="119"/>
  <c r="U235" i="119"/>
  <c r="T235" i="119"/>
  <c r="S235" i="119"/>
  <c r="R235" i="119"/>
  <c r="Q235" i="119"/>
  <c r="P235" i="119"/>
  <c r="O235" i="119"/>
  <c r="N235" i="119"/>
  <c r="M235" i="119"/>
  <c r="L235" i="119"/>
  <c r="K235" i="119"/>
  <c r="J235" i="119"/>
  <c r="I235" i="119"/>
  <c r="H235" i="119"/>
  <c r="G235" i="119"/>
  <c r="F235" i="119"/>
  <c r="E235" i="119"/>
  <c r="I232" i="119"/>
  <c r="G232" i="119"/>
  <c r="F232" i="119"/>
  <c r="E232" i="119"/>
  <c r="I231" i="119"/>
  <c r="G231" i="119"/>
  <c r="F231" i="119"/>
  <c r="E231" i="119"/>
  <c r="I230" i="119"/>
  <c r="H230" i="119"/>
  <c r="G230" i="119"/>
  <c r="F230" i="119"/>
  <c r="E230" i="119"/>
  <c r="W229" i="119"/>
  <c r="V229" i="119"/>
  <c r="U229" i="119"/>
  <c r="T229" i="119"/>
  <c r="S229" i="119"/>
  <c r="R229" i="119"/>
  <c r="Q229" i="119"/>
  <c r="P229" i="119"/>
  <c r="O229" i="119"/>
  <c r="N229" i="119"/>
  <c r="M229" i="119"/>
  <c r="L229" i="119"/>
  <c r="K229" i="119"/>
  <c r="J229" i="119"/>
  <c r="I229" i="119"/>
  <c r="H229" i="119"/>
  <c r="G229" i="119"/>
  <c r="F229" i="119"/>
  <c r="E229" i="119"/>
  <c r="W226" i="119"/>
  <c r="V226" i="119"/>
  <c r="U226" i="119"/>
  <c r="T226" i="119"/>
  <c r="S226" i="119"/>
  <c r="R226" i="119"/>
  <c r="Q226" i="119"/>
  <c r="P226" i="119"/>
  <c r="O226" i="119"/>
  <c r="N226" i="119"/>
  <c r="M226" i="119"/>
  <c r="L226" i="119"/>
  <c r="K226" i="119"/>
  <c r="J226" i="119"/>
  <c r="I226" i="119"/>
  <c r="H226" i="119"/>
  <c r="G226" i="119"/>
  <c r="F226" i="119"/>
  <c r="E226" i="119"/>
  <c r="I225" i="119"/>
  <c r="G225" i="119"/>
  <c r="F225" i="119"/>
  <c r="E225" i="119"/>
  <c r="I220" i="119"/>
  <c r="H220" i="119"/>
  <c r="G220" i="119"/>
  <c r="F220" i="119"/>
  <c r="E220" i="119"/>
  <c r="W219" i="119"/>
  <c r="V219" i="119"/>
  <c r="U219" i="119"/>
  <c r="T219" i="119"/>
  <c r="S219" i="119"/>
  <c r="R219" i="119"/>
  <c r="Q219" i="119"/>
  <c r="P219" i="119"/>
  <c r="O219" i="119"/>
  <c r="N219" i="119"/>
  <c r="M219" i="119"/>
  <c r="L219" i="119"/>
  <c r="K219" i="119"/>
  <c r="J219" i="119"/>
  <c r="I219" i="119"/>
  <c r="H219" i="119"/>
  <c r="G219" i="119"/>
  <c r="F219" i="119"/>
  <c r="E219" i="119"/>
  <c r="I212" i="119"/>
  <c r="G212" i="119"/>
  <c r="F212" i="119"/>
  <c r="E212" i="119"/>
  <c r="I211" i="119"/>
  <c r="G211" i="119"/>
  <c r="F211" i="119"/>
  <c r="E211" i="119"/>
  <c r="W210" i="119"/>
  <c r="V210" i="119"/>
  <c r="I210" i="119"/>
  <c r="G210" i="119"/>
  <c r="F210" i="119"/>
  <c r="E210" i="119"/>
  <c r="I205" i="119"/>
  <c r="G205" i="119"/>
  <c r="F205" i="119"/>
  <c r="E205" i="119"/>
  <c r="I204" i="119"/>
  <c r="G204" i="119"/>
  <c r="F204" i="119"/>
  <c r="E204" i="119"/>
  <c r="W203" i="119"/>
  <c r="V203" i="119"/>
  <c r="I203" i="119"/>
  <c r="G203" i="119"/>
  <c r="F203" i="119"/>
  <c r="E203" i="119"/>
  <c r="I196" i="119"/>
  <c r="H196" i="119"/>
  <c r="G196" i="119"/>
  <c r="F196" i="119"/>
  <c r="E196" i="119"/>
  <c r="W195" i="119"/>
  <c r="V195" i="119"/>
  <c r="I195" i="119"/>
  <c r="G195" i="119"/>
  <c r="F195" i="119"/>
  <c r="E195" i="119"/>
  <c r="W192" i="119"/>
  <c r="W193" i="119" s="1"/>
  <c r="W204" i="119" s="1"/>
  <c r="V192" i="119"/>
  <c r="V193" i="119" s="1"/>
  <c r="V204" i="119" s="1"/>
  <c r="U192" i="119"/>
  <c r="T192" i="119"/>
  <c r="S192" i="119"/>
  <c r="R192" i="119"/>
  <c r="Q192" i="119"/>
  <c r="P192" i="119"/>
  <c r="O192" i="119"/>
  <c r="N192" i="119"/>
  <c r="M192" i="119"/>
  <c r="L192" i="119"/>
  <c r="K192" i="119"/>
  <c r="J192" i="119"/>
  <c r="I192" i="119"/>
  <c r="H192" i="119"/>
  <c r="G192" i="119"/>
  <c r="F192" i="119"/>
  <c r="E192" i="119"/>
  <c r="W191" i="119"/>
  <c r="V191" i="119"/>
  <c r="I191" i="119"/>
  <c r="G191" i="119"/>
  <c r="F191" i="119"/>
  <c r="E191" i="119"/>
  <c r="W188" i="119"/>
  <c r="V188" i="119"/>
  <c r="U188" i="119"/>
  <c r="T188" i="119"/>
  <c r="S188" i="119"/>
  <c r="R188" i="119"/>
  <c r="Q188" i="119"/>
  <c r="P188" i="119"/>
  <c r="O188" i="119"/>
  <c r="N188" i="119"/>
  <c r="M188" i="119"/>
  <c r="L188" i="119"/>
  <c r="K188" i="119"/>
  <c r="J188" i="119"/>
  <c r="I188" i="119"/>
  <c r="H188" i="119"/>
  <c r="G188" i="119"/>
  <c r="F188" i="119"/>
  <c r="E188" i="119"/>
  <c r="I187" i="119"/>
  <c r="G187" i="119"/>
  <c r="F187" i="119"/>
  <c r="E187" i="119"/>
  <c r="I180" i="119"/>
  <c r="H180" i="119"/>
  <c r="G180" i="119"/>
  <c r="F180" i="119"/>
  <c r="E180" i="119"/>
  <c r="W179" i="119"/>
  <c r="V179" i="119"/>
  <c r="U179" i="119"/>
  <c r="T179" i="119"/>
  <c r="S179" i="119"/>
  <c r="R179" i="119"/>
  <c r="Q179" i="119"/>
  <c r="P179" i="119"/>
  <c r="O179" i="119"/>
  <c r="N179" i="119"/>
  <c r="M179" i="119"/>
  <c r="L179" i="119"/>
  <c r="K179" i="119"/>
  <c r="J179" i="119"/>
  <c r="I179" i="119"/>
  <c r="H179" i="119"/>
  <c r="G179" i="119"/>
  <c r="F179" i="119"/>
  <c r="E179" i="119"/>
  <c r="I174" i="119"/>
  <c r="G174" i="119"/>
  <c r="F174" i="119"/>
  <c r="E174" i="119"/>
  <c r="I173" i="119"/>
  <c r="G173" i="119"/>
  <c r="F173" i="119"/>
  <c r="E173" i="119"/>
  <c r="I172" i="119"/>
  <c r="H172" i="119"/>
  <c r="G172" i="119"/>
  <c r="F172" i="119"/>
  <c r="E172" i="119"/>
  <c r="I169" i="119"/>
  <c r="G169" i="119"/>
  <c r="F169" i="119"/>
  <c r="E169" i="119"/>
  <c r="W168" i="119"/>
  <c r="V168" i="119"/>
  <c r="U168" i="119"/>
  <c r="T168" i="119"/>
  <c r="S168" i="119"/>
  <c r="R168" i="119"/>
  <c r="Q168" i="119"/>
  <c r="P168" i="119"/>
  <c r="O168" i="119"/>
  <c r="N168" i="119"/>
  <c r="M168" i="119"/>
  <c r="L168" i="119"/>
  <c r="K168" i="119"/>
  <c r="J168" i="119"/>
  <c r="I168" i="119"/>
  <c r="H168" i="119"/>
  <c r="G168" i="119"/>
  <c r="F168" i="119"/>
  <c r="E168" i="119"/>
  <c r="G164" i="119"/>
  <c r="F164" i="119"/>
  <c r="E164" i="119"/>
  <c r="W162" i="119" a="1"/>
  <c r="W162" i="119" s="1"/>
  <c r="V162" i="119" a="1"/>
  <c r="V162" i="119" s="1"/>
  <c r="U162" i="119" a="1"/>
  <c r="U162" i="119" s="1"/>
  <c r="T162" i="119" a="1"/>
  <c r="T162" i="119" s="1"/>
  <c r="S162" i="119" a="1"/>
  <c r="S162" i="119" s="1"/>
  <c r="R162" i="119" a="1"/>
  <c r="R162" i="119" s="1"/>
  <c r="Q162" i="119" a="1"/>
  <c r="Q162" i="119" s="1"/>
  <c r="P162" i="119" a="1"/>
  <c r="P162" i="119" s="1"/>
  <c r="O162" i="119" a="1"/>
  <c r="O162" i="119" s="1"/>
  <c r="N162" i="119" a="1"/>
  <c r="N162" i="119" s="1"/>
  <c r="M162" i="119" a="1"/>
  <c r="M162" i="119" s="1"/>
  <c r="L162" i="119" a="1"/>
  <c r="L162" i="119" s="1"/>
  <c r="K162" i="119" a="1"/>
  <c r="K162" i="119" s="1"/>
  <c r="J162" i="119" a="1"/>
  <c r="J162" i="119" s="1"/>
  <c r="F162" i="119"/>
  <c r="I159" i="119"/>
  <c r="G159" i="119"/>
  <c r="F159" i="119"/>
  <c r="E159" i="119"/>
  <c r="I158" i="119"/>
  <c r="H158" i="119"/>
  <c r="G158" i="119"/>
  <c r="F158" i="119"/>
  <c r="E158" i="119"/>
  <c r="I157" i="119"/>
  <c r="G157" i="119"/>
  <c r="F157" i="119"/>
  <c r="E157" i="119"/>
  <c r="I154" i="119"/>
  <c r="H154" i="119"/>
  <c r="G154" i="119"/>
  <c r="F154" i="119"/>
  <c r="E154" i="119"/>
  <c r="W153" i="119"/>
  <c r="V153" i="119"/>
  <c r="U153" i="119"/>
  <c r="T153" i="119"/>
  <c r="S153" i="119"/>
  <c r="R153" i="119"/>
  <c r="Q153" i="119"/>
  <c r="P153" i="119"/>
  <c r="O153" i="119"/>
  <c r="N153" i="119"/>
  <c r="M153" i="119"/>
  <c r="L153" i="119"/>
  <c r="K153" i="119"/>
  <c r="J153" i="119"/>
  <c r="I153" i="119"/>
  <c r="H153" i="119"/>
  <c r="G153" i="119"/>
  <c r="F153" i="119"/>
  <c r="E153" i="119"/>
  <c r="I150" i="119"/>
  <c r="H150" i="119"/>
  <c r="G150" i="119"/>
  <c r="F150" i="119"/>
  <c r="E150" i="119"/>
  <c r="I149" i="119"/>
  <c r="H149" i="119"/>
  <c r="G149" i="119"/>
  <c r="F149" i="119"/>
  <c r="E149" i="119"/>
  <c r="W148" i="119"/>
  <c r="V148" i="119"/>
  <c r="U148" i="119"/>
  <c r="T148" i="119"/>
  <c r="S148" i="119"/>
  <c r="R148" i="119"/>
  <c r="Q148" i="119"/>
  <c r="P148" i="119"/>
  <c r="O148" i="119"/>
  <c r="N148" i="119"/>
  <c r="M148" i="119"/>
  <c r="L148" i="119"/>
  <c r="K148" i="119"/>
  <c r="J148" i="119"/>
  <c r="I148" i="119"/>
  <c r="H148" i="119"/>
  <c r="G148" i="119"/>
  <c r="F148" i="119"/>
  <c r="E148" i="119"/>
  <c r="W147" i="119"/>
  <c r="V147" i="119"/>
  <c r="U147" i="119"/>
  <c r="T147" i="119"/>
  <c r="S147" i="119"/>
  <c r="R147" i="119"/>
  <c r="Q147" i="119"/>
  <c r="P147" i="119"/>
  <c r="O147" i="119"/>
  <c r="N147" i="119"/>
  <c r="M147" i="119"/>
  <c r="L147" i="119"/>
  <c r="K147" i="119"/>
  <c r="J147" i="119"/>
  <c r="I147" i="119"/>
  <c r="H147" i="119"/>
  <c r="G147" i="119"/>
  <c r="F147" i="119"/>
  <c r="E147" i="119"/>
  <c r="I144" i="119"/>
  <c r="H144" i="119"/>
  <c r="G144" i="119"/>
  <c r="F144" i="119"/>
  <c r="E144" i="119"/>
  <c r="W143" i="119"/>
  <c r="V143" i="119"/>
  <c r="U143" i="119"/>
  <c r="T143" i="119"/>
  <c r="S143" i="119"/>
  <c r="R143" i="119"/>
  <c r="Q143" i="119"/>
  <c r="P143" i="119"/>
  <c r="O143" i="119"/>
  <c r="N143" i="119"/>
  <c r="M143" i="119"/>
  <c r="L143" i="119"/>
  <c r="K143" i="119"/>
  <c r="J143" i="119"/>
  <c r="I143" i="119"/>
  <c r="H143" i="119"/>
  <c r="G143" i="119"/>
  <c r="F143" i="119"/>
  <c r="E143" i="119"/>
  <c r="I140" i="119"/>
  <c r="G140" i="119"/>
  <c r="F140" i="119"/>
  <c r="E140" i="119"/>
  <c r="I139" i="119"/>
  <c r="G139" i="119"/>
  <c r="F139" i="119"/>
  <c r="E139" i="119"/>
  <c r="I132" i="119"/>
  <c r="G132" i="119"/>
  <c r="F132" i="119"/>
  <c r="E132" i="119"/>
  <c r="I131" i="119"/>
  <c r="G131" i="119"/>
  <c r="F131" i="119"/>
  <c r="E131" i="119"/>
  <c r="I126" i="119"/>
  <c r="G126" i="119"/>
  <c r="F126" i="119"/>
  <c r="E126" i="119"/>
  <c r="I125" i="119"/>
  <c r="G125" i="119"/>
  <c r="F125" i="119"/>
  <c r="E125" i="119"/>
  <c r="I118" i="119"/>
  <c r="G118" i="119"/>
  <c r="F118" i="119"/>
  <c r="E118" i="119"/>
  <c r="I117" i="119"/>
  <c r="H117" i="119"/>
  <c r="G117" i="119"/>
  <c r="F117" i="119"/>
  <c r="E117" i="119"/>
  <c r="I114" i="119"/>
  <c r="H114" i="119"/>
  <c r="G114" i="119"/>
  <c r="F114" i="119"/>
  <c r="E114" i="119"/>
  <c r="I113" i="119"/>
  <c r="G113" i="119"/>
  <c r="F113" i="119"/>
  <c r="E113" i="119"/>
  <c r="W112" i="119"/>
  <c r="V112" i="119"/>
  <c r="U112" i="119"/>
  <c r="T112" i="119"/>
  <c r="S112" i="119"/>
  <c r="R112" i="119"/>
  <c r="Q112" i="119"/>
  <c r="P112" i="119"/>
  <c r="O112" i="119"/>
  <c r="N112" i="119"/>
  <c r="M112" i="119"/>
  <c r="L112" i="119"/>
  <c r="K112" i="119"/>
  <c r="J112" i="119"/>
  <c r="I112" i="119"/>
  <c r="H112" i="119"/>
  <c r="G112" i="119"/>
  <c r="F112" i="119"/>
  <c r="E112" i="119"/>
  <c r="W111" i="119"/>
  <c r="V111" i="119"/>
  <c r="U111" i="119"/>
  <c r="T111" i="119"/>
  <c r="S111" i="119"/>
  <c r="R111" i="119"/>
  <c r="Q111" i="119"/>
  <c r="P111" i="119"/>
  <c r="O111" i="119"/>
  <c r="N111" i="119"/>
  <c r="M111" i="119"/>
  <c r="L111" i="119"/>
  <c r="K111" i="119"/>
  <c r="J111" i="119"/>
  <c r="I111" i="119"/>
  <c r="H111" i="119"/>
  <c r="G111" i="119"/>
  <c r="F111" i="119"/>
  <c r="E111" i="119"/>
  <c r="I106" i="119"/>
  <c r="G106" i="119"/>
  <c r="F106" i="119"/>
  <c r="E106" i="119"/>
  <c r="I105" i="119"/>
  <c r="H105" i="119"/>
  <c r="G105" i="119"/>
  <c r="F105" i="119"/>
  <c r="E105" i="119"/>
  <c r="I102" i="119"/>
  <c r="H102" i="119"/>
  <c r="G102" i="119"/>
  <c r="F102" i="119"/>
  <c r="E102" i="119"/>
  <c r="I101" i="119"/>
  <c r="G101" i="119"/>
  <c r="F101" i="119"/>
  <c r="E101" i="119"/>
  <c r="W100" i="119"/>
  <c r="V100" i="119"/>
  <c r="U100" i="119"/>
  <c r="T100" i="119"/>
  <c r="S100" i="119"/>
  <c r="R100" i="119"/>
  <c r="Q100" i="119"/>
  <c r="P100" i="119"/>
  <c r="O100" i="119"/>
  <c r="N100" i="119"/>
  <c r="M100" i="119"/>
  <c r="L100" i="119"/>
  <c r="K100" i="119"/>
  <c r="J100" i="119"/>
  <c r="I100" i="119"/>
  <c r="H100" i="119"/>
  <c r="G100" i="119"/>
  <c r="F100" i="119"/>
  <c r="E100" i="119"/>
  <c r="W99" i="119"/>
  <c r="V99" i="119"/>
  <c r="U99" i="119"/>
  <c r="T99" i="119"/>
  <c r="S99" i="119"/>
  <c r="R99" i="119"/>
  <c r="Q99" i="119"/>
  <c r="P99" i="119"/>
  <c r="O99" i="119"/>
  <c r="N99" i="119"/>
  <c r="M99" i="119"/>
  <c r="L99" i="119"/>
  <c r="K99" i="119"/>
  <c r="J99" i="119"/>
  <c r="I99" i="119"/>
  <c r="H99" i="119"/>
  <c r="G99" i="119"/>
  <c r="F99" i="119"/>
  <c r="E99" i="119"/>
  <c r="W94" i="119"/>
  <c r="V94" i="119"/>
  <c r="U94" i="119"/>
  <c r="T94" i="119"/>
  <c r="S94" i="119"/>
  <c r="R94" i="119"/>
  <c r="Q94" i="119"/>
  <c r="P94" i="119"/>
  <c r="O94" i="119"/>
  <c r="N94" i="119"/>
  <c r="M94" i="119"/>
  <c r="L94" i="119"/>
  <c r="K94" i="119"/>
  <c r="J94" i="119"/>
  <c r="I94" i="119"/>
  <c r="G94" i="119"/>
  <c r="F94" i="119"/>
  <c r="E94" i="119"/>
  <c r="I93" i="119"/>
  <c r="G93" i="119"/>
  <c r="F93" i="119"/>
  <c r="E93" i="119"/>
  <c r="J90" i="119"/>
  <c r="I90" i="119"/>
  <c r="G90" i="119"/>
  <c r="F90" i="119"/>
  <c r="E90" i="119"/>
  <c r="I89" i="119"/>
  <c r="G89" i="119"/>
  <c r="F89" i="119"/>
  <c r="E89" i="119"/>
  <c r="I88" i="119"/>
  <c r="G88" i="119"/>
  <c r="F88" i="119"/>
  <c r="E88" i="119"/>
  <c r="I87" i="119"/>
  <c r="G87" i="119"/>
  <c r="F87" i="119"/>
  <c r="E87" i="119"/>
  <c r="W82" i="119"/>
  <c r="V82" i="119"/>
  <c r="U82" i="119"/>
  <c r="T82" i="119"/>
  <c r="S82" i="119"/>
  <c r="R82" i="119"/>
  <c r="Q82" i="119"/>
  <c r="P82" i="119"/>
  <c r="O82" i="119"/>
  <c r="N82" i="119"/>
  <c r="M82" i="119"/>
  <c r="L82" i="119"/>
  <c r="K82" i="119"/>
  <c r="J82" i="119"/>
  <c r="I82" i="119"/>
  <c r="G82" i="119"/>
  <c r="F82" i="119"/>
  <c r="E82" i="119"/>
  <c r="I81" i="119"/>
  <c r="G81" i="119"/>
  <c r="F81" i="119"/>
  <c r="E81" i="119"/>
  <c r="J78" i="119"/>
  <c r="I78" i="119"/>
  <c r="G78" i="119"/>
  <c r="F78" i="119"/>
  <c r="E78" i="119"/>
  <c r="I77" i="119"/>
  <c r="G77" i="119"/>
  <c r="F77" i="119"/>
  <c r="E77" i="119"/>
  <c r="I76" i="119"/>
  <c r="G76" i="119"/>
  <c r="F76" i="119"/>
  <c r="E76" i="119"/>
  <c r="I69" i="119"/>
  <c r="G69" i="119"/>
  <c r="F69" i="119"/>
  <c r="E69" i="119"/>
  <c r="I68" i="119"/>
  <c r="H68" i="119"/>
  <c r="G68" i="119"/>
  <c r="F68" i="119"/>
  <c r="E68" i="119"/>
  <c r="I65" i="119"/>
  <c r="H65" i="119"/>
  <c r="G65" i="119"/>
  <c r="F65" i="119"/>
  <c r="E65" i="119"/>
  <c r="I64" i="119"/>
  <c r="G64" i="119"/>
  <c r="F64" i="119"/>
  <c r="E64" i="119"/>
  <c r="W63" i="119"/>
  <c r="V63" i="119"/>
  <c r="U63" i="119"/>
  <c r="T63" i="119"/>
  <c r="S63" i="119"/>
  <c r="R63" i="119"/>
  <c r="Q63" i="119"/>
  <c r="P63" i="119"/>
  <c r="O63" i="119"/>
  <c r="N63" i="119"/>
  <c r="M63" i="119"/>
  <c r="L63" i="119"/>
  <c r="K63" i="119"/>
  <c r="J63" i="119"/>
  <c r="I63" i="119"/>
  <c r="H63" i="119"/>
  <c r="G63" i="119"/>
  <c r="F63" i="119"/>
  <c r="E63" i="119"/>
  <c r="W60" i="119"/>
  <c r="V60" i="119"/>
  <c r="U60" i="119"/>
  <c r="U61" i="119" s="1"/>
  <c r="U64" i="119" s="1"/>
  <c r="T60" i="119"/>
  <c r="S60" i="119"/>
  <c r="R60" i="119"/>
  <c r="Q60" i="119"/>
  <c r="P60" i="119"/>
  <c r="O60" i="119"/>
  <c r="N60" i="119"/>
  <c r="M60" i="119"/>
  <c r="L60" i="119"/>
  <c r="K60" i="119"/>
  <c r="J60" i="119"/>
  <c r="I60" i="119"/>
  <c r="H60" i="119"/>
  <c r="G60" i="119"/>
  <c r="F60" i="119"/>
  <c r="E60" i="119"/>
  <c r="W59" i="119"/>
  <c r="V59" i="119"/>
  <c r="U59" i="119"/>
  <c r="T59" i="119"/>
  <c r="S59" i="119"/>
  <c r="R59" i="119"/>
  <c r="Q59" i="119"/>
  <c r="P59" i="119"/>
  <c r="O59" i="119"/>
  <c r="N59" i="119"/>
  <c r="M59" i="119"/>
  <c r="L59" i="119"/>
  <c r="K59" i="119"/>
  <c r="J59" i="119"/>
  <c r="I59" i="119"/>
  <c r="H59" i="119"/>
  <c r="G59" i="119"/>
  <c r="F59" i="119"/>
  <c r="E59" i="119"/>
  <c r="I54" i="119"/>
  <c r="H54" i="119"/>
  <c r="G54" i="119"/>
  <c r="F54" i="119"/>
  <c r="E54" i="119"/>
  <c r="I53" i="119"/>
  <c r="H53" i="119"/>
  <c r="G53" i="119"/>
  <c r="F53" i="119"/>
  <c r="E53" i="119"/>
  <c r="I50" i="119"/>
  <c r="H50" i="119"/>
  <c r="G50" i="119"/>
  <c r="F50" i="119"/>
  <c r="E50" i="119"/>
  <c r="I49" i="119"/>
  <c r="G49" i="119"/>
  <c r="F49" i="119"/>
  <c r="E49" i="119"/>
  <c r="W48" i="119"/>
  <c r="V48" i="119"/>
  <c r="U48" i="119"/>
  <c r="T48" i="119"/>
  <c r="S48" i="119"/>
  <c r="R48" i="119"/>
  <c r="Q48" i="119"/>
  <c r="P48" i="119"/>
  <c r="O48" i="119"/>
  <c r="N48" i="119"/>
  <c r="M48" i="119"/>
  <c r="L48" i="119"/>
  <c r="K48" i="119"/>
  <c r="J48" i="119"/>
  <c r="I48" i="119"/>
  <c r="H48" i="119"/>
  <c r="G48" i="119"/>
  <c r="F48" i="119"/>
  <c r="E48" i="119"/>
  <c r="W45" i="119"/>
  <c r="V45" i="119"/>
  <c r="U45" i="119"/>
  <c r="T45" i="119"/>
  <c r="S45" i="119"/>
  <c r="R45" i="119"/>
  <c r="Q45" i="119"/>
  <c r="P45" i="119"/>
  <c r="O45" i="119"/>
  <c r="N45" i="119"/>
  <c r="M45" i="119"/>
  <c r="L45" i="119"/>
  <c r="K45" i="119"/>
  <c r="J45" i="119"/>
  <c r="I45" i="119"/>
  <c r="H45" i="119"/>
  <c r="G45" i="119"/>
  <c r="F45" i="119"/>
  <c r="E45" i="119"/>
  <c r="W44" i="119"/>
  <c r="V44" i="119"/>
  <c r="U44" i="119"/>
  <c r="T44" i="119"/>
  <c r="S44" i="119"/>
  <c r="R44" i="119"/>
  <c r="Q44" i="119"/>
  <c r="P44" i="119"/>
  <c r="O44" i="119"/>
  <c r="N44" i="119"/>
  <c r="M44" i="119"/>
  <c r="L44" i="119"/>
  <c r="K44" i="119"/>
  <c r="J44" i="119"/>
  <c r="I44" i="119"/>
  <c r="H44" i="119"/>
  <c r="G44" i="119"/>
  <c r="F44" i="119"/>
  <c r="E44" i="119"/>
  <c r="I37" i="119"/>
  <c r="H37" i="119"/>
  <c r="G37" i="119"/>
  <c r="F37" i="119"/>
  <c r="E37" i="119"/>
  <c r="W36" i="119"/>
  <c r="V36" i="119"/>
  <c r="I36" i="119"/>
  <c r="G36" i="119"/>
  <c r="F36" i="119"/>
  <c r="E36" i="119"/>
  <c r="W35" i="119"/>
  <c r="V35" i="119"/>
  <c r="U35" i="119"/>
  <c r="T35" i="119"/>
  <c r="S35" i="119"/>
  <c r="R35" i="119"/>
  <c r="Q35" i="119"/>
  <c r="P35" i="119"/>
  <c r="O35" i="119"/>
  <c r="N35" i="119"/>
  <c r="M35" i="119"/>
  <c r="L35" i="119"/>
  <c r="K35" i="119"/>
  <c r="J35" i="119"/>
  <c r="I35" i="119"/>
  <c r="H35" i="119"/>
  <c r="G35" i="119"/>
  <c r="F35" i="119"/>
  <c r="E35" i="119"/>
  <c r="I32" i="119"/>
  <c r="H32" i="119"/>
  <c r="G32" i="119"/>
  <c r="F32" i="119"/>
  <c r="E32" i="119"/>
  <c r="I31" i="119"/>
  <c r="G31" i="119"/>
  <c r="F31" i="119"/>
  <c r="E31" i="119"/>
  <c r="W28" i="119"/>
  <c r="V28" i="119"/>
  <c r="U28" i="119"/>
  <c r="T28" i="119"/>
  <c r="S28" i="119"/>
  <c r="R28" i="119"/>
  <c r="Q28" i="119"/>
  <c r="P28" i="119"/>
  <c r="O28" i="119"/>
  <c r="N28" i="119"/>
  <c r="M28" i="119"/>
  <c r="L28" i="119"/>
  <c r="K28" i="119"/>
  <c r="J28" i="119"/>
  <c r="I28" i="119"/>
  <c r="H28" i="119"/>
  <c r="G28" i="119"/>
  <c r="F28" i="119"/>
  <c r="E28" i="119"/>
  <c r="I27" i="119"/>
  <c r="H27" i="119"/>
  <c r="G27" i="119"/>
  <c r="F27" i="119"/>
  <c r="E27" i="119"/>
  <c r="W26" i="119"/>
  <c r="V26" i="119"/>
  <c r="U26" i="119"/>
  <c r="T26" i="119"/>
  <c r="S26" i="119"/>
  <c r="R26" i="119"/>
  <c r="Q26" i="119"/>
  <c r="P26" i="119"/>
  <c r="O26" i="119"/>
  <c r="N26" i="119"/>
  <c r="M26" i="119"/>
  <c r="L26" i="119"/>
  <c r="K26" i="119"/>
  <c r="J26" i="119"/>
  <c r="I26" i="119"/>
  <c r="H26" i="119"/>
  <c r="G26" i="119"/>
  <c r="F26" i="119"/>
  <c r="E26" i="119"/>
  <c r="W25" i="119"/>
  <c r="V25" i="119"/>
  <c r="U25" i="119"/>
  <c r="T25" i="119"/>
  <c r="S25" i="119"/>
  <c r="R25" i="119"/>
  <c r="Q25" i="119"/>
  <c r="P25" i="119"/>
  <c r="O25" i="119"/>
  <c r="N25" i="119"/>
  <c r="M25" i="119"/>
  <c r="L25" i="119"/>
  <c r="K25" i="119"/>
  <c r="J25" i="119"/>
  <c r="I25" i="119"/>
  <c r="H25" i="119"/>
  <c r="G25" i="119"/>
  <c r="F25" i="119"/>
  <c r="E25" i="119"/>
  <c r="I20" i="119"/>
  <c r="G20" i="119"/>
  <c r="F20" i="119"/>
  <c r="E20" i="119"/>
  <c r="I19" i="119"/>
  <c r="H19" i="119"/>
  <c r="G19" i="119"/>
  <c r="F19" i="119"/>
  <c r="E19" i="119"/>
  <c r="W18" i="119"/>
  <c r="V18" i="119"/>
  <c r="U18" i="119"/>
  <c r="T18" i="119"/>
  <c r="S18" i="119"/>
  <c r="R18" i="119"/>
  <c r="Q18" i="119"/>
  <c r="P18" i="119"/>
  <c r="O18" i="119"/>
  <c r="N18" i="119"/>
  <c r="M18" i="119"/>
  <c r="L18" i="119"/>
  <c r="K18" i="119"/>
  <c r="J18" i="119"/>
  <c r="I18" i="119"/>
  <c r="H18" i="119"/>
  <c r="G18" i="119"/>
  <c r="F18" i="119"/>
  <c r="E18" i="119"/>
  <c r="I13" i="119"/>
  <c r="G13" i="119"/>
  <c r="F13" i="119"/>
  <c r="E13" i="119"/>
  <c r="I12" i="119"/>
  <c r="H12" i="119"/>
  <c r="G12" i="119"/>
  <c r="F12" i="119"/>
  <c r="E12" i="119"/>
  <c r="W11" i="119"/>
  <c r="V11" i="119"/>
  <c r="U11" i="119"/>
  <c r="T11" i="119"/>
  <c r="S11" i="119"/>
  <c r="R11" i="119"/>
  <c r="Q11" i="119"/>
  <c r="P11" i="119"/>
  <c r="O11" i="119"/>
  <c r="N11" i="119"/>
  <c r="M11" i="119"/>
  <c r="L11" i="119"/>
  <c r="K11" i="119"/>
  <c r="J11" i="119"/>
  <c r="I11" i="119"/>
  <c r="H11" i="119"/>
  <c r="G11" i="119"/>
  <c r="F11" i="119"/>
  <c r="E11" i="119"/>
  <c r="E5" i="119"/>
  <c r="E4" i="119"/>
  <c r="G3" i="119"/>
  <c r="E3" i="119"/>
  <c r="G2" i="119"/>
  <c r="E2" i="119"/>
  <c r="A1" i="119"/>
  <c r="K14" i="200" s="1"/>
  <c r="I73" i="187"/>
  <c r="G73" i="187"/>
  <c r="F73" i="187"/>
  <c r="E73" i="187"/>
  <c r="I72" i="187"/>
  <c r="H72" i="187"/>
  <c r="G72" i="187"/>
  <c r="F72" i="187"/>
  <c r="E72" i="187"/>
  <c r="I71" i="187"/>
  <c r="H71" i="187"/>
  <c r="G71" i="187"/>
  <c r="F71" i="187"/>
  <c r="E71" i="187"/>
  <c r="T69" i="187"/>
  <c r="T71" i="187" s="1"/>
  <c r="S69" i="187"/>
  <c r="S71" i="187" s="1"/>
  <c r="R69" i="187"/>
  <c r="R71" i="187" s="1"/>
  <c r="Q69" i="187"/>
  <c r="Q71" i="187" s="1"/>
  <c r="W68" i="187"/>
  <c r="V68" i="187"/>
  <c r="U68" i="187"/>
  <c r="T68" i="187"/>
  <c r="S68" i="187"/>
  <c r="R68" i="187"/>
  <c r="Q68" i="187"/>
  <c r="P68" i="187"/>
  <c r="O68" i="187"/>
  <c r="N68" i="187"/>
  <c r="M68" i="187"/>
  <c r="L68" i="187"/>
  <c r="K68" i="187"/>
  <c r="J68" i="187"/>
  <c r="I68" i="187"/>
  <c r="H68" i="187"/>
  <c r="G68" i="187"/>
  <c r="F68" i="187"/>
  <c r="E68" i="187"/>
  <c r="W67" i="187"/>
  <c r="V67" i="187"/>
  <c r="U67" i="187"/>
  <c r="T67" i="187"/>
  <c r="S67" i="187"/>
  <c r="R67" i="187"/>
  <c r="Q67" i="187"/>
  <c r="P67" i="187"/>
  <c r="O67" i="187"/>
  <c r="N67" i="187"/>
  <c r="M67" i="187"/>
  <c r="L67" i="187"/>
  <c r="K67" i="187"/>
  <c r="J67" i="187"/>
  <c r="I67" i="187"/>
  <c r="H67" i="187"/>
  <c r="G67" i="187"/>
  <c r="F67" i="187"/>
  <c r="P69" i="187" s="1"/>
  <c r="P71" i="187" s="1"/>
  <c r="E67" i="187"/>
  <c r="I63" i="187"/>
  <c r="G63" i="187"/>
  <c r="F63" i="187"/>
  <c r="E63" i="187"/>
  <c r="I62" i="187"/>
  <c r="H62" i="187"/>
  <c r="G62" i="187"/>
  <c r="F62" i="187"/>
  <c r="E62" i="187"/>
  <c r="I61" i="187"/>
  <c r="H61" i="187"/>
  <c r="G61" i="187"/>
  <c r="F61" i="187"/>
  <c r="E61" i="187"/>
  <c r="W58" i="187"/>
  <c r="W59" i="187" s="1"/>
  <c r="W61" i="187" s="1"/>
  <c r="V58" i="187"/>
  <c r="U58" i="187"/>
  <c r="T58" i="187"/>
  <c r="S58" i="187"/>
  <c r="R58" i="187"/>
  <c r="Q58" i="187"/>
  <c r="P58" i="187"/>
  <c r="O58" i="187"/>
  <c r="N58" i="187"/>
  <c r="M58" i="187"/>
  <c r="L58" i="187"/>
  <c r="K58" i="187"/>
  <c r="K59" i="187" s="1"/>
  <c r="K61" i="187" s="1"/>
  <c r="J58" i="187"/>
  <c r="I58" i="187"/>
  <c r="G58" i="187"/>
  <c r="F58" i="187"/>
  <c r="E58" i="187"/>
  <c r="W57" i="187"/>
  <c r="V57" i="187"/>
  <c r="U57" i="187"/>
  <c r="T57" i="187"/>
  <c r="S57" i="187"/>
  <c r="R57" i="187"/>
  <c r="Q57" i="187"/>
  <c r="P57" i="187"/>
  <c r="O57" i="187"/>
  <c r="N57" i="187"/>
  <c r="M57" i="187"/>
  <c r="L57" i="187"/>
  <c r="K57" i="187"/>
  <c r="J57" i="187"/>
  <c r="I57" i="187"/>
  <c r="H57" i="187"/>
  <c r="G57" i="187"/>
  <c r="F57" i="187"/>
  <c r="E57" i="187"/>
  <c r="I53" i="187"/>
  <c r="G53" i="187"/>
  <c r="F53" i="187"/>
  <c r="E53" i="187"/>
  <c r="I52" i="187"/>
  <c r="H52" i="187"/>
  <c r="G52" i="187"/>
  <c r="F52" i="187"/>
  <c r="E52" i="187"/>
  <c r="I51" i="187"/>
  <c r="H51" i="187"/>
  <c r="G51" i="187"/>
  <c r="F51" i="187"/>
  <c r="E51" i="187"/>
  <c r="W48" i="187"/>
  <c r="W49" i="187" s="1"/>
  <c r="W51" i="187" s="1"/>
  <c r="V48" i="187"/>
  <c r="V49" i="187" s="1"/>
  <c r="V51" i="187" s="1"/>
  <c r="U48" i="187"/>
  <c r="U49" i="187" s="1"/>
  <c r="U51" i="187" s="1"/>
  <c r="T48" i="187"/>
  <c r="T49" i="187" s="1"/>
  <c r="T51" i="187" s="1"/>
  <c r="S48" i="187"/>
  <c r="R48" i="187"/>
  <c r="Q48" i="187"/>
  <c r="P48" i="187"/>
  <c r="O48" i="187"/>
  <c r="N48" i="187"/>
  <c r="M48" i="187"/>
  <c r="L48" i="187"/>
  <c r="K48" i="187"/>
  <c r="K49" i="187" s="1"/>
  <c r="K51" i="187" s="1"/>
  <c r="J48" i="187"/>
  <c r="J49" i="187" s="1"/>
  <c r="J51" i="187" s="1"/>
  <c r="I48" i="187"/>
  <c r="G48" i="187"/>
  <c r="F48" i="187"/>
  <c r="E48" i="187"/>
  <c r="W47" i="187"/>
  <c r="V47" i="187"/>
  <c r="U47" i="187"/>
  <c r="T47" i="187"/>
  <c r="S47" i="187"/>
  <c r="R47" i="187"/>
  <c r="Q47" i="187"/>
  <c r="P47" i="187"/>
  <c r="O47" i="187"/>
  <c r="N47" i="187"/>
  <c r="M47" i="187"/>
  <c r="L47" i="187"/>
  <c r="K47" i="187"/>
  <c r="J47" i="187"/>
  <c r="I47" i="187"/>
  <c r="H47" i="187"/>
  <c r="G47" i="187"/>
  <c r="F47" i="187"/>
  <c r="Q49" i="187" s="1"/>
  <c r="Q51" i="187" s="1"/>
  <c r="E47" i="187"/>
  <c r="I43" i="187"/>
  <c r="G43" i="187"/>
  <c r="F43" i="187"/>
  <c r="E43" i="187"/>
  <c r="I42" i="187"/>
  <c r="H42" i="187"/>
  <c r="G42" i="187"/>
  <c r="F42" i="187"/>
  <c r="E42" i="187"/>
  <c r="I41" i="187"/>
  <c r="H41" i="187"/>
  <c r="G41" i="187"/>
  <c r="F41" i="187"/>
  <c r="E41" i="187"/>
  <c r="W38" i="187"/>
  <c r="W39" i="187" s="1"/>
  <c r="W41" i="187" s="1"/>
  <c r="V38" i="187"/>
  <c r="U38" i="187"/>
  <c r="T38" i="187"/>
  <c r="S38" i="187"/>
  <c r="R38" i="187"/>
  <c r="Q38" i="187"/>
  <c r="P38" i="187"/>
  <c r="O38" i="187"/>
  <c r="N38" i="187"/>
  <c r="M38" i="187"/>
  <c r="L38" i="187"/>
  <c r="K38" i="187"/>
  <c r="K39" i="187" s="1"/>
  <c r="K41" i="187" s="1"/>
  <c r="J38" i="187"/>
  <c r="I38" i="187"/>
  <c r="G38" i="187"/>
  <c r="F38" i="187"/>
  <c r="E38" i="187"/>
  <c r="W37" i="187"/>
  <c r="V37" i="187"/>
  <c r="U37" i="187"/>
  <c r="T37" i="187"/>
  <c r="S37" i="187"/>
  <c r="R37" i="187"/>
  <c r="Q37" i="187"/>
  <c r="P37" i="187"/>
  <c r="O37" i="187"/>
  <c r="N37" i="187"/>
  <c r="M37" i="187"/>
  <c r="L37" i="187"/>
  <c r="K37" i="187"/>
  <c r="J37" i="187"/>
  <c r="I37" i="187"/>
  <c r="H37" i="187"/>
  <c r="G37" i="187"/>
  <c r="F37" i="187"/>
  <c r="E37" i="187"/>
  <c r="I31" i="187"/>
  <c r="H31" i="187"/>
  <c r="G31" i="187"/>
  <c r="F31" i="187"/>
  <c r="E31" i="187"/>
  <c r="I27" i="187"/>
  <c r="G27" i="187"/>
  <c r="F27" i="187"/>
  <c r="E27" i="187"/>
  <c r="J26" i="187"/>
  <c r="I26" i="187"/>
  <c r="H26" i="187"/>
  <c r="G26" i="187"/>
  <c r="F26" i="187"/>
  <c r="E26" i="187"/>
  <c r="W25" i="187"/>
  <c r="V25" i="187"/>
  <c r="U25" i="187"/>
  <c r="T25" i="187"/>
  <c r="S25" i="187"/>
  <c r="R25" i="187"/>
  <c r="Q25" i="187"/>
  <c r="P25" i="187"/>
  <c r="O25" i="187"/>
  <c r="N25" i="187"/>
  <c r="M25" i="187"/>
  <c r="L25" i="187"/>
  <c r="K25" i="187"/>
  <c r="J25" i="187"/>
  <c r="I25" i="187"/>
  <c r="H25" i="187"/>
  <c r="G25" i="187"/>
  <c r="E25" i="187"/>
  <c r="I21" i="187"/>
  <c r="G21" i="187"/>
  <c r="F21" i="187"/>
  <c r="E21" i="187"/>
  <c r="J20" i="187"/>
  <c r="I20" i="187"/>
  <c r="H20" i="187"/>
  <c r="G20" i="187"/>
  <c r="F20" i="187"/>
  <c r="E20" i="187"/>
  <c r="W19" i="187"/>
  <c r="V19" i="187"/>
  <c r="U19" i="187"/>
  <c r="T19" i="187"/>
  <c r="S19" i="187"/>
  <c r="R19" i="187"/>
  <c r="Q19" i="187"/>
  <c r="P19" i="187"/>
  <c r="O19" i="187"/>
  <c r="N19" i="187"/>
  <c r="M19" i="187"/>
  <c r="L19" i="187"/>
  <c r="K19" i="187"/>
  <c r="J19" i="187"/>
  <c r="I19" i="187"/>
  <c r="H19" i="187"/>
  <c r="G19" i="187"/>
  <c r="E19" i="187"/>
  <c r="I15" i="187"/>
  <c r="G15" i="187"/>
  <c r="F15" i="187"/>
  <c r="E15" i="187"/>
  <c r="M14" i="187"/>
  <c r="L14" i="187"/>
  <c r="J14" i="187"/>
  <c r="I14" i="187"/>
  <c r="H14" i="187"/>
  <c r="G14" i="187"/>
  <c r="F14" i="187"/>
  <c r="E14" i="187"/>
  <c r="J10" i="187"/>
  <c r="K11" i="187" s="1"/>
  <c r="I10" i="187"/>
  <c r="J11" i="187" s="1"/>
  <c r="J115" i="201" s="1"/>
  <c r="H10" i="187"/>
  <c r="G10" i="187"/>
  <c r="F10" i="187"/>
  <c r="E10" i="187"/>
  <c r="E5" i="187"/>
  <c r="E4" i="187"/>
  <c r="G3" i="187"/>
  <c r="E3" i="187"/>
  <c r="G2" i="187"/>
  <c r="E2" i="187"/>
  <c r="A1" i="187"/>
  <c r="K11" i="200" s="1"/>
  <c r="I126" i="186"/>
  <c r="G126" i="186"/>
  <c r="F126" i="186"/>
  <c r="E126" i="186"/>
  <c r="I125" i="186"/>
  <c r="H125" i="186"/>
  <c r="G125" i="186"/>
  <c r="F125" i="186"/>
  <c r="E125" i="186"/>
  <c r="W124" i="186"/>
  <c r="V124" i="186"/>
  <c r="U124" i="186"/>
  <c r="T124" i="186"/>
  <c r="S124" i="186"/>
  <c r="R124" i="186"/>
  <c r="Q124" i="186"/>
  <c r="P124" i="186"/>
  <c r="O124" i="186"/>
  <c r="N124" i="186"/>
  <c r="M124" i="186"/>
  <c r="L124" i="186"/>
  <c r="K124" i="186"/>
  <c r="J124" i="186"/>
  <c r="I124" i="186"/>
  <c r="H124" i="186"/>
  <c r="G124" i="186"/>
  <c r="F124" i="186"/>
  <c r="E124" i="186"/>
  <c r="W123" i="186"/>
  <c r="V123" i="186"/>
  <c r="U123" i="186"/>
  <c r="T123" i="186"/>
  <c r="S123" i="186"/>
  <c r="R123" i="186"/>
  <c r="Q123" i="186"/>
  <c r="P123" i="186"/>
  <c r="O123" i="186"/>
  <c r="N123" i="186"/>
  <c r="M123" i="186"/>
  <c r="L123" i="186"/>
  <c r="K123" i="186"/>
  <c r="J123" i="186"/>
  <c r="I123" i="186"/>
  <c r="H123" i="186"/>
  <c r="G123" i="186"/>
  <c r="F123" i="186"/>
  <c r="E123" i="186"/>
  <c r="W118" i="186"/>
  <c r="V118" i="186"/>
  <c r="U118" i="186"/>
  <c r="T118" i="186"/>
  <c r="S118" i="186"/>
  <c r="R118" i="186"/>
  <c r="Q118" i="186"/>
  <c r="P118" i="186"/>
  <c r="O118" i="186"/>
  <c r="N118" i="186"/>
  <c r="M118" i="186"/>
  <c r="L118" i="186"/>
  <c r="K118" i="186"/>
  <c r="J118" i="186"/>
  <c r="I118" i="186"/>
  <c r="H118" i="186"/>
  <c r="G118" i="186"/>
  <c r="E118" i="186"/>
  <c r="W117" i="186"/>
  <c r="V117" i="186"/>
  <c r="U117" i="186"/>
  <c r="T117" i="186"/>
  <c r="S117" i="186"/>
  <c r="R117" i="186"/>
  <c r="Q117" i="186"/>
  <c r="P117" i="186"/>
  <c r="O117" i="186"/>
  <c r="N117" i="186"/>
  <c r="M117" i="186"/>
  <c r="L117" i="186"/>
  <c r="K117" i="186"/>
  <c r="J117" i="186"/>
  <c r="I117" i="186"/>
  <c r="H117" i="186"/>
  <c r="G117" i="186"/>
  <c r="E117" i="186"/>
  <c r="W116" i="186"/>
  <c r="V116" i="186"/>
  <c r="U116" i="186"/>
  <c r="T116" i="186"/>
  <c r="S116" i="186"/>
  <c r="R116" i="186"/>
  <c r="Q116" i="186"/>
  <c r="P116" i="186"/>
  <c r="O116" i="186"/>
  <c r="N116" i="186"/>
  <c r="M116" i="186"/>
  <c r="L116" i="186"/>
  <c r="K116" i="186"/>
  <c r="J116" i="186"/>
  <c r="I116" i="186"/>
  <c r="H116" i="186"/>
  <c r="G116" i="186"/>
  <c r="E116" i="186"/>
  <c r="W115" i="186"/>
  <c r="V115" i="186"/>
  <c r="U115" i="186"/>
  <c r="T115" i="186"/>
  <c r="S115" i="186"/>
  <c r="R115" i="186"/>
  <c r="Q115" i="186"/>
  <c r="P115" i="186"/>
  <c r="O115" i="186"/>
  <c r="N115" i="186"/>
  <c r="M115" i="186"/>
  <c r="L115" i="186"/>
  <c r="K115" i="186"/>
  <c r="J115" i="186"/>
  <c r="I115" i="186"/>
  <c r="H115" i="186"/>
  <c r="G115" i="186"/>
  <c r="E115" i="186"/>
  <c r="W114" i="186"/>
  <c r="V114" i="186"/>
  <c r="U114" i="186"/>
  <c r="T114" i="186"/>
  <c r="S114" i="186"/>
  <c r="R114" i="186"/>
  <c r="Q114" i="186"/>
  <c r="P114" i="186"/>
  <c r="O114" i="186"/>
  <c r="N114" i="186"/>
  <c r="M114" i="186"/>
  <c r="L114" i="186"/>
  <c r="K114" i="186"/>
  <c r="J114" i="186"/>
  <c r="I114" i="186"/>
  <c r="H114" i="186"/>
  <c r="G114" i="186"/>
  <c r="E114" i="186"/>
  <c r="I110" i="186"/>
  <c r="G110" i="186"/>
  <c r="F110" i="186"/>
  <c r="E110" i="186"/>
  <c r="I109" i="186"/>
  <c r="G109" i="186"/>
  <c r="F109" i="186"/>
  <c r="E109" i="186"/>
  <c r="I108" i="186"/>
  <c r="G108" i="186"/>
  <c r="F108" i="186"/>
  <c r="E108" i="186"/>
  <c r="I104" i="186"/>
  <c r="H104" i="186"/>
  <c r="G104" i="186"/>
  <c r="F104" i="186"/>
  <c r="E104" i="186"/>
  <c r="W103" i="186"/>
  <c r="V103" i="186"/>
  <c r="U103" i="186"/>
  <c r="T103" i="186"/>
  <c r="S103" i="186"/>
  <c r="R103" i="186"/>
  <c r="Q103" i="186"/>
  <c r="P103" i="186"/>
  <c r="O103" i="186"/>
  <c r="N103" i="186"/>
  <c r="M103" i="186"/>
  <c r="L103" i="186"/>
  <c r="K103" i="186"/>
  <c r="J103" i="186"/>
  <c r="I103" i="186"/>
  <c r="H103" i="186"/>
  <c r="G103" i="186"/>
  <c r="F103" i="186"/>
  <c r="E103" i="186"/>
  <c r="W102" i="186"/>
  <c r="V102" i="186"/>
  <c r="U102" i="186"/>
  <c r="T102" i="186"/>
  <c r="S102" i="186"/>
  <c r="R102" i="186"/>
  <c r="Q102" i="186"/>
  <c r="P102" i="186"/>
  <c r="O102" i="186"/>
  <c r="N102" i="186"/>
  <c r="M102" i="186"/>
  <c r="L102" i="186"/>
  <c r="K102" i="186"/>
  <c r="J102" i="186"/>
  <c r="I102" i="186"/>
  <c r="H102" i="186"/>
  <c r="G102" i="186"/>
  <c r="F102" i="186"/>
  <c r="E102" i="186"/>
  <c r="W101" i="186"/>
  <c r="V101" i="186"/>
  <c r="U101" i="186"/>
  <c r="T101" i="186"/>
  <c r="S101" i="186"/>
  <c r="R101" i="186"/>
  <c r="Q101" i="186"/>
  <c r="P101" i="186"/>
  <c r="O101" i="186"/>
  <c r="N101" i="186"/>
  <c r="M101" i="186"/>
  <c r="L101" i="186"/>
  <c r="K101" i="186"/>
  <c r="J101" i="186"/>
  <c r="I101" i="186"/>
  <c r="H101" i="186"/>
  <c r="G101" i="186"/>
  <c r="F101" i="186"/>
  <c r="E101" i="186"/>
  <c r="I98" i="186"/>
  <c r="G98" i="186"/>
  <c r="F98" i="186"/>
  <c r="E98" i="186"/>
  <c r="I97" i="186"/>
  <c r="G97" i="186"/>
  <c r="F97" i="186"/>
  <c r="E97" i="186"/>
  <c r="I96" i="186"/>
  <c r="G96" i="186"/>
  <c r="F96" i="186"/>
  <c r="E96" i="186"/>
  <c r="I90" i="186"/>
  <c r="G90" i="186"/>
  <c r="F90" i="186"/>
  <c r="E90" i="186"/>
  <c r="I89" i="186"/>
  <c r="H89" i="186"/>
  <c r="G89" i="186"/>
  <c r="F89" i="186"/>
  <c r="E89" i="186"/>
  <c r="I85" i="186"/>
  <c r="G85" i="186"/>
  <c r="F85" i="186"/>
  <c r="E85" i="186"/>
  <c r="I84" i="186"/>
  <c r="G84" i="186"/>
  <c r="F84" i="186"/>
  <c r="E84" i="186"/>
  <c r="I79" i="186"/>
  <c r="G79" i="186"/>
  <c r="F79" i="186"/>
  <c r="E79" i="186"/>
  <c r="I75" i="186"/>
  <c r="J76" i="186" s="1"/>
  <c r="G75" i="186"/>
  <c r="F75" i="186"/>
  <c r="E75" i="186"/>
  <c r="W72" i="186"/>
  <c r="W15" i="187" s="1"/>
  <c r="I71" i="186"/>
  <c r="G71" i="186"/>
  <c r="F71" i="186"/>
  <c r="E71" i="186"/>
  <c r="I67" i="186"/>
  <c r="G67" i="186"/>
  <c r="F67" i="186"/>
  <c r="E67" i="186"/>
  <c r="I66" i="186"/>
  <c r="G66" i="186"/>
  <c r="F66" i="186"/>
  <c r="E66" i="186"/>
  <c r="I62" i="186"/>
  <c r="G62" i="186"/>
  <c r="F62" i="186"/>
  <c r="E62" i="186"/>
  <c r="I61" i="186"/>
  <c r="G61" i="186"/>
  <c r="F61" i="186"/>
  <c r="E61" i="186"/>
  <c r="I60" i="186"/>
  <c r="G60" i="186"/>
  <c r="F60" i="186"/>
  <c r="E60" i="186"/>
  <c r="I55" i="186"/>
  <c r="G55" i="186"/>
  <c r="F55" i="186"/>
  <c r="E55" i="186"/>
  <c r="I54" i="186"/>
  <c r="G54" i="186"/>
  <c r="F54" i="186"/>
  <c r="E54" i="186"/>
  <c r="I50" i="186"/>
  <c r="H50" i="186"/>
  <c r="G50" i="186"/>
  <c r="F50" i="186"/>
  <c r="E50" i="186"/>
  <c r="I49" i="186"/>
  <c r="H49" i="186"/>
  <c r="G49" i="186"/>
  <c r="F49" i="186"/>
  <c r="E49" i="186"/>
  <c r="W48" i="186"/>
  <c r="V48" i="186"/>
  <c r="U48" i="186"/>
  <c r="T48" i="186"/>
  <c r="S48" i="186"/>
  <c r="R48" i="186"/>
  <c r="Q48" i="186"/>
  <c r="P48" i="186"/>
  <c r="O48" i="186"/>
  <c r="N48" i="186"/>
  <c r="M48" i="186"/>
  <c r="L48" i="186"/>
  <c r="K48" i="186"/>
  <c r="J48" i="186"/>
  <c r="I48" i="186"/>
  <c r="H48" i="186"/>
  <c r="G48" i="186"/>
  <c r="E48" i="186"/>
  <c r="W45" i="186"/>
  <c r="V45" i="186"/>
  <c r="U45" i="186"/>
  <c r="T45" i="186"/>
  <c r="S45" i="186"/>
  <c r="R45" i="186"/>
  <c r="Q45" i="186"/>
  <c r="P45" i="186"/>
  <c r="O45" i="186"/>
  <c r="N45" i="186"/>
  <c r="M45" i="186"/>
  <c r="L45" i="186"/>
  <c r="K45" i="186"/>
  <c r="J45" i="186"/>
  <c r="I45" i="186"/>
  <c r="H45" i="186"/>
  <c r="G45" i="186"/>
  <c r="F45" i="186"/>
  <c r="E45" i="186"/>
  <c r="W44" i="186"/>
  <c r="V44" i="186"/>
  <c r="U44" i="186"/>
  <c r="T44" i="186"/>
  <c r="S44" i="186"/>
  <c r="R44" i="186"/>
  <c r="Q44" i="186"/>
  <c r="P44" i="186"/>
  <c r="O44" i="186"/>
  <c r="N44" i="186"/>
  <c r="M44" i="186"/>
  <c r="L44" i="186"/>
  <c r="K44" i="186"/>
  <c r="J44" i="186"/>
  <c r="I44" i="186"/>
  <c r="H44" i="186"/>
  <c r="G44" i="186"/>
  <c r="F44" i="186"/>
  <c r="F46" i="186" s="1"/>
  <c r="F48" i="186" s="1"/>
  <c r="E44" i="186"/>
  <c r="I40" i="186"/>
  <c r="H40" i="186"/>
  <c r="G40" i="186"/>
  <c r="F40" i="186"/>
  <c r="E40" i="186"/>
  <c r="I39" i="186"/>
  <c r="H39" i="186"/>
  <c r="G39" i="186"/>
  <c r="F39" i="186"/>
  <c r="E39" i="186"/>
  <c r="W38" i="186"/>
  <c r="V38" i="186"/>
  <c r="U38" i="186"/>
  <c r="T38" i="186"/>
  <c r="S38" i="186"/>
  <c r="R38" i="186"/>
  <c r="Q38" i="186"/>
  <c r="P38" i="186"/>
  <c r="O38" i="186"/>
  <c r="N38" i="186"/>
  <c r="M38" i="186"/>
  <c r="L38" i="186"/>
  <c r="K38" i="186"/>
  <c r="J38" i="186"/>
  <c r="I38" i="186"/>
  <c r="H38" i="186"/>
  <c r="G38" i="186"/>
  <c r="F38" i="186"/>
  <c r="E38" i="186"/>
  <c r="I31" i="186"/>
  <c r="H31" i="186"/>
  <c r="G31" i="186"/>
  <c r="F31" i="186"/>
  <c r="E31" i="186"/>
  <c r="I30" i="186"/>
  <c r="H30" i="186"/>
  <c r="G30" i="186"/>
  <c r="F30" i="186"/>
  <c r="E30" i="186"/>
  <c r="W29" i="186"/>
  <c r="V29" i="186"/>
  <c r="U29" i="186"/>
  <c r="T29" i="186"/>
  <c r="S29" i="186"/>
  <c r="R29" i="186"/>
  <c r="Q29" i="186"/>
  <c r="P29" i="186"/>
  <c r="O29" i="186"/>
  <c r="N29" i="186"/>
  <c r="M29" i="186"/>
  <c r="L29" i="186"/>
  <c r="K29" i="186"/>
  <c r="J29" i="186"/>
  <c r="I29" i="186"/>
  <c r="H29" i="186"/>
  <c r="G29" i="186"/>
  <c r="F29" i="186"/>
  <c r="E29" i="186"/>
  <c r="I24" i="186"/>
  <c r="H24" i="186"/>
  <c r="G24" i="186"/>
  <c r="F24" i="186"/>
  <c r="E24" i="186"/>
  <c r="W23" i="186"/>
  <c r="V23" i="186"/>
  <c r="U23" i="186"/>
  <c r="T23" i="186"/>
  <c r="S23" i="186"/>
  <c r="R23" i="186"/>
  <c r="Q23" i="186"/>
  <c r="P23" i="186"/>
  <c r="O23" i="186"/>
  <c r="N23" i="186"/>
  <c r="M23" i="186"/>
  <c r="L23" i="186"/>
  <c r="K23" i="186"/>
  <c r="J23" i="186"/>
  <c r="I23" i="186"/>
  <c r="H23" i="186"/>
  <c r="G23" i="186"/>
  <c r="F23" i="186"/>
  <c r="E23" i="186"/>
  <c r="I19" i="186"/>
  <c r="G19" i="186"/>
  <c r="F19" i="186"/>
  <c r="E19" i="186"/>
  <c r="W18" i="186"/>
  <c r="V18" i="186"/>
  <c r="U18" i="186"/>
  <c r="T18" i="186"/>
  <c r="S18" i="186"/>
  <c r="R18" i="186"/>
  <c r="Q18" i="186"/>
  <c r="P18" i="186"/>
  <c r="O18" i="186"/>
  <c r="N18" i="186"/>
  <c r="M18" i="186"/>
  <c r="L18" i="186"/>
  <c r="K18" i="186"/>
  <c r="J18" i="186"/>
  <c r="I18" i="186"/>
  <c r="H18" i="186"/>
  <c r="G18" i="186"/>
  <c r="F18" i="186"/>
  <c r="E18" i="186"/>
  <c r="W17" i="186"/>
  <c r="V17" i="186"/>
  <c r="U17" i="186"/>
  <c r="T17" i="186"/>
  <c r="S17" i="186"/>
  <c r="R17" i="186"/>
  <c r="Q17" i="186"/>
  <c r="P17" i="186"/>
  <c r="O17" i="186"/>
  <c r="N17" i="186"/>
  <c r="M17" i="186"/>
  <c r="L17" i="186"/>
  <c r="K17" i="186"/>
  <c r="J17" i="186"/>
  <c r="I17" i="186"/>
  <c r="H17" i="186"/>
  <c r="G17" i="186"/>
  <c r="F17" i="186"/>
  <c r="E17" i="186"/>
  <c r="K13" i="186"/>
  <c r="K14" i="186" s="1"/>
  <c r="I13" i="186"/>
  <c r="H13" i="186"/>
  <c r="G13" i="186"/>
  <c r="F13" i="186"/>
  <c r="E13" i="186"/>
  <c r="M10" i="186"/>
  <c r="M13" i="186" s="1"/>
  <c r="M14" i="186" s="1"/>
  <c r="L10" i="186"/>
  <c r="K10" i="186"/>
  <c r="J10" i="186"/>
  <c r="J13" i="186" s="1"/>
  <c r="J14" i="186" s="1"/>
  <c r="K5" i="186"/>
  <c r="J5" i="186"/>
  <c r="E5" i="186"/>
  <c r="E4" i="186"/>
  <c r="G3" i="186"/>
  <c r="E3" i="186"/>
  <c r="G2" i="186"/>
  <c r="E2" i="186"/>
  <c r="A1" i="186"/>
  <c r="K8" i="200" s="1"/>
  <c r="H148" i="188"/>
  <c r="H142" i="188"/>
  <c r="H140" i="188"/>
  <c r="H43" i="189"/>
  <c r="H58" i="187"/>
  <c r="H82" i="119"/>
  <c r="H48" i="187"/>
  <c r="H94" i="119"/>
  <c r="H38" i="187"/>
  <c r="H74" i="188"/>
  <c r="H73" i="188"/>
  <c r="K5" i="188"/>
  <c r="J5" i="188"/>
  <c r="E5" i="188"/>
  <c r="E4" i="188"/>
  <c r="G3" i="188"/>
  <c r="E3" i="188"/>
  <c r="G2" i="188"/>
  <c r="E2" i="188"/>
  <c r="A1" i="188"/>
  <c r="G8" i="200" s="1"/>
  <c r="A1" i="200"/>
  <c r="A1" i="199"/>
  <c r="S8" i="200" s="1"/>
  <c r="C8" i="200"/>
  <c r="L22" i="201" l="1"/>
  <c r="L25" i="201" s="1"/>
  <c r="M49" i="187"/>
  <c r="M51" i="187" s="1"/>
  <c r="S39" i="187"/>
  <c r="S41" i="187" s="1"/>
  <c r="P49" i="187"/>
  <c r="P51" i="187" s="1"/>
  <c r="P22" i="201"/>
  <c r="P25" i="201" s="1"/>
  <c r="T22" i="201"/>
  <c r="T25" i="201" s="1"/>
  <c r="U22" i="201"/>
  <c r="U25" i="201" s="1"/>
  <c r="J22" i="201"/>
  <c r="V22" i="201"/>
  <c r="V25" i="201" s="1"/>
  <c r="N49" i="187"/>
  <c r="N51" i="187" s="1"/>
  <c r="N22" i="201"/>
  <c r="N25" i="201" s="1"/>
  <c r="O22" i="201"/>
  <c r="O25" i="201" s="1"/>
  <c r="T39" i="187"/>
  <c r="T41" i="187" s="1"/>
  <c r="Q22" i="201"/>
  <c r="Q25" i="201" s="1"/>
  <c r="K22" i="201"/>
  <c r="K25" i="201" s="1"/>
  <c r="W22" i="201"/>
  <c r="W25" i="201" s="1"/>
  <c r="S49" i="187"/>
  <c r="S51" i="187" s="1"/>
  <c r="M22" i="201"/>
  <c r="M25" i="201" s="1"/>
  <c r="U39" i="187"/>
  <c r="U41" i="187" s="1"/>
  <c r="R49" i="187"/>
  <c r="R51" i="187" s="1"/>
  <c r="R22" i="201"/>
  <c r="R25" i="201" s="1"/>
  <c r="J39" i="187"/>
  <c r="J41" i="187" s="1"/>
  <c r="V39" i="187"/>
  <c r="V41" i="187" s="1"/>
  <c r="U22" i="189"/>
  <c r="U25" i="189" s="1"/>
  <c r="T22" i="189"/>
  <c r="T25" i="189" s="1"/>
  <c r="M46" i="119"/>
  <c r="M49" i="119" s="1"/>
  <c r="N46" i="119"/>
  <c r="N49" i="119" s="1"/>
  <c r="Q46" i="119"/>
  <c r="Q49" i="119" s="1"/>
  <c r="R46" i="119"/>
  <c r="R49" i="119" s="1"/>
  <c r="O46" i="119"/>
  <c r="O49" i="119" s="1"/>
  <c r="P46" i="119"/>
  <c r="P49" i="119" s="1"/>
  <c r="S46" i="119"/>
  <c r="S49" i="119" s="1"/>
  <c r="P61" i="119"/>
  <c r="P64" i="119" s="1"/>
  <c r="L59" i="187"/>
  <c r="L61" i="187" s="1"/>
  <c r="N59" i="187"/>
  <c r="N61" i="187" s="1"/>
  <c r="N39" i="187"/>
  <c r="N41" i="187" s="1"/>
  <c r="R59" i="187"/>
  <c r="R61" i="187" s="1"/>
  <c r="L69" i="187"/>
  <c r="L71" i="187" s="1"/>
  <c r="O39" i="187"/>
  <c r="O41" i="187" s="1"/>
  <c r="L49" i="187"/>
  <c r="L51" i="187" s="1"/>
  <c r="S59" i="187"/>
  <c r="S61" i="187" s="1"/>
  <c r="M69" i="187"/>
  <c r="M71" i="187" s="1"/>
  <c r="M59" i="187"/>
  <c r="M61" i="187" s="1"/>
  <c r="O59" i="187"/>
  <c r="O61" i="187" s="1"/>
  <c r="U69" i="187"/>
  <c r="U71" i="187" s="1"/>
  <c r="L39" i="187"/>
  <c r="L41" i="187" s="1"/>
  <c r="P59" i="187"/>
  <c r="P61" i="187" s="1"/>
  <c r="J69" i="187"/>
  <c r="J71" i="187" s="1"/>
  <c r="V69" i="187"/>
  <c r="V71" i="187" s="1"/>
  <c r="M39" i="187"/>
  <c r="M41" i="187" s="1"/>
  <c r="Q59" i="187"/>
  <c r="Q61" i="187" s="1"/>
  <c r="K69" i="187"/>
  <c r="K71" i="187" s="1"/>
  <c r="W69" i="187"/>
  <c r="W71" i="187" s="1"/>
  <c r="P39" i="187"/>
  <c r="P41" i="187" s="1"/>
  <c r="T59" i="187"/>
  <c r="T61" i="187" s="1"/>
  <c r="N69" i="187"/>
  <c r="N71" i="187" s="1"/>
  <c r="Q39" i="187"/>
  <c r="Q41" i="187" s="1"/>
  <c r="U59" i="187"/>
  <c r="U61" i="187" s="1"/>
  <c r="O69" i="187"/>
  <c r="O71" i="187" s="1"/>
  <c r="R39" i="187"/>
  <c r="R41" i="187" s="1"/>
  <c r="O49" i="187"/>
  <c r="O51" i="187" s="1"/>
  <c r="J59" i="187"/>
  <c r="J61" i="187" s="1"/>
  <c r="V59" i="187"/>
  <c r="V61" i="187" s="1"/>
  <c r="J22" i="189"/>
  <c r="J25" i="189" s="1"/>
  <c r="V22" i="189"/>
  <c r="V25" i="189" s="1"/>
  <c r="N22" i="189"/>
  <c r="N25" i="189" s="1"/>
  <c r="K22" i="189"/>
  <c r="K25" i="189" s="1"/>
  <c r="W22" i="189"/>
  <c r="W25" i="189" s="1"/>
  <c r="L22" i="189"/>
  <c r="L25" i="189" s="1"/>
  <c r="M22" i="189"/>
  <c r="M25" i="189" s="1"/>
  <c r="N61" i="119"/>
  <c r="N64" i="119" s="1"/>
  <c r="Q61" i="119"/>
  <c r="Q64" i="119" s="1"/>
  <c r="O61" i="119"/>
  <c r="O64" i="119" s="1"/>
  <c r="R61" i="119"/>
  <c r="R64" i="119" s="1"/>
  <c r="S61" i="119"/>
  <c r="S64" i="119" s="1"/>
  <c r="T61" i="119"/>
  <c r="T64" i="119" s="1"/>
  <c r="Q26" i="187"/>
  <c r="Q20" i="187"/>
  <c r="Q10" i="187"/>
  <c r="Q14" i="187"/>
  <c r="R26" i="187"/>
  <c r="R20" i="187"/>
  <c r="R10" i="187"/>
  <c r="R14" i="187"/>
  <c r="S26" i="187"/>
  <c r="S20" i="187"/>
  <c r="S10" i="187"/>
  <c r="S14" i="187"/>
  <c r="K14" i="187"/>
  <c r="K26" i="187"/>
  <c r="K20" i="187"/>
  <c r="K10" i="187"/>
  <c r="N26" i="187"/>
  <c r="N20" i="187"/>
  <c r="N10" i="187"/>
  <c r="N14" i="187"/>
  <c r="O20" i="187"/>
  <c r="O10" i="187"/>
  <c r="O14" i="187"/>
  <c r="O26" i="187"/>
  <c r="P14" i="187"/>
  <c r="P26" i="187"/>
  <c r="P20" i="187"/>
  <c r="P10" i="187"/>
  <c r="Q11" i="187" s="1"/>
  <c r="Q115" i="201" s="1"/>
  <c r="F25" i="187"/>
  <c r="L10" i="187"/>
  <c r="L20" i="187"/>
  <c r="M10" i="187"/>
  <c r="N11" i="187" s="1"/>
  <c r="N259" i="119" s="1"/>
  <c r="M20" i="187"/>
  <c r="O22" i="189"/>
  <c r="O25" i="189" s="1"/>
  <c r="P22" i="189"/>
  <c r="P25" i="189" s="1"/>
  <c r="Q22" i="189"/>
  <c r="Q25" i="189" s="1"/>
  <c r="R22" i="189"/>
  <c r="R25" i="189" s="1"/>
  <c r="S22" i="189"/>
  <c r="S25" i="189" s="1"/>
  <c r="J46" i="119"/>
  <c r="J49" i="119" s="1"/>
  <c r="V46" i="119"/>
  <c r="V49" i="119" s="1"/>
  <c r="T46" i="119"/>
  <c r="T49" i="119" s="1"/>
  <c r="K46" i="119"/>
  <c r="K49" i="119" s="1"/>
  <c r="W46" i="119"/>
  <c r="W49" i="119" s="1"/>
  <c r="L46" i="119"/>
  <c r="L49" i="119" s="1"/>
  <c r="U46" i="119"/>
  <c r="U49" i="119" s="1"/>
  <c r="J61" i="119"/>
  <c r="V61" i="119"/>
  <c r="V64" i="119" s="1"/>
  <c r="K61" i="119"/>
  <c r="K64" i="119" s="1"/>
  <c r="W61" i="119"/>
  <c r="W64" i="119" s="1"/>
  <c r="L61" i="119"/>
  <c r="L64" i="119" s="1"/>
  <c r="M61" i="119"/>
  <c r="M64" i="119" s="1"/>
  <c r="J64" i="119"/>
  <c r="K118" i="189"/>
  <c r="K236" i="119"/>
  <c r="K259" i="119"/>
  <c r="J31" i="187"/>
  <c r="J32" i="187" s="1"/>
  <c r="J72" i="187" s="1"/>
  <c r="K105" i="119"/>
  <c r="K66" i="186"/>
  <c r="K126" i="186"/>
  <c r="K19" i="186"/>
  <c r="K96" i="186"/>
  <c r="M126" i="186"/>
  <c r="M96" i="186"/>
  <c r="M66" i="186"/>
  <c r="M19" i="186"/>
  <c r="J126" i="186"/>
  <c r="J127" i="186" s="1"/>
  <c r="J66" i="186"/>
  <c r="J19" i="186"/>
  <c r="J20" i="186" s="1"/>
  <c r="J96" i="186"/>
  <c r="L5" i="188"/>
  <c r="L5" i="186"/>
  <c r="N10" i="186"/>
  <c r="M5" i="188"/>
  <c r="M5" i="186"/>
  <c r="L13" i="186"/>
  <c r="L14" i="186" s="1"/>
  <c r="J98" i="186"/>
  <c r="J79" i="186"/>
  <c r="J80" i="186" s="1"/>
  <c r="J5" i="193"/>
  <c r="J5" i="201"/>
  <c r="J5" i="190"/>
  <c r="J5" i="189"/>
  <c r="J5" i="187"/>
  <c r="J5" i="119"/>
  <c r="M5" i="193"/>
  <c r="M5" i="201"/>
  <c r="M5" i="190"/>
  <c r="M5" i="189"/>
  <c r="M5" i="119"/>
  <c r="M5" i="187"/>
  <c r="K5" i="193"/>
  <c r="K5" i="201"/>
  <c r="K5" i="190"/>
  <c r="K5" i="189"/>
  <c r="K5" i="119"/>
  <c r="K5" i="187"/>
  <c r="L5" i="193"/>
  <c r="L5" i="201"/>
  <c r="L5" i="190"/>
  <c r="L5" i="119"/>
  <c r="L5" i="187"/>
  <c r="L5" i="189"/>
  <c r="K172" i="119"/>
  <c r="K92" i="201"/>
  <c r="K115" i="201"/>
  <c r="J105" i="119"/>
  <c r="J236" i="119"/>
  <c r="J259" i="119"/>
  <c r="J117" i="119"/>
  <c r="J230" i="119"/>
  <c r="J124" i="189"/>
  <c r="J54" i="201"/>
  <c r="K31" i="187"/>
  <c r="K32" i="187" s="1"/>
  <c r="K117" i="119"/>
  <c r="K230" i="119"/>
  <c r="J54" i="189"/>
  <c r="K124" i="189"/>
  <c r="K54" i="201"/>
  <c r="J121" i="201"/>
  <c r="J252" i="119"/>
  <c r="K54" i="189"/>
  <c r="J95" i="189"/>
  <c r="J118" i="189"/>
  <c r="K121" i="201"/>
  <c r="J172" i="119"/>
  <c r="K252" i="119"/>
  <c r="K95" i="189"/>
  <c r="J92" i="201"/>
  <c r="T20" i="187"/>
  <c r="T26" i="187"/>
  <c r="T14" i="187"/>
  <c r="T10" i="187"/>
  <c r="S11" i="200"/>
  <c r="S11" i="187" l="1"/>
  <c r="S252" i="119" s="1"/>
  <c r="J25" i="201"/>
  <c r="H22" i="201"/>
  <c r="H25" i="201" s="1"/>
  <c r="Q236" i="119"/>
  <c r="N54" i="201"/>
  <c r="N124" i="189"/>
  <c r="N117" i="119"/>
  <c r="N31" i="187"/>
  <c r="N32" i="187" s="1"/>
  <c r="N62" i="187" s="1"/>
  <c r="Q54" i="201"/>
  <c r="P11" i="187"/>
  <c r="P259" i="119" s="1"/>
  <c r="Q31" i="187"/>
  <c r="Q32" i="187" s="1"/>
  <c r="Q72" i="187" s="1"/>
  <c r="Q54" i="189"/>
  <c r="Q252" i="119"/>
  <c r="Q172" i="119"/>
  <c r="Q118" i="189"/>
  <c r="Q95" i="189"/>
  <c r="Q92" i="201"/>
  <c r="Q230" i="119"/>
  <c r="N54" i="189"/>
  <c r="N172" i="119"/>
  <c r="Q117" i="119"/>
  <c r="Q259" i="119"/>
  <c r="H61" i="119"/>
  <c r="H64" i="119" s="1"/>
  <c r="S172" i="119"/>
  <c r="S118" i="189"/>
  <c r="S105" i="119"/>
  <c r="S259" i="119"/>
  <c r="S236" i="119"/>
  <c r="S31" i="187"/>
  <c r="S32" i="187" s="1"/>
  <c r="S52" i="187" s="1"/>
  <c r="S121" i="201"/>
  <c r="S95" i="189"/>
  <c r="S124" i="189"/>
  <c r="S117" i="119"/>
  <c r="S54" i="201"/>
  <c r="S92" i="201"/>
  <c r="N118" i="189"/>
  <c r="O11" i="187"/>
  <c r="N236" i="119"/>
  <c r="N115" i="201"/>
  <c r="N95" i="189"/>
  <c r="M11" i="187"/>
  <c r="N92" i="201"/>
  <c r="N121" i="201"/>
  <c r="L11" i="187"/>
  <c r="Q124" i="189"/>
  <c r="Q105" i="119"/>
  <c r="R11" i="187"/>
  <c r="N105" i="119"/>
  <c r="Q121" i="201"/>
  <c r="N252" i="119"/>
  <c r="N230" i="119"/>
  <c r="H22" i="189"/>
  <c r="H25" i="189" s="1"/>
  <c r="H46" i="119"/>
  <c r="H49" i="119" s="1"/>
  <c r="S115" i="201"/>
  <c r="S54" i="189"/>
  <c r="S230" i="119"/>
  <c r="J52" i="187"/>
  <c r="J42" i="187"/>
  <c r="J62" i="187"/>
  <c r="L126" i="186"/>
  <c r="L96" i="186"/>
  <c r="L66" i="186"/>
  <c r="L19" i="186"/>
  <c r="J49" i="186"/>
  <c r="J24" i="186"/>
  <c r="J25" i="186" s="1"/>
  <c r="J39" i="186"/>
  <c r="J30" i="186"/>
  <c r="J110" i="186"/>
  <c r="J4" i="193"/>
  <c r="J4" i="201"/>
  <c r="J4" i="190"/>
  <c r="J37" i="119"/>
  <c r="J4" i="119"/>
  <c r="J4" i="189"/>
  <c r="J4" i="187"/>
  <c r="J89" i="186"/>
  <c r="J4" i="186"/>
  <c r="J4" i="188"/>
  <c r="K20" i="186"/>
  <c r="N5" i="193"/>
  <c r="N5" i="190"/>
  <c r="N5" i="189"/>
  <c r="N5" i="119"/>
  <c r="N5" i="201"/>
  <c r="N5" i="187"/>
  <c r="N13" i="186"/>
  <c r="N14" i="186" s="1"/>
  <c r="N5" i="186"/>
  <c r="N5" i="188"/>
  <c r="O10" i="186"/>
  <c r="N52" i="187"/>
  <c r="N42" i="187"/>
  <c r="N72" i="187"/>
  <c r="S72" i="187"/>
  <c r="K72" i="187"/>
  <c r="K62" i="187"/>
  <c r="K52" i="187"/>
  <c r="K42" i="187"/>
  <c r="V20" i="187"/>
  <c r="V10" i="187"/>
  <c r="V26" i="187"/>
  <c r="V14" i="187"/>
  <c r="T11" i="187"/>
  <c r="U26" i="187"/>
  <c r="U14" i="187"/>
  <c r="U10" i="187"/>
  <c r="U11" i="187" s="1"/>
  <c r="U20" i="187"/>
  <c r="P230" i="119" l="1"/>
  <c r="P92" i="201"/>
  <c r="P172" i="119"/>
  <c r="Q62" i="187"/>
  <c r="P54" i="201"/>
  <c r="P117" i="119"/>
  <c r="Q52" i="187"/>
  <c r="P124" i="189"/>
  <c r="Q42" i="187"/>
  <c r="P252" i="119"/>
  <c r="P236" i="119"/>
  <c r="P115" i="201"/>
  <c r="P118" i="189"/>
  <c r="P54" i="189"/>
  <c r="S62" i="187"/>
  <c r="P121" i="201"/>
  <c r="P95" i="189"/>
  <c r="P31" i="187"/>
  <c r="P32" i="187" s="1"/>
  <c r="P52" i="187" s="1"/>
  <c r="P105" i="119"/>
  <c r="P62" i="187"/>
  <c r="M54" i="201"/>
  <c r="M121" i="201"/>
  <c r="M259" i="119"/>
  <c r="M54" i="189"/>
  <c r="M105" i="119"/>
  <c r="M31" i="187"/>
  <c r="M32" i="187" s="1"/>
  <c r="M124" i="189"/>
  <c r="M252" i="119"/>
  <c r="M117" i="119"/>
  <c r="M95" i="189"/>
  <c r="M118" i="189"/>
  <c r="M172" i="119"/>
  <c r="M92" i="201"/>
  <c r="M230" i="119"/>
  <c r="M115" i="201"/>
  <c r="M236" i="119"/>
  <c r="O259" i="119"/>
  <c r="O124" i="189"/>
  <c r="O95" i="189"/>
  <c r="O115" i="201"/>
  <c r="O236" i="119"/>
  <c r="O31" i="187"/>
  <c r="O32" i="187" s="1"/>
  <c r="O54" i="201"/>
  <c r="O118" i="189"/>
  <c r="O252" i="119"/>
  <c r="O117" i="119"/>
  <c r="O54" i="189"/>
  <c r="O230" i="119"/>
  <c r="O105" i="119"/>
  <c r="O172" i="119"/>
  <c r="O92" i="201"/>
  <c r="O121" i="201"/>
  <c r="R115" i="201"/>
  <c r="R236" i="119"/>
  <c r="R230" i="119"/>
  <c r="R118" i="189"/>
  <c r="R54" i="189"/>
  <c r="R259" i="119"/>
  <c r="R105" i="119"/>
  <c r="R252" i="119"/>
  <c r="R124" i="189"/>
  <c r="R117" i="119"/>
  <c r="R95" i="189"/>
  <c r="R54" i="201"/>
  <c r="R172" i="119"/>
  <c r="R121" i="201"/>
  <c r="R31" i="187"/>
  <c r="R32" i="187" s="1"/>
  <c r="R92" i="201"/>
  <c r="P42" i="187"/>
  <c r="S42" i="187"/>
  <c r="L121" i="201"/>
  <c r="L31" i="187"/>
  <c r="L32" i="187" s="1"/>
  <c r="L236" i="119"/>
  <c r="L124" i="189"/>
  <c r="L252" i="119"/>
  <c r="L92" i="201"/>
  <c r="L117" i="119"/>
  <c r="L54" i="201"/>
  <c r="L115" i="201"/>
  <c r="L259" i="119"/>
  <c r="L54" i="189"/>
  <c r="L172" i="119"/>
  <c r="L230" i="119"/>
  <c r="L95" i="189"/>
  <c r="L118" i="189"/>
  <c r="L105" i="119"/>
  <c r="O5" i="193"/>
  <c r="O5" i="190"/>
  <c r="O5" i="189"/>
  <c r="O5" i="119"/>
  <c r="O5" i="201"/>
  <c r="O5" i="187"/>
  <c r="O13" i="186"/>
  <c r="O14" i="186" s="1"/>
  <c r="O5" i="186"/>
  <c r="O5" i="188"/>
  <c r="P10" i="186"/>
  <c r="L20" i="186"/>
  <c r="N66" i="186"/>
  <c r="N126" i="186"/>
  <c r="N19" i="186"/>
  <c r="N96" i="186"/>
  <c r="J2" i="193"/>
  <c r="J2" i="201"/>
  <c r="J2" i="190"/>
  <c r="J2" i="189"/>
  <c r="J2" i="187"/>
  <c r="J2" i="119"/>
  <c r="J125" i="186"/>
  <c r="J40" i="186"/>
  <c r="J41" i="186" s="1"/>
  <c r="J31" i="186"/>
  <c r="J32" i="186" s="1"/>
  <c r="J50" i="186"/>
  <c r="J2" i="186"/>
  <c r="J2" i="188"/>
  <c r="J51" i="186"/>
  <c r="K49" i="186"/>
  <c r="K24" i="186"/>
  <c r="K25" i="186" s="1"/>
  <c r="K39" i="186"/>
  <c r="K30" i="186"/>
  <c r="T121" i="201"/>
  <c r="T92" i="201"/>
  <c r="T115" i="201"/>
  <c r="T124" i="189"/>
  <c r="T54" i="201"/>
  <c r="T118" i="189"/>
  <c r="T95" i="189"/>
  <c r="T252" i="119"/>
  <c r="T54" i="189"/>
  <c r="T172" i="119"/>
  <c r="T259" i="119"/>
  <c r="T236" i="119"/>
  <c r="T105" i="119"/>
  <c r="T230" i="119"/>
  <c r="T31" i="187"/>
  <c r="T32" i="187" s="1"/>
  <c r="T117" i="119"/>
  <c r="U121" i="201"/>
  <c r="U92" i="201"/>
  <c r="U54" i="201"/>
  <c r="U115" i="201"/>
  <c r="U118" i="189"/>
  <c r="U124" i="189"/>
  <c r="U95" i="189"/>
  <c r="U54" i="189"/>
  <c r="U259" i="119"/>
  <c r="U252" i="119"/>
  <c r="U172" i="119"/>
  <c r="U236" i="119"/>
  <c r="U230" i="119"/>
  <c r="U105" i="119"/>
  <c r="U117" i="119"/>
  <c r="U31" i="187"/>
  <c r="U32" i="187" s="1"/>
  <c r="W20" i="187"/>
  <c r="W26" i="187"/>
  <c r="W14" i="187"/>
  <c r="W16" i="187" s="1"/>
  <c r="W10" i="187"/>
  <c r="W11" i="187" s="1"/>
  <c r="V11" i="187"/>
  <c r="P72" i="187" l="1"/>
  <c r="R72" i="187"/>
  <c r="R62" i="187"/>
  <c r="R52" i="187"/>
  <c r="R42" i="187"/>
  <c r="O62" i="187"/>
  <c r="O52" i="187"/>
  <c r="O42" i="187"/>
  <c r="O72" i="187"/>
  <c r="M62" i="187"/>
  <c r="M52" i="187"/>
  <c r="M42" i="187"/>
  <c r="M72" i="187"/>
  <c r="L72" i="187"/>
  <c r="L52" i="187"/>
  <c r="L62" i="187"/>
  <c r="L42" i="187"/>
  <c r="J13" i="201"/>
  <c r="J13" i="189"/>
  <c r="J20" i="119"/>
  <c r="J13" i="119"/>
  <c r="J97" i="186"/>
  <c r="J99" i="186" s="1"/>
  <c r="J67" i="186"/>
  <c r="J68" i="186" s="1"/>
  <c r="J54" i="186"/>
  <c r="J56" i="186" s="1"/>
  <c r="J71" i="186"/>
  <c r="J90" i="186"/>
  <c r="J60" i="186"/>
  <c r="J123" i="201"/>
  <c r="J124" i="201" s="1"/>
  <c r="J127" i="201" s="1"/>
  <c r="J120" i="189"/>
  <c r="J121" i="189" s="1"/>
  <c r="J129" i="189" s="1"/>
  <c r="J137" i="189"/>
  <c r="J117" i="201"/>
  <c r="J118" i="201" s="1"/>
  <c r="J126" i="201" s="1"/>
  <c r="J280" i="119"/>
  <c r="J272" i="119"/>
  <c r="J134" i="201"/>
  <c r="J255" i="119"/>
  <c r="J256" i="119" s="1"/>
  <c r="J264" i="119" s="1"/>
  <c r="J232" i="119"/>
  <c r="J233" i="119" s="1"/>
  <c r="J241" i="119" s="1"/>
  <c r="J261" i="119"/>
  <c r="J262" i="119" s="1"/>
  <c r="J265" i="119" s="1"/>
  <c r="J238" i="119"/>
  <c r="J239" i="119" s="1"/>
  <c r="J242" i="119" s="1"/>
  <c r="J75" i="186"/>
  <c r="K76" i="186" s="1"/>
  <c r="J62" i="186"/>
  <c r="J55" i="186"/>
  <c r="J126" i="189"/>
  <c r="J127" i="189" s="1"/>
  <c r="J130" i="189" s="1"/>
  <c r="K2" i="193"/>
  <c r="K2" i="201"/>
  <c r="K2" i="190"/>
  <c r="K2" i="189"/>
  <c r="K2" i="119"/>
  <c r="K125" i="186"/>
  <c r="K127" i="186" s="1"/>
  <c r="K2" i="187"/>
  <c r="K40" i="186"/>
  <c r="K41" i="186" s="1"/>
  <c r="K31" i="186"/>
  <c r="K32" i="186" s="1"/>
  <c r="K50" i="186"/>
  <c r="K51" i="186" s="1"/>
  <c r="K2" i="186"/>
  <c r="K2" i="188"/>
  <c r="O126" i="186"/>
  <c r="O96" i="186"/>
  <c r="O66" i="186"/>
  <c r="O19" i="186"/>
  <c r="L49" i="186"/>
  <c r="L24" i="186"/>
  <c r="L25" i="186" s="1"/>
  <c r="L39" i="186"/>
  <c r="L30" i="186"/>
  <c r="M20" i="186"/>
  <c r="N20" i="186" s="1"/>
  <c r="P5" i="190"/>
  <c r="P5" i="189"/>
  <c r="P5" i="119"/>
  <c r="P5" i="201"/>
  <c r="P5" i="187"/>
  <c r="P5" i="193"/>
  <c r="P13" i="186"/>
  <c r="P14" i="186" s="1"/>
  <c r="P5" i="186"/>
  <c r="P5" i="188"/>
  <c r="Q10" i="186"/>
  <c r="W121" i="201"/>
  <c r="W92" i="201"/>
  <c r="W115" i="201"/>
  <c r="W54" i="201"/>
  <c r="W95" i="189"/>
  <c r="W118" i="189"/>
  <c r="W124" i="189"/>
  <c r="W252" i="119"/>
  <c r="W54" i="189"/>
  <c r="W236" i="119"/>
  <c r="W172" i="119"/>
  <c r="W230" i="119"/>
  <c r="W259" i="119"/>
  <c r="W105" i="119"/>
  <c r="W117" i="119"/>
  <c r="W31" i="187"/>
  <c r="W32" i="187" s="1"/>
  <c r="T72" i="187"/>
  <c r="T42" i="187"/>
  <c r="T62" i="187"/>
  <c r="T52" i="187"/>
  <c r="V121" i="201"/>
  <c r="V92" i="201"/>
  <c r="V54" i="201"/>
  <c r="V115" i="201"/>
  <c r="V124" i="189"/>
  <c r="V54" i="189"/>
  <c r="V95" i="189"/>
  <c r="V118" i="189"/>
  <c r="V259" i="119"/>
  <c r="V172" i="119"/>
  <c r="V236" i="119"/>
  <c r="V230" i="119"/>
  <c r="V252" i="119"/>
  <c r="V117" i="119"/>
  <c r="V105" i="119"/>
  <c r="V31" i="187"/>
  <c r="V32" i="187" s="1"/>
  <c r="U42" i="187"/>
  <c r="U62" i="187"/>
  <c r="U52" i="187"/>
  <c r="U72" i="187"/>
  <c r="J266" i="119" l="1"/>
  <c r="J289" i="119" s="1"/>
  <c r="J243" i="119"/>
  <c r="J285" i="119" s="1"/>
  <c r="J128" i="201"/>
  <c r="J139" i="201" s="1"/>
  <c r="K13" i="189"/>
  <c r="K13" i="201"/>
  <c r="K13" i="119"/>
  <c r="K20" i="119"/>
  <c r="K67" i="186"/>
  <c r="K54" i="186"/>
  <c r="K56" i="186" s="1"/>
  <c r="K71" i="186"/>
  <c r="J72" i="186" s="1"/>
  <c r="K90" i="186"/>
  <c r="K97" i="186"/>
  <c r="K60" i="186"/>
  <c r="P126" i="186"/>
  <c r="P96" i="186"/>
  <c r="P66" i="186"/>
  <c r="P19" i="186"/>
  <c r="O20" i="186"/>
  <c r="N39" i="186"/>
  <c r="N30" i="186"/>
  <c r="N24" i="186"/>
  <c r="N25" i="186" s="1"/>
  <c r="N49" i="186"/>
  <c r="J131" i="189"/>
  <c r="J142" i="189" s="1"/>
  <c r="J97" i="189"/>
  <c r="J98" i="189" s="1"/>
  <c r="J109" i="189" s="1"/>
  <c r="J94" i="201"/>
  <c r="J95" i="201" s="1"/>
  <c r="J106" i="201" s="1"/>
  <c r="J82" i="201"/>
  <c r="J83" i="201" s="1"/>
  <c r="J85" i="201" s="1"/>
  <c r="J86" i="201" s="1"/>
  <c r="J110" i="189"/>
  <c r="J107" i="201"/>
  <c r="J82" i="189"/>
  <c r="J83" i="189" s="1"/>
  <c r="J87" i="189" s="1"/>
  <c r="J212" i="119"/>
  <c r="J205" i="119"/>
  <c r="J174" i="119"/>
  <c r="J175" i="119" s="1"/>
  <c r="J159" i="119"/>
  <c r="J160" i="119" s="1"/>
  <c r="J164" i="119" s="1"/>
  <c r="J43" i="187"/>
  <c r="J44" i="187" s="1"/>
  <c r="J12" i="119" s="1"/>
  <c r="J14" i="119" s="1"/>
  <c r="J87" i="119" s="1"/>
  <c r="J63" i="187"/>
  <c r="J64" i="187" s="1"/>
  <c r="J12" i="189" s="1"/>
  <c r="J14" i="189" s="1"/>
  <c r="J37" i="189" s="1"/>
  <c r="J27" i="187"/>
  <c r="J28" i="187" s="1"/>
  <c r="J73" i="187"/>
  <c r="J74" i="187" s="1"/>
  <c r="J12" i="201" s="1"/>
  <c r="J14" i="201" s="1"/>
  <c r="J37" i="201" s="1"/>
  <c r="J187" i="119"/>
  <c r="J189" i="119" s="1"/>
  <c r="J53" i="187"/>
  <c r="J54" i="187" s="1"/>
  <c r="J19" i="119" s="1"/>
  <c r="J21" i="119" s="1"/>
  <c r="J76" i="119" s="1"/>
  <c r="J61" i="186"/>
  <c r="J21" i="187"/>
  <c r="J109" i="186"/>
  <c r="J84" i="186"/>
  <c r="L2" i="193"/>
  <c r="L2" i="190"/>
  <c r="L2" i="189"/>
  <c r="L2" i="201"/>
  <c r="L2" i="119"/>
  <c r="L2" i="187"/>
  <c r="L125" i="186"/>
  <c r="L127" i="186" s="1"/>
  <c r="L50" i="186"/>
  <c r="L40" i="186"/>
  <c r="L41" i="186" s="1"/>
  <c r="L31" i="186"/>
  <c r="L32" i="186" s="1"/>
  <c r="L2" i="188"/>
  <c r="L2" i="186"/>
  <c r="J108" i="186"/>
  <c r="J85" i="186"/>
  <c r="K68" i="186"/>
  <c r="J104" i="186"/>
  <c r="J105" i="186" s="1"/>
  <c r="Q5" i="189"/>
  <c r="Q5" i="193"/>
  <c r="Q5" i="201"/>
  <c r="Q5" i="190"/>
  <c r="Q5" i="119"/>
  <c r="Q5" i="187"/>
  <c r="Q5" i="186"/>
  <c r="Q5" i="188"/>
  <c r="R10" i="186"/>
  <c r="Q13" i="186"/>
  <c r="Q14" i="186" s="1"/>
  <c r="J63" i="186"/>
  <c r="K4" i="193"/>
  <c r="K4" i="201"/>
  <c r="K4" i="190"/>
  <c r="K37" i="119"/>
  <c r="K4" i="189"/>
  <c r="K4" i="119"/>
  <c r="K4" i="187"/>
  <c r="K89" i="186"/>
  <c r="K4" i="186"/>
  <c r="K4" i="188"/>
  <c r="L51" i="186"/>
  <c r="M49" i="186"/>
  <c r="M24" i="186"/>
  <c r="M25" i="186" s="1"/>
  <c r="M39" i="186"/>
  <c r="M30" i="186"/>
  <c r="K120" i="189"/>
  <c r="K121" i="189" s="1"/>
  <c r="K129" i="189" s="1"/>
  <c r="K137" i="189"/>
  <c r="K117" i="201"/>
  <c r="K118" i="201" s="1"/>
  <c r="K126" i="201" s="1"/>
  <c r="K134" i="201"/>
  <c r="K272" i="119"/>
  <c r="K261" i="119"/>
  <c r="K238" i="119"/>
  <c r="K123" i="201"/>
  <c r="K126" i="189"/>
  <c r="K232" i="119"/>
  <c r="K233" i="119" s="1"/>
  <c r="K241" i="119" s="1"/>
  <c r="K280" i="119"/>
  <c r="K255" i="119"/>
  <c r="K256" i="119" s="1"/>
  <c r="K264" i="119" s="1"/>
  <c r="K62" i="186"/>
  <c r="K55" i="186"/>
  <c r="K75" i="186"/>
  <c r="L76" i="186" s="1"/>
  <c r="K79" i="186"/>
  <c r="K80" i="186" s="1"/>
  <c r="K98" i="186"/>
  <c r="W62" i="187"/>
  <c r="W72" i="187"/>
  <c r="W52" i="187"/>
  <c r="W42" i="187"/>
  <c r="V62" i="187"/>
  <c r="V52" i="187"/>
  <c r="V72" i="187"/>
  <c r="V42" i="187"/>
  <c r="K99" i="186" l="1"/>
  <c r="K104" i="186" s="1"/>
  <c r="K105" i="186" s="1"/>
  <c r="L13" i="189"/>
  <c r="L13" i="119"/>
  <c r="L13" i="201"/>
  <c r="L60" i="186"/>
  <c r="L71" i="186"/>
  <c r="K72" i="186" s="1"/>
  <c r="K15" i="187" s="1"/>
  <c r="K16" i="187" s="1"/>
  <c r="L90" i="186"/>
  <c r="L20" i="119"/>
  <c r="L97" i="186"/>
  <c r="L99" i="186" s="1"/>
  <c r="L54" i="186"/>
  <c r="L56" i="186" s="1"/>
  <c r="L67" i="186"/>
  <c r="L68" i="186" s="1"/>
  <c r="J32" i="119"/>
  <c r="J220" i="119"/>
  <c r="J221" i="119" s="1"/>
  <c r="J15" i="187"/>
  <c r="J16" i="187" s="1"/>
  <c r="Q126" i="186"/>
  <c r="Q96" i="186"/>
  <c r="Q66" i="186"/>
  <c r="Q19" i="186"/>
  <c r="J111" i="186"/>
  <c r="K94" i="201"/>
  <c r="K95" i="201" s="1"/>
  <c r="K106" i="201" s="1"/>
  <c r="K82" i="201"/>
  <c r="K83" i="201" s="1"/>
  <c r="K85" i="201" s="1"/>
  <c r="K86" i="201" s="1"/>
  <c r="K110" i="189"/>
  <c r="K111" i="189" s="1"/>
  <c r="K39" i="189" s="1"/>
  <c r="K107" i="201"/>
  <c r="K108" i="201" s="1"/>
  <c r="K39" i="201" s="1"/>
  <c r="K187" i="119"/>
  <c r="K189" i="119" s="1"/>
  <c r="K82" i="189"/>
  <c r="K83" i="189" s="1"/>
  <c r="K87" i="189" s="1"/>
  <c r="K212" i="119"/>
  <c r="K213" i="119" s="1"/>
  <c r="K90" i="119" s="1"/>
  <c r="K97" i="189"/>
  <c r="K98" i="189" s="1"/>
  <c r="K109" i="189" s="1"/>
  <c r="K21" i="187"/>
  <c r="K174" i="119"/>
  <c r="K175" i="119" s="1"/>
  <c r="K73" i="187"/>
  <c r="K74" i="187" s="1"/>
  <c r="K12" i="201" s="1"/>
  <c r="K14" i="201" s="1"/>
  <c r="K37" i="201" s="1"/>
  <c r="K53" i="187"/>
  <c r="K54" i="187" s="1"/>
  <c r="K19" i="119" s="1"/>
  <c r="K21" i="119" s="1"/>
  <c r="K76" i="119" s="1"/>
  <c r="K109" i="186"/>
  <c r="K205" i="119"/>
  <c r="K206" i="119" s="1"/>
  <c r="K78" i="119" s="1"/>
  <c r="K27" i="187"/>
  <c r="K28" i="187" s="1"/>
  <c r="K159" i="119"/>
  <c r="K160" i="119" s="1"/>
  <c r="K164" i="119" s="1"/>
  <c r="K63" i="187"/>
  <c r="K64" i="187" s="1"/>
  <c r="K12" i="189" s="1"/>
  <c r="K14" i="189" s="1"/>
  <c r="K37" i="189" s="1"/>
  <c r="K43" i="187"/>
  <c r="K44" i="187" s="1"/>
  <c r="K12" i="119" s="1"/>
  <c r="K14" i="119" s="1"/>
  <c r="K87" i="119" s="1"/>
  <c r="K84" i="186"/>
  <c r="K61" i="186"/>
  <c r="K63" i="186" s="1"/>
  <c r="M2" i="193"/>
  <c r="M2" i="190"/>
  <c r="M2" i="189"/>
  <c r="M2" i="201"/>
  <c r="M2" i="119"/>
  <c r="M125" i="186"/>
  <c r="M127" i="186" s="1"/>
  <c r="M2" i="187"/>
  <c r="M50" i="186"/>
  <c r="M51" i="186" s="1"/>
  <c r="M40" i="186"/>
  <c r="M41" i="186" s="1"/>
  <c r="M31" i="186"/>
  <c r="M2" i="186"/>
  <c r="M2" i="188"/>
  <c r="R5" i="193"/>
  <c r="R5" i="201"/>
  <c r="R5" i="189"/>
  <c r="R5" i="190"/>
  <c r="R5" i="119"/>
  <c r="R5" i="187"/>
  <c r="R5" i="186"/>
  <c r="S10" i="186"/>
  <c r="R13" i="186"/>
  <c r="R14" i="186" s="1"/>
  <c r="R5" i="188"/>
  <c r="J122" i="201"/>
  <c r="K124" i="201" s="1"/>
  <c r="K127" i="201" s="1"/>
  <c r="K128" i="201" s="1"/>
  <c r="K139" i="201" s="1"/>
  <c r="J89" i="201"/>
  <c r="J90" i="201" s="1"/>
  <c r="J93" i="201" s="1"/>
  <c r="J133" i="201"/>
  <c r="J3" i="193"/>
  <c r="J3" i="201"/>
  <c r="J3" i="190"/>
  <c r="J3" i="187"/>
  <c r="J3" i="189"/>
  <c r="J3" i="119"/>
  <c r="J3" i="186"/>
  <c r="J3" i="188"/>
  <c r="J166" i="119"/>
  <c r="J165" i="119"/>
  <c r="O49" i="186"/>
  <c r="O39" i="186"/>
  <c r="O30" i="186"/>
  <c r="O24" i="186"/>
  <c r="O25" i="186" s="1"/>
  <c r="J195" i="119"/>
  <c r="J191" i="119"/>
  <c r="J193" i="119" s="1"/>
  <c r="J204" i="119" s="1"/>
  <c r="K110" i="186"/>
  <c r="M32" i="186"/>
  <c r="L79" i="186"/>
  <c r="L80" i="186" s="1"/>
  <c r="L110" i="186" s="1"/>
  <c r="L98" i="186"/>
  <c r="K108" i="186"/>
  <c r="K85" i="186"/>
  <c r="P20" i="186"/>
  <c r="L120" i="189"/>
  <c r="L121" i="189" s="1"/>
  <c r="L129" i="189" s="1"/>
  <c r="L137" i="189"/>
  <c r="L117" i="201"/>
  <c r="L118" i="201" s="1"/>
  <c r="L126" i="201" s="1"/>
  <c r="L134" i="201"/>
  <c r="L126" i="189"/>
  <c r="L255" i="119"/>
  <c r="L256" i="119" s="1"/>
  <c r="L264" i="119" s="1"/>
  <c r="L232" i="119"/>
  <c r="L233" i="119" s="1"/>
  <c r="L241" i="119" s="1"/>
  <c r="L238" i="119"/>
  <c r="L123" i="201"/>
  <c r="L261" i="119"/>
  <c r="L280" i="119"/>
  <c r="L55" i="186"/>
  <c r="L272" i="119"/>
  <c r="L75" i="186"/>
  <c r="M76" i="186" s="1"/>
  <c r="L62" i="186"/>
  <c r="J196" i="119"/>
  <c r="J248" i="119"/>
  <c r="N51" i="186"/>
  <c r="J51" i="201"/>
  <c r="J26" i="201"/>
  <c r="J27" i="201" s="1"/>
  <c r="J51" i="189"/>
  <c r="J50" i="119"/>
  <c r="J51" i="119" s="1"/>
  <c r="J54" i="119" s="1"/>
  <c r="J26" i="189"/>
  <c r="J27" i="189" s="1"/>
  <c r="J102" i="119"/>
  <c r="J65" i="119"/>
  <c r="J66" i="119" s="1"/>
  <c r="J27" i="119"/>
  <c r="J29" i="119" s="1"/>
  <c r="J114" i="119"/>
  <c r="L4" i="193"/>
  <c r="L4" i="201"/>
  <c r="L4" i="190"/>
  <c r="L4" i="189"/>
  <c r="L37" i="119"/>
  <c r="L4" i="119"/>
  <c r="L89" i="186"/>
  <c r="L4" i="187"/>
  <c r="L4" i="186"/>
  <c r="L4" i="188"/>
  <c r="J86" i="186"/>
  <c r="J89" i="189"/>
  <c r="J88" i="189"/>
  <c r="N2" i="190"/>
  <c r="N2" i="189"/>
  <c r="N2" i="193"/>
  <c r="N2" i="201"/>
  <c r="N2" i="187"/>
  <c r="N125" i="186"/>
  <c r="N31" i="186"/>
  <c r="N32" i="186" s="1"/>
  <c r="N2" i="119"/>
  <c r="N2" i="186"/>
  <c r="N2" i="188"/>
  <c r="N50" i="186"/>
  <c r="N40" i="186"/>
  <c r="N41" i="186" s="1"/>
  <c r="N127" i="186" l="1"/>
  <c r="N4" i="190" s="1"/>
  <c r="M137" i="189"/>
  <c r="M117" i="201"/>
  <c r="M118" i="201" s="1"/>
  <c r="M126" i="201" s="1"/>
  <c r="M134" i="201"/>
  <c r="M126" i="189"/>
  <c r="M280" i="119"/>
  <c r="M272" i="119"/>
  <c r="M255" i="119"/>
  <c r="M256" i="119" s="1"/>
  <c r="M264" i="119" s="1"/>
  <c r="M232" i="119"/>
  <c r="M233" i="119" s="1"/>
  <c r="M241" i="119" s="1"/>
  <c r="M261" i="119"/>
  <c r="M123" i="201"/>
  <c r="M120" i="189"/>
  <c r="M121" i="189" s="1"/>
  <c r="M129" i="189" s="1"/>
  <c r="M238" i="119"/>
  <c r="M75" i="186"/>
  <c r="N76" i="186" s="1"/>
  <c r="M62" i="186"/>
  <c r="M55" i="186"/>
  <c r="N13" i="189"/>
  <c r="N13" i="201"/>
  <c r="N20" i="119"/>
  <c r="N13" i="119"/>
  <c r="N97" i="186"/>
  <c r="N67" i="186"/>
  <c r="N54" i="186"/>
  <c r="N90" i="186"/>
  <c r="N71" i="186"/>
  <c r="M72" i="186" s="1"/>
  <c r="M15" i="187" s="1"/>
  <c r="M16" i="187" s="1"/>
  <c r="N60" i="186"/>
  <c r="L108" i="186"/>
  <c r="L85" i="186"/>
  <c r="K51" i="201"/>
  <c r="K26" i="201"/>
  <c r="K27" i="201" s="1"/>
  <c r="K30" i="201" s="1"/>
  <c r="K51" i="189"/>
  <c r="K50" i="119"/>
  <c r="K51" i="119" s="1"/>
  <c r="K54" i="119" s="1"/>
  <c r="K26" i="189"/>
  <c r="K27" i="189" s="1"/>
  <c r="K30" i="189" s="1"/>
  <c r="K102" i="119"/>
  <c r="K65" i="119"/>
  <c r="K66" i="119" s="1"/>
  <c r="K69" i="119" s="1"/>
  <c r="K27" i="119"/>
  <c r="K29" i="119" s="1"/>
  <c r="K31" i="119" s="1"/>
  <c r="K114" i="119"/>
  <c r="L104" i="186"/>
  <c r="L105" i="186" s="1"/>
  <c r="N4" i="201"/>
  <c r="N37" i="119"/>
  <c r="N4" i="119"/>
  <c r="N4" i="187"/>
  <c r="N89" i="186"/>
  <c r="N4" i="186"/>
  <c r="N4" i="188"/>
  <c r="K111" i="186"/>
  <c r="J247" i="119"/>
  <c r="J249" i="119" s="1"/>
  <c r="J225" i="119"/>
  <c r="J227" i="119" s="1"/>
  <c r="J169" i="119"/>
  <c r="J170" i="119" s="1"/>
  <c r="J173" i="119" s="1"/>
  <c r="K86" i="186"/>
  <c r="M4" i="193"/>
  <c r="M4" i="190"/>
  <c r="M4" i="189"/>
  <c r="M4" i="201"/>
  <c r="M37" i="119"/>
  <c r="M4" i="187"/>
  <c r="M4" i="119"/>
  <c r="M89" i="186"/>
  <c r="M4" i="186"/>
  <c r="M4" i="188"/>
  <c r="K195" i="119"/>
  <c r="K191" i="119"/>
  <c r="K193" i="119" s="1"/>
  <c r="K204" i="119" s="1"/>
  <c r="K89" i="201"/>
  <c r="K90" i="201" s="1"/>
  <c r="K93" i="201" s="1"/>
  <c r="K122" i="201"/>
  <c r="L124" i="201" s="1"/>
  <c r="L127" i="201" s="1"/>
  <c r="L128" i="201" s="1"/>
  <c r="L139" i="201" s="1"/>
  <c r="K133" i="201"/>
  <c r="M13" i="189"/>
  <c r="M13" i="119"/>
  <c r="M13" i="201"/>
  <c r="M20" i="119"/>
  <c r="M60" i="186"/>
  <c r="M90" i="186"/>
  <c r="M97" i="186"/>
  <c r="M67" i="186"/>
  <c r="M68" i="186" s="1"/>
  <c r="M54" i="186"/>
  <c r="M56" i="186" s="1"/>
  <c r="M71" i="186"/>
  <c r="L72" i="186" s="1"/>
  <c r="J30" i="201"/>
  <c r="J197" i="119"/>
  <c r="J211" i="119" s="1"/>
  <c r="R126" i="186"/>
  <c r="R66" i="186"/>
  <c r="R96" i="186"/>
  <c r="R19" i="186"/>
  <c r="L94" i="201"/>
  <c r="L95" i="201" s="1"/>
  <c r="L106" i="201" s="1"/>
  <c r="L82" i="201"/>
  <c r="L83" i="201" s="1"/>
  <c r="L85" i="201" s="1"/>
  <c r="L86" i="201" s="1"/>
  <c r="L110" i="189"/>
  <c r="L107" i="201"/>
  <c r="L82" i="189"/>
  <c r="L83" i="189" s="1"/>
  <c r="L87" i="189" s="1"/>
  <c r="L187" i="119"/>
  <c r="L189" i="119" s="1"/>
  <c r="L159" i="119"/>
  <c r="L160" i="119" s="1"/>
  <c r="L164" i="119" s="1"/>
  <c r="L97" i="189"/>
  <c r="L98" i="189" s="1"/>
  <c r="L109" i="189" s="1"/>
  <c r="L63" i="187"/>
  <c r="L64" i="187" s="1"/>
  <c r="L12" i="189" s="1"/>
  <c r="L14" i="189" s="1"/>
  <c r="L37" i="189" s="1"/>
  <c r="L27" i="187"/>
  <c r="L28" i="187" s="1"/>
  <c r="L174" i="119"/>
  <c r="L175" i="119" s="1"/>
  <c r="L53" i="187"/>
  <c r="L54" i="187" s="1"/>
  <c r="L19" i="119" s="1"/>
  <c r="L21" i="119" s="1"/>
  <c r="L76" i="119" s="1"/>
  <c r="L109" i="186"/>
  <c r="L205" i="119"/>
  <c r="L43" i="187"/>
  <c r="L44" i="187" s="1"/>
  <c r="L12" i="119" s="1"/>
  <c r="L14" i="119" s="1"/>
  <c r="L87" i="119" s="1"/>
  <c r="L212" i="119"/>
  <c r="L21" i="187"/>
  <c r="L84" i="186"/>
  <c r="L86" i="186" s="1"/>
  <c r="L73" i="187"/>
  <c r="L74" i="187" s="1"/>
  <c r="L12" i="201" s="1"/>
  <c r="L14" i="201" s="1"/>
  <c r="L37" i="201" s="1"/>
  <c r="L61" i="186"/>
  <c r="L63" i="186" s="1"/>
  <c r="N117" i="201"/>
  <c r="N118" i="201" s="1"/>
  <c r="N126" i="201" s="1"/>
  <c r="N134" i="201"/>
  <c r="N126" i="189"/>
  <c r="N280" i="119"/>
  <c r="N272" i="119"/>
  <c r="N123" i="201"/>
  <c r="N261" i="119"/>
  <c r="N238" i="119"/>
  <c r="N137" i="189"/>
  <c r="N232" i="119"/>
  <c r="N233" i="119" s="1"/>
  <c r="N241" i="119" s="1"/>
  <c r="N120" i="189"/>
  <c r="N121" i="189" s="1"/>
  <c r="N129" i="189" s="1"/>
  <c r="N255" i="119"/>
  <c r="N256" i="119" s="1"/>
  <c r="N264" i="119" s="1"/>
  <c r="N75" i="186"/>
  <c r="O76" i="186" s="1"/>
  <c r="N62" i="186"/>
  <c r="N55" i="186"/>
  <c r="S5" i="193"/>
  <c r="S5" i="201"/>
  <c r="S5" i="190"/>
  <c r="S5" i="189"/>
  <c r="S5" i="119"/>
  <c r="S5" i="187"/>
  <c r="T10" i="186"/>
  <c r="S5" i="186"/>
  <c r="S13" i="186"/>
  <c r="S14" i="186" s="1"/>
  <c r="S5" i="188"/>
  <c r="K165" i="119"/>
  <c r="K166" i="119"/>
  <c r="J30" i="189"/>
  <c r="M98" i="186"/>
  <c r="M79" i="186"/>
  <c r="M80" i="186" s="1"/>
  <c r="M110" i="186" s="1"/>
  <c r="J31" i="119"/>
  <c r="O2" i="189"/>
  <c r="O2" i="193"/>
  <c r="O2" i="201"/>
  <c r="O2" i="190"/>
  <c r="O2" i="119"/>
  <c r="O125" i="186"/>
  <c r="O127" i="186" s="1"/>
  <c r="O40" i="186"/>
  <c r="O41" i="186" s="1"/>
  <c r="O2" i="187"/>
  <c r="O50" i="186"/>
  <c r="O51" i="186" s="1"/>
  <c r="O2" i="186"/>
  <c r="O2" i="188"/>
  <c r="O31" i="186"/>
  <c r="O32" i="186" s="1"/>
  <c r="K32" i="119"/>
  <c r="K220" i="119"/>
  <c r="K221" i="119" s="1"/>
  <c r="J136" i="189"/>
  <c r="J125" i="189"/>
  <c r="K127" i="189" s="1"/>
  <c r="K130" i="189" s="1"/>
  <c r="K131" i="189" s="1"/>
  <c r="K142" i="189" s="1"/>
  <c r="J92" i="189"/>
  <c r="J93" i="189" s="1"/>
  <c r="J96" i="189" s="1"/>
  <c r="J69" i="119"/>
  <c r="P49" i="186"/>
  <c r="P39" i="186"/>
  <c r="P30" i="186"/>
  <c r="P24" i="186"/>
  <c r="P25" i="186" s="1"/>
  <c r="K88" i="189"/>
  <c r="K89" i="189"/>
  <c r="Q20" i="186"/>
  <c r="K196" i="119"/>
  <c r="K248" i="119"/>
  <c r="J254" i="119"/>
  <c r="J278" i="119"/>
  <c r="K3" i="193"/>
  <c r="K3" i="201"/>
  <c r="K3" i="190"/>
  <c r="K3" i="189"/>
  <c r="K3" i="119"/>
  <c r="K3" i="187"/>
  <c r="K3" i="186"/>
  <c r="K3" i="188"/>
  <c r="N4" i="189" l="1"/>
  <c r="N4" i="193"/>
  <c r="M99" i="186"/>
  <c r="L111" i="186"/>
  <c r="O13" i="201"/>
  <c r="O13" i="189"/>
  <c r="O20" i="119"/>
  <c r="O13" i="119"/>
  <c r="O71" i="186"/>
  <c r="N72" i="186" s="1"/>
  <c r="N15" i="187" s="1"/>
  <c r="N16" i="187" s="1"/>
  <c r="O67" i="186"/>
  <c r="O54" i="186"/>
  <c r="O56" i="186" s="1"/>
  <c r="O60" i="186"/>
  <c r="O97" i="186"/>
  <c r="O90" i="186"/>
  <c r="M108" i="186"/>
  <c r="M85" i="186"/>
  <c r="N68" i="186"/>
  <c r="L26" i="201"/>
  <c r="L27" i="201" s="1"/>
  <c r="L30" i="201" s="1"/>
  <c r="L51" i="189"/>
  <c r="L26" i="189"/>
  <c r="L27" i="189" s="1"/>
  <c r="L114" i="119"/>
  <c r="L27" i="119"/>
  <c r="L29" i="119" s="1"/>
  <c r="L31" i="119" s="1"/>
  <c r="L51" i="201"/>
  <c r="L102" i="119"/>
  <c r="L65" i="119"/>
  <c r="L66" i="119" s="1"/>
  <c r="L50" i="119"/>
  <c r="L51" i="119" s="1"/>
  <c r="L54" i="119" s="1"/>
  <c r="M104" i="186"/>
  <c r="M105" i="186" s="1"/>
  <c r="O134" i="201"/>
  <c r="O126" i="189"/>
  <c r="O280" i="119"/>
  <c r="O272" i="119"/>
  <c r="O123" i="201"/>
  <c r="O238" i="119"/>
  <c r="O137" i="189"/>
  <c r="O120" i="189"/>
  <c r="O121" i="189" s="1"/>
  <c r="O129" i="189" s="1"/>
  <c r="O255" i="119"/>
  <c r="O256" i="119" s="1"/>
  <c r="O264" i="119" s="1"/>
  <c r="O117" i="201"/>
  <c r="O118" i="201" s="1"/>
  <c r="O126" i="201" s="1"/>
  <c r="O232" i="119"/>
  <c r="O233" i="119" s="1"/>
  <c r="O241" i="119" s="1"/>
  <c r="O62" i="186"/>
  <c r="O55" i="186"/>
  <c r="O261" i="119"/>
  <c r="O75" i="186"/>
  <c r="P76" i="186" s="1"/>
  <c r="K197" i="119"/>
  <c r="K211" i="119" s="1"/>
  <c r="J260" i="119"/>
  <c r="K262" i="119" s="1"/>
  <c r="K265" i="119" s="1"/>
  <c r="K266" i="119" s="1"/>
  <c r="K289" i="119" s="1"/>
  <c r="J279" i="119"/>
  <c r="P2" i="193"/>
  <c r="P2" i="201"/>
  <c r="P2" i="190"/>
  <c r="P2" i="189"/>
  <c r="P2" i="187"/>
  <c r="P2" i="119"/>
  <c r="P125" i="186"/>
  <c r="P127" i="186" s="1"/>
  <c r="P50" i="186"/>
  <c r="P51" i="186" s="1"/>
  <c r="P2" i="186"/>
  <c r="P2" i="188"/>
  <c r="P31" i="186"/>
  <c r="P40" i="186"/>
  <c r="P41" i="186" s="1"/>
  <c r="L248" i="119"/>
  <c r="L196" i="119"/>
  <c r="R20" i="186"/>
  <c r="J271" i="119"/>
  <c r="J237" i="119"/>
  <c r="K239" i="119" s="1"/>
  <c r="K242" i="119" s="1"/>
  <c r="K243" i="119" s="1"/>
  <c r="K285" i="119" s="1"/>
  <c r="S126" i="186"/>
  <c r="S96" i="186"/>
  <c r="S19" i="186"/>
  <c r="S66" i="186"/>
  <c r="L165" i="119"/>
  <c r="L166" i="119"/>
  <c r="N56" i="186"/>
  <c r="P32" i="186"/>
  <c r="T5" i="193"/>
  <c r="T5" i="201"/>
  <c r="T5" i="190"/>
  <c r="T5" i="119"/>
  <c r="T5" i="187"/>
  <c r="T5" i="189"/>
  <c r="U10" i="186"/>
  <c r="T13" i="186"/>
  <c r="T14" i="186" s="1"/>
  <c r="T5" i="186"/>
  <c r="T5" i="188"/>
  <c r="L88" i="189"/>
  <c r="L89" i="189"/>
  <c r="L15" i="187"/>
  <c r="L16" i="187" s="1"/>
  <c r="N98" i="186"/>
  <c r="N99" i="186" s="1"/>
  <c r="N79" i="186"/>
  <c r="N80" i="186" s="1"/>
  <c r="O98" i="186"/>
  <c r="O79" i="186"/>
  <c r="M107" i="201"/>
  <c r="M82" i="189"/>
  <c r="M83" i="189" s="1"/>
  <c r="M87" i="189" s="1"/>
  <c r="M159" i="119"/>
  <c r="M160" i="119" s="1"/>
  <c r="M164" i="119" s="1"/>
  <c r="M212" i="119"/>
  <c r="M205" i="119"/>
  <c r="M174" i="119"/>
  <c r="M175" i="119" s="1"/>
  <c r="M97" i="189"/>
  <c r="M98" i="189" s="1"/>
  <c r="M109" i="189" s="1"/>
  <c r="M94" i="201"/>
  <c r="M95" i="201" s="1"/>
  <c r="M106" i="201" s="1"/>
  <c r="M110" i="189"/>
  <c r="M73" i="187"/>
  <c r="M74" i="187" s="1"/>
  <c r="M12" i="201" s="1"/>
  <c r="M14" i="201" s="1"/>
  <c r="M187" i="119"/>
  <c r="M189" i="119" s="1"/>
  <c r="M43" i="187"/>
  <c r="M44" i="187" s="1"/>
  <c r="M12" i="119" s="1"/>
  <c r="M14" i="119" s="1"/>
  <c r="M87" i="119" s="1"/>
  <c r="M21" i="187"/>
  <c r="M63" i="187"/>
  <c r="M64" i="187" s="1"/>
  <c r="M12" i="189" s="1"/>
  <c r="M14" i="189" s="1"/>
  <c r="M82" i="201"/>
  <c r="M83" i="201" s="1"/>
  <c r="M85" i="201" s="1"/>
  <c r="M86" i="201" s="1"/>
  <c r="M53" i="187"/>
  <c r="M54" i="187" s="1"/>
  <c r="M19" i="119" s="1"/>
  <c r="M21" i="119" s="1"/>
  <c r="M76" i="119" s="1"/>
  <c r="M84" i="186"/>
  <c r="M86" i="186" s="1"/>
  <c r="M109" i="186"/>
  <c r="M61" i="186"/>
  <c r="M63" i="186" s="1"/>
  <c r="M27" i="187"/>
  <c r="M28" i="187" s="1"/>
  <c r="Q30" i="186"/>
  <c r="Q24" i="186"/>
  <c r="Q25" i="186" s="1"/>
  <c r="Q39" i="186"/>
  <c r="Q49" i="186"/>
  <c r="L191" i="119"/>
  <c r="L193" i="119" s="1"/>
  <c r="L204" i="119" s="1"/>
  <c r="L195" i="119"/>
  <c r="K278" i="119"/>
  <c r="K254" i="119"/>
  <c r="K169" i="119"/>
  <c r="K170" i="119" s="1"/>
  <c r="K173" i="119" s="1"/>
  <c r="K247" i="119"/>
  <c r="K249" i="119" s="1"/>
  <c r="K225" i="119"/>
  <c r="K227" i="119" s="1"/>
  <c r="L32" i="119"/>
  <c r="J33" i="119" s="1"/>
  <c r="L220" i="119"/>
  <c r="L221" i="119" s="1"/>
  <c r="L89" i="201"/>
  <c r="L90" i="201" s="1"/>
  <c r="L93" i="201" s="1"/>
  <c r="L133" i="201"/>
  <c r="L122" i="201"/>
  <c r="M124" i="201" s="1"/>
  <c r="M127" i="201" s="1"/>
  <c r="M128" i="201" s="1"/>
  <c r="M139" i="201" s="1"/>
  <c r="L3" i="193"/>
  <c r="L3" i="190"/>
  <c r="L3" i="189"/>
  <c r="L3" i="201"/>
  <c r="L3" i="119"/>
  <c r="L3" i="187"/>
  <c r="L3" i="188"/>
  <c r="L3" i="186"/>
  <c r="K136" i="189"/>
  <c r="K125" i="189"/>
  <c r="L127" i="189" s="1"/>
  <c r="L130" i="189" s="1"/>
  <c r="L131" i="189" s="1"/>
  <c r="L142" i="189" s="1"/>
  <c r="K92" i="189"/>
  <c r="K93" i="189" s="1"/>
  <c r="K96" i="189" s="1"/>
  <c r="O4" i="190"/>
  <c r="O4" i="189"/>
  <c r="O4" i="119"/>
  <c r="O4" i="193"/>
  <c r="O4" i="201"/>
  <c r="O37" i="119"/>
  <c r="O4" i="187"/>
  <c r="O89" i="186"/>
  <c r="O4" i="186"/>
  <c r="O4" i="188"/>
  <c r="S20" i="186" l="1"/>
  <c r="S24" i="186" s="1"/>
  <c r="S25" i="186" s="1"/>
  <c r="L197" i="119"/>
  <c r="L211" i="119" s="1"/>
  <c r="P13" i="201"/>
  <c r="P13" i="189"/>
  <c r="P13" i="119"/>
  <c r="P20" i="119"/>
  <c r="P71" i="186"/>
  <c r="O72" i="186" s="1"/>
  <c r="P90" i="186"/>
  <c r="P60" i="186"/>
  <c r="P97" i="186"/>
  <c r="P54" i="186"/>
  <c r="P56" i="186" s="1"/>
  <c r="P67" i="186"/>
  <c r="M51" i="189"/>
  <c r="M26" i="189"/>
  <c r="M27" i="189" s="1"/>
  <c r="M30" i="189" s="1"/>
  <c r="M114" i="119"/>
  <c r="M51" i="201"/>
  <c r="M27" i="119"/>
  <c r="M29" i="119" s="1"/>
  <c r="M31" i="119" s="1"/>
  <c r="M102" i="119"/>
  <c r="M65" i="119"/>
  <c r="M66" i="119" s="1"/>
  <c r="M69" i="119" s="1"/>
  <c r="M50" i="119"/>
  <c r="M51" i="119" s="1"/>
  <c r="M54" i="119" s="1"/>
  <c r="M26" i="201"/>
  <c r="M27" i="201" s="1"/>
  <c r="M37" i="189"/>
  <c r="M37" i="201"/>
  <c r="O99" i="186"/>
  <c r="N104" i="186"/>
  <c r="N105" i="186" s="1"/>
  <c r="O82" i="189"/>
  <c r="O83" i="189" s="1"/>
  <c r="O87" i="189" s="1"/>
  <c r="O97" i="189"/>
  <c r="O98" i="189" s="1"/>
  <c r="O109" i="189" s="1"/>
  <c r="O94" i="201"/>
  <c r="O95" i="201" s="1"/>
  <c r="O106" i="201" s="1"/>
  <c r="O110" i="189"/>
  <c r="O107" i="201"/>
  <c r="O82" i="201"/>
  <c r="O83" i="201" s="1"/>
  <c r="O85" i="201" s="1"/>
  <c r="O86" i="201" s="1"/>
  <c r="O187" i="119"/>
  <c r="O189" i="119" s="1"/>
  <c r="O73" i="187"/>
  <c r="O74" i="187" s="1"/>
  <c r="O12" i="201" s="1"/>
  <c r="O174" i="119"/>
  <c r="O175" i="119" s="1"/>
  <c r="O109" i="186"/>
  <c r="O21" i="187"/>
  <c r="O205" i="119"/>
  <c r="O159" i="119"/>
  <c r="O160" i="119" s="1"/>
  <c r="O164" i="119" s="1"/>
  <c r="O63" i="187"/>
  <c r="O64" i="187" s="1"/>
  <c r="O12" i="189" s="1"/>
  <c r="O212" i="119"/>
  <c r="O53" i="187"/>
  <c r="O54" i="187" s="1"/>
  <c r="O19" i="119" s="1"/>
  <c r="O43" i="187"/>
  <c r="O44" i="187" s="1"/>
  <c r="O12" i="119" s="1"/>
  <c r="O27" i="187"/>
  <c r="O28" i="187" s="1"/>
  <c r="O84" i="186"/>
  <c r="O61" i="186"/>
  <c r="N108" i="186"/>
  <c r="N85" i="186"/>
  <c r="O68" i="186"/>
  <c r="P134" i="201"/>
  <c r="P126" i="189"/>
  <c r="P123" i="201"/>
  <c r="P120" i="189"/>
  <c r="P121" i="189" s="1"/>
  <c r="P129" i="189" s="1"/>
  <c r="P117" i="201"/>
  <c r="P118" i="201" s="1"/>
  <c r="P126" i="201" s="1"/>
  <c r="P280" i="119"/>
  <c r="P255" i="119"/>
  <c r="P256" i="119" s="1"/>
  <c r="P264" i="119" s="1"/>
  <c r="P232" i="119"/>
  <c r="P233" i="119" s="1"/>
  <c r="P241" i="119" s="1"/>
  <c r="P137" i="189"/>
  <c r="P238" i="119"/>
  <c r="P272" i="119"/>
  <c r="P261" i="119"/>
  <c r="P55" i="186"/>
  <c r="P75" i="186"/>
  <c r="Q76" i="186" s="1"/>
  <c r="P62" i="186"/>
  <c r="N110" i="186"/>
  <c r="L278" i="119"/>
  <c r="L254" i="119"/>
  <c r="J36" i="119"/>
  <c r="U5" i="193"/>
  <c r="U5" i="201"/>
  <c r="U5" i="190"/>
  <c r="U5" i="189"/>
  <c r="U5" i="187"/>
  <c r="U5" i="119"/>
  <c r="U13" i="186"/>
  <c r="U14" i="186" s="1"/>
  <c r="U5" i="186"/>
  <c r="U5" i="188"/>
  <c r="V10" i="186"/>
  <c r="P79" i="186"/>
  <c r="P98" i="186"/>
  <c r="Q2" i="193"/>
  <c r="Q2" i="201"/>
  <c r="Q2" i="190"/>
  <c r="Q2" i="189"/>
  <c r="Q2" i="119"/>
  <c r="Q50" i="186"/>
  <c r="Q51" i="186" s="1"/>
  <c r="Q2" i="187"/>
  <c r="Q31" i="186"/>
  <c r="Q2" i="188"/>
  <c r="Q125" i="186"/>
  <c r="Q127" i="186" s="1"/>
  <c r="Q2" i="186"/>
  <c r="Q40" i="186"/>
  <c r="Q41" i="186" s="1"/>
  <c r="M133" i="201"/>
  <c r="M122" i="201"/>
  <c r="N124" i="201" s="1"/>
  <c r="N127" i="201" s="1"/>
  <c r="N128" i="201" s="1"/>
  <c r="N139" i="201" s="1"/>
  <c r="M89" i="201"/>
  <c r="M90" i="201" s="1"/>
  <c r="M93" i="201" s="1"/>
  <c r="O80" i="186"/>
  <c r="O110" i="186" s="1"/>
  <c r="N107" i="201"/>
  <c r="N82" i="189"/>
  <c r="N83" i="189" s="1"/>
  <c r="N87" i="189" s="1"/>
  <c r="N97" i="189"/>
  <c r="N98" i="189" s="1"/>
  <c r="N109" i="189" s="1"/>
  <c r="N212" i="119"/>
  <c r="N205" i="119"/>
  <c r="N174" i="119"/>
  <c r="N175" i="119" s="1"/>
  <c r="N94" i="201"/>
  <c r="N95" i="201" s="1"/>
  <c r="N106" i="201" s="1"/>
  <c r="N110" i="189"/>
  <c r="N82" i="201"/>
  <c r="N83" i="201" s="1"/>
  <c r="N85" i="201" s="1"/>
  <c r="N86" i="201" s="1"/>
  <c r="N27" i="187"/>
  <c r="N28" i="187" s="1"/>
  <c r="N73" i="187"/>
  <c r="N74" i="187" s="1"/>
  <c r="N12" i="201" s="1"/>
  <c r="N14" i="201" s="1"/>
  <c r="N53" i="187"/>
  <c r="N54" i="187" s="1"/>
  <c r="N19" i="119" s="1"/>
  <c r="N21" i="119" s="1"/>
  <c r="N187" i="119"/>
  <c r="N189" i="119" s="1"/>
  <c r="N43" i="187"/>
  <c r="N44" i="187" s="1"/>
  <c r="N12" i="119" s="1"/>
  <c r="N14" i="119" s="1"/>
  <c r="N87" i="119" s="1"/>
  <c r="N21" i="187"/>
  <c r="N159" i="119"/>
  <c r="N160" i="119" s="1"/>
  <c r="N164" i="119" s="1"/>
  <c r="N63" i="187"/>
  <c r="N64" i="187" s="1"/>
  <c r="N12" i="189" s="1"/>
  <c r="N14" i="189" s="1"/>
  <c r="N109" i="186"/>
  <c r="N61" i="186"/>
  <c r="N63" i="186" s="1"/>
  <c r="N84" i="186"/>
  <c r="L30" i="189"/>
  <c r="M111" i="186"/>
  <c r="M88" i="189"/>
  <c r="M89" i="189"/>
  <c r="K271" i="119"/>
  <c r="K237" i="119"/>
  <c r="L239" i="119" s="1"/>
  <c r="L242" i="119" s="1"/>
  <c r="L243" i="119" s="1"/>
  <c r="L285" i="119" s="1"/>
  <c r="K279" i="119"/>
  <c r="K260" i="119"/>
  <c r="L262" i="119" s="1"/>
  <c r="L265" i="119" s="1"/>
  <c r="L266" i="119" s="1"/>
  <c r="L289" i="119" s="1"/>
  <c r="Q32" i="186"/>
  <c r="M3" i="193"/>
  <c r="M3" i="190"/>
  <c r="M3" i="189"/>
  <c r="M3" i="201"/>
  <c r="M3" i="119"/>
  <c r="M3" i="187"/>
  <c r="M3" i="186"/>
  <c r="M3" i="188"/>
  <c r="M191" i="119"/>
  <c r="M193" i="119" s="1"/>
  <c r="M204" i="119" s="1"/>
  <c r="M195" i="119"/>
  <c r="L247" i="119"/>
  <c r="L249" i="119" s="1"/>
  <c r="L169" i="119"/>
  <c r="L170" i="119" s="1"/>
  <c r="L173" i="119" s="1"/>
  <c r="L225" i="119"/>
  <c r="L227" i="119" s="1"/>
  <c r="M220" i="119"/>
  <c r="M221" i="119" s="1"/>
  <c r="M32" i="119"/>
  <c r="K33" i="119" s="1"/>
  <c r="K36" i="119" s="1"/>
  <c r="L136" i="189"/>
  <c r="L92" i="189"/>
  <c r="L93" i="189" s="1"/>
  <c r="L96" i="189" s="1"/>
  <c r="L125" i="189"/>
  <c r="M127" i="189" s="1"/>
  <c r="M130" i="189" s="1"/>
  <c r="M131" i="189" s="1"/>
  <c r="M142" i="189" s="1"/>
  <c r="R49" i="186"/>
  <c r="R24" i="186"/>
  <c r="R25" i="186" s="1"/>
  <c r="R39" i="186"/>
  <c r="R30" i="186"/>
  <c r="L69" i="119"/>
  <c r="T126" i="186"/>
  <c r="T96" i="186"/>
  <c r="T19" i="186"/>
  <c r="T20" i="186" s="1"/>
  <c r="T66" i="186"/>
  <c r="M248" i="119"/>
  <c r="M196" i="119"/>
  <c r="M166" i="119"/>
  <c r="M165" i="119"/>
  <c r="S49" i="186"/>
  <c r="S30" i="186"/>
  <c r="P4" i="189"/>
  <c r="P4" i="193"/>
  <c r="P4" i="201"/>
  <c r="P4" i="190"/>
  <c r="P37" i="119"/>
  <c r="P4" i="119"/>
  <c r="P4" i="187"/>
  <c r="P89" i="186"/>
  <c r="P4" i="186"/>
  <c r="P4" i="188"/>
  <c r="S39" i="186" l="1"/>
  <c r="N86" i="186"/>
  <c r="N37" i="189"/>
  <c r="O14" i="189"/>
  <c r="O37" i="189" s="1"/>
  <c r="N76" i="119"/>
  <c r="O21" i="119"/>
  <c r="O76" i="119" s="1"/>
  <c r="N37" i="201"/>
  <c r="O14" i="201"/>
  <c r="O37" i="201" s="1"/>
  <c r="N51" i="189"/>
  <c r="N26" i="189"/>
  <c r="N27" i="189" s="1"/>
  <c r="N51" i="201"/>
  <c r="N102" i="119"/>
  <c r="N65" i="119"/>
  <c r="N66" i="119" s="1"/>
  <c r="N50" i="119"/>
  <c r="N51" i="119" s="1"/>
  <c r="N54" i="119" s="1"/>
  <c r="N27" i="119"/>
  <c r="N29" i="119" s="1"/>
  <c r="N26" i="201"/>
  <c r="N27" i="201" s="1"/>
  <c r="N30" i="201" s="1"/>
  <c r="N114" i="119"/>
  <c r="N220" i="119"/>
  <c r="N221" i="119" s="1"/>
  <c r="N32" i="119"/>
  <c r="L33" i="119" s="1"/>
  <c r="N89" i="189"/>
  <c r="N88" i="189"/>
  <c r="Q4" i="193"/>
  <c r="Q4" i="201"/>
  <c r="Q4" i="189"/>
  <c r="Q4" i="190"/>
  <c r="Q4" i="119"/>
  <c r="Q4" i="187"/>
  <c r="Q37" i="119"/>
  <c r="Q89" i="186"/>
  <c r="Q4" i="186"/>
  <c r="Q4" i="188"/>
  <c r="Q13" i="201"/>
  <c r="Q20" i="119"/>
  <c r="Q13" i="119"/>
  <c r="Q13" i="189"/>
  <c r="Q90" i="186"/>
  <c r="Q97" i="186"/>
  <c r="Q60" i="186"/>
  <c r="Q54" i="186"/>
  <c r="Q56" i="186" s="1"/>
  <c r="Q67" i="186"/>
  <c r="Q71" i="186"/>
  <c r="P72" i="186" s="1"/>
  <c r="P15" i="187" s="1"/>
  <c r="P16" i="187" s="1"/>
  <c r="Q98" i="186"/>
  <c r="Q79" i="186"/>
  <c r="N111" i="186"/>
  <c r="O133" i="201"/>
  <c r="O89" i="201"/>
  <c r="O90" i="201" s="1"/>
  <c r="O93" i="201" s="1"/>
  <c r="O122" i="201"/>
  <c r="P124" i="201" s="1"/>
  <c r="P127" i="201" s="1"/>
  <c r="P128" i="201" s="1"/>
  <c r="P139" i="201" s="1"/>
  <c r="L260" i="119"/>
  <c r="M262" i="119" s="1"/>
  <c r="M265" i="119" s="1"/>
  <c r="M266" i="119" s="1"/>
  <c r="M289" i="119" s="1"/>
  <c r="L279" i="119"/>
  <c r="M92" i="189"/>
  <c r="M93" i="189" s="1"/>
  <c r="M96" i="189" s="1"/>
  <c r="M136" i="189"/>
  <c r="M125" i="189"/>
  <c r="N127" i="189" s="1"/>
  <c r="N130" i="189" s="1"/>
  <c r="N131" i="189" s="1"/>
  <c r="N142" i="189" s="1"/>
  <c r="U126" i="186"/>
  <c r="U96" i="186"/>
  <c r="U66" i="186"/>
  <c r="U19" i="186"/>
  <c r="U20" i="186" s="1"/>
  <c r="Q280" i="119"/>
  <c r="Q272" i="119"/>
  <c r="Q123" i="201"/>
  <c r="Q120" i="189"/>
  <c r="Q121" i="189" s="1"/>
  <c r="Q129" i="189" s="1"/>
  <c r="Q137" i="189"/>
  <c r="Q117" i="201"/>
  <c r="Q118" i="201" s="1"/>
  <c r="Q126" i="201" s="1"/>
  <c r="Q126" i="189"/>
  <c r="Q255" i="119"/>
  <c r="Q256" i="119" s="1"/>
  <c r="Q264" i="119" s="1"/>
  <c r="Q232" i="119"/>
  <c r="Q233" i="119" s="1"/>
  <c r="Q241" i="119" s="1"/>
  <c r="Q261" i="119"/>
  <c r="Q238" i="119"/>
  <c r="Q134" i="201"/>
  <c r="Q75" i="186"/>
  <c r="R76" i="186" s="1"/>
  <c r="Q62" i="186"/>
  <c r="Q55" i="186"/>
  <c r="O14" i="119"/>
  <c r="N165" i="119"/>
  <c r="N166" i="119"/>
  <c r="L237" i="119"/>
  <c r="M239" i="119" s="1"/>
  <c r="M242" i="119" s="1"/>
  <c r="M243" i="119" s="1"/>
  <c r="M285" i="119" s="1"/>
  <c r="L271" i="119"/>
  <c r="O166" i="119"/>
  <c r="O165" i="119"/>
  <c r="M197" i="119"/>
  <c r="M211" i="119" s="1"/>
  <c r="O15" i="187"/>
  <c r="O16" i="187" s="1"/>
  <c r="N122" i="201"/>
  <c r="O124" i="201" s="1"/>
  <c r="O127" i="201" s="1"/>
  <c r="O128" i="201" s="1"/>
  <c r="O139" i="201" s="1"/>
  <c r="N89" i="201"/>
  <c r="N90" i="201" s="1"/>
  <c r="N93" i="201" s="1"/>
  <c r="N133" i="201"/>
  <c r="S2" i="193"/>
  <c r="S2" i="201"/>
  <c r="S2" i="190"/>
  <c r="S2" i="189"/>
  <c r="S2" i="119"/>
  <c r="S125" i="186"/>
  <c r="S2" i="187"/>
  <c r="S50" i="186"/>
  <c r="S51" i="186" s="1"/>
  <c r="S31" i="186"/>
  <c r="S32" i="186" s="1"/>
  <c r="S40" i="186"/>
  <c r="S41" i="186" s="1"/>
  <c r="S2" i="186"/>
  <c r="S2" i="188"/>
  <c r="T49" i="186"/>
  <c r="T24" i="186"/>
  <c r="T25" i="186" s="1"/>
  <c r="T30" i="186"/>
  <c r="T39" i="186"/>
  <c r="R2" i="193"/>
  <c r="R2" i="201"/>
  <c r="R2" i="190"/>
  <c r="R2" i="187"/>
  <c r="R2" i="189"/>
  <c r="R2" i="119"/>
  <c r="R125" i="186"/>
  <c r="R127" i="186" s="1"/>
  <c r="R50" i="186"/>
  <c r="R51" i="186" s="1"/>
  <c r="R31" i="186"/>
  <c r="R32" i="186" s="1"/>
  <c r="R40" i="186"/>
  <c r="R41" i="186" s="1"/>
  <c r="R2" i="186"/>
  <c r="R2" i="188"/>
  <c r="M278" i="119"/>
  <c r="M254" i="119"/>
  <c r="N191" i="119"/>
  <c r="N193" i="119" s="1"/>
  <c r="N204" i="119" s="1"/>
  <c r="N195" i="119"/>
  <c r="P80" i="186"/>
  <c r="O220" i="119"/>
  <c r="O221" i="119" s="1"/>
  <c r="O32" i="119"/>
  <c r="M33" i="119" s="1"/>
  <c r="M36" i="119" s="1"/>
  <c r="N196" i="119"/>
  <c r="N248" i="119"/>
  <c r="O195" i="119"/>
  <c r="O191" i="119"/>
  <c r="O193" i="119" s="1"/>
  <c r="O204" i="119" s="1"/>
  <c r="O88" i="189"/>
  <c r="O89" i="189"/>
  <c r="M30" i="201"/>
  <c r="O63" i="186"/>
  <c r="M225" i="119"/>
  <c r="M227" i="119" s="1"/>
  <c r="M247" i="119"/>
  <c r="M249" i="119" s="1"/>
  <c r="M169" i="119"/>
  <c r="M170" i="119" s="1"/>
  <c r="M173" i="119" s="1"/>
  <c r="V5" i="193"/>
  <c r="V5" i="190"/>
  <c r="V5" i="189"/>
  <c r="V5" i="201"/>
  <c r="V5" i="119"/>
  <c r="V5" i="187"/>
  <c r="V13" i="186"/>
  <c r="V14" i="186" s="1"/>
  <c r="V5" i="186"/>
  <c r="V5" i="188"/>
  <c r="W10" i="186"/>
  <c r="O108" i="186"/>
  <c r="O111" i="186" s="1"/>
  <c r="O85" i="186"/>
  <c r="O86" i="186" s="1"/>
  <c r="P68" i="186"/>
  <c r="N3" i="190"/>
  <c r="N3" i="189"/>
  <c r="N3" i="193"/>
  <c r="N3" i="201"/>
  <c r="N3" i="187"/>
  <c r="N3" i="119"/>
  <c r="N3" i="186"/>
  <c r="N3" i="188"/>
  <c r="O196" i="119"/>
  <c r="O248" i="119"/>
  <c r="P99" i="186"/>
  <c r="O104" i="186"/>
  <c r="O105" i="186" s="1"/>
  <c r="P82" i="189"/>
  <c r="P97" i="189"/>
  <c r="P94" i="201"/>
  <c r="P82" i="201"/>
  <c r="P110" i="189"/>
  <c r="P107" i="201"/>
  <c r="P187" i="119"/>
  <c r="P189" i="119" s="1"/>
  <c r="P159" i="119"/>
  <c r="P53" i="187"/>
  <c r="P54" i="187" s="1"/>
  <c r="P19" i="119" s="1"/>
  <c r="P21" i="119" s="1"/>
  <c r="P76" i="119" s="1"/>
  <c r="P174" i="119"/>
  <c r="P43" i="187"/>
  <c r="P44" i="187" s="1"/>
  <c r="P12" i="119" s="1"/>
  <c r="P14" i="119" s="1"/>
  <c r="P87" i="119" s="1"/>
  <c r="P205" i="119"/>
  <c r="P63" i="187"/>
  <c r="P64" i="187" s="1"/>
  <c r="P12" i="189" s="1"/>
  <c r="P14" i="189" s="1"/>
  <c r="P37" i="189" s="1"/>
  <c r="P212" i="119"/>
  <c r="P27" i="187"/>
  <c r="P28" i="187" s="1"/>
  <c r="P21" i="187"/>
  <c r="P84" i="186"/>
  <c r="P109" i="186"/>
  <c r="P73" i="187"/>
  <c r="P74" i="187" s="1"/>
  <c r="P12" i="201" s="1"/>
  <c r="P14" i="201" s="1"/>
  <c r="P37" i="201" s="1"/>
  <c r="P61" i="186"/>
  <c r="P63" i="186" s="1"/>
  <c r="N197" i="119" l="1"/>
  <c r="N211" i="119" s="1"/>
  <c r="O197" i="119"/>
  <c r="O211" i="119" s="1"/>
  <c r="R123" i="201"/>
  <c r="R120" i="189"/>
  <c r="R121" i="189" s="1"/>
  <c r="R129" i="189" s="1"/>
  <c r="R137" i="189"/>
  <c r="R117" i="201"/>
  <c r="R118" i="201" s="1"/>
  <c r="R126" i="201" s="1"/>
  <c r="R134" i="201"/>
  <c r="R126" i="189"/>
  <c r="R255" i="119"/>
  <c r="R256" i="119" s="1"/>
  <c r="R264" i="119" s="1"/>
  <c r="R232" i="119"/>
  <c r="R233" i="119" s="1"/>
  <c r="R241" i="119" s="1"/>
  <c r="R280" i="119"/>
  <c r="R261" i="119"/>
  <c r="R272" i="119"/>
  <c r="R238" i="119"/>
  <c r="R75" i="186"/>
  <c r="S76" i="186" s="1"/>
  <c r="R62" i="186"/>
  <c r="R55" i="186"/>
  <c r="P51" i="189"/>
  <c r="P26" i="189"/>
  <c r="P27" i="189" s="1"/>
  <c r="P30" i="189" s="1"/>
  <c r="P51" i="201"/>
  <c r="P26" i="201"/>
  <c r="P27" i="201" s="1"/>
  <c r="P30" i="201" s="1"/>
  <c r="P27" i="119"/>
  <c r="P29" i="119" s="1"/>
  <c r="P31" i="119" s="1"/>
  <c r="P114" i="119"/>
  <c r="P65" i="119"/>
  <c r="P66" i="119" s="1"/>
  <c r="P69" i="119" s="1"/>
  <c r="P50" i="119"/>
  <c r="P51" i="119" s="1"/>
  <c r="P54" i="119" s="1"/>
  <c r="P102" i="119"/>
  <c r="S120" i="189"/>
  <c r="S121" i="189" s="1"/>
  <c r="S129" i="189" s="1"/>
  <c r="S137" i="189"/>
  <c r="S117" i="201"/>
  <c r="S118" i="201" s="1"/>
  <c r="S126" i="201" s="1"/>
  <c r="S134" i="201"/>
  <c r="S280" i="119"/>
  <c r="S261" i="119"/>
  <c r="S272" i="119"/>
  <c r="S238" i="119"/>
  <c r="S123" i="201"/>
  <c r="S255" i="119"/>
  <c r="S256" i="119" s="1"/>
  <c r="S264" i="119" s="1"/>
  <c r="S126" i="189"/>
  <c r="S232" i="119"/>
  <c r="S233" i="119" s="1"/>
  <c r="S241" i="119" s="1"/>
  <c r="S62" i="186"/>
  <c r="S55" i="186"/>
  <c r="S75" i="186"/>
  <c r="T76" i="186" s="1"/>
  <c r="M279" i="119"/>
  <c r="M260" i="119"/>
  <c r="N262" i="119" s="1"/>
  <c r="N265" i="119" s="1"/>
  <c r="N266" i="119" s="1"/>
  <c r="N289" i="119" s="1"/>
  <c r="T41" i="186"/>
  <c r="P85" i="186"/>
  <c r="P108" i="186"/>
  <c r="P111" i="186" s="1"/>
  <c r="Q68" i="186"/>
  <c r="M271" i="119"/>
  <c r="M237" i="119"/>
  <c r="N239" i="119" s="1"/>
  <c r="N242" i="119" s="1"/>
  <c r="N243" i="119" s="1"/>
  <c r="N285" i="119" s="1"/>
  <c r="R4" i="193"/>
  <c r="R4" i="201"/>
  <c r="R4" i="190"/>
  <c r="R37" i="119"/>
  <c r="R4" i="119"/>
  <c r="R4" i="189"/>
  <c r="R4" i="186"/>
  <c r="R4" i="188"/>
  <c r="R4" i="187"/>
  <c r="R89" i="186"/>
  <c r="O51" i="189"/>
  <c r="O26" i="189"/>
  <c r="O27" i="189" s="1"/>
  <c r="O30" i="189" s="1"/>
  <c r="O51" i="201"/>
  <c r="O102" i="119"/>
  <c r="O65" i="119"/>
  <c r="O66" i="119" s="1"/>
  <c r="O69" i="119" s="1"/>
  <c r="O50" i="119"/>
  <c r="O51" i="119" s="1"/>
  <c r="O54" i="119" s="1"/>
  <c r="O26" i="201"/>
  <c r="O27" i="201" s="1"/>
  <c r="O114" i="119"/>
  <c r="O27" i="119"/>
  <c r="O29" i="119" s="1"/>
  <c r="O31" i="119" s="1"/>
  <c r="T2" i="193"/>
  <c r="T2" i="190"/>
  <c r="T2" i="189"/>
  <c r="T2" i="201"/>
  <c r="T2" i="119"/>
  <c r="T2" i="187"/>
  <c r="T50" i="186"/>
  <c r="T51" i="186" s="1"/>
  <c r="T125" i="186"/>
  <c r="T31" i="186"/>
  <c r="T32" i="186" s="1"/>
  <c r="T2" i="186"/>
  <c r="T40" i="186"/>
  <c r="T2" i="188"/>
  <c r="S127" i="186"/>
  <c r="R98" i="186"/>
  <c r="R79" i="186"/>
  <c r="Q97" i="189"/>
  <c r="Q94" i="201"/>
  <c r="Q82" i="201"/>
  <c r="Q110" i="189"/>
  <c r="Q159" i="119"/>
  <c r="Q212" i="119"/>
  <c r="Q205" i="119"/>
  <c r="Q174" i="119"/>
  <c r="Q109" i="186"/>
  <c r="Q82" i="189"/>
  <c r="Q21" i="187"/>
  <c r="Q187" i="119"/>
  <c r="Q189" i="119" s="1"/>
  <c r="Q27" i="187"/>
  <c r="Q28" i="187" s="1"/>
  <c r="Q73" i="187"/>
  <c r="Q74" i="187" s="1"/>
  <c r="Q12" i="201" s="1"/>
  <c r="Q14" i="201" s="1"/>
  <c r="Q63" i="187"/>
  <c r="Q64" i="187" s="1"/>
  <c r="Q12" i="189" s="1"/>
  <c r="Q14" i="189" s="1"/>
  <c r="Q37" i="189" s="1"/>
  <c r="Q84" i="186"/>
  <c r="Q61" i="186"/>
  <c r="Q107" i="201"/>
  <c r="Q53" i="187"/>
  <c r="Q54" i="187" s="1"/>
  <c r="Q19" i="119" s="1"/>
  <c r="Q21" i="119" s="1"/>
  <c r="Q43" i="187"/>
  <c r="Q44" i="187" s="1"/>
  <c r="Q12" i="119" s="1"/>
  <c r="N31" i="119"/>
  <c r="Q63" i="186"/>
  <c r="P86" i="186"/>
  <c r="R13" i="201"/>
  <c r="R13" i="189"/>
  <c r="R20" i="119"/>
  <c r="R13" i="119"/>
  <c r="R97" i="186"/>
  <c r="R67" i="186"/>
  <c r="R54" i="186"/>
  <c r="R56" i="186" s="1"/>
  <c r="R71" i="186"/>
  <c r="Q72" i="186" s="1"/>
  <c r="R60" i="186"/>
  <c r="R90" i="186"/>
  <c r="O3" i="189"/>
  <c r="O3" i="193"/>
  <c r="O3" i="201"/>
  <c r="O3" i="190"/>
  <c r="O3" i="119"/>
  <c r="O3" i="186"/>
  <c r="O3" i="188"/>
  <c r="O3" i="187"/>
  <c r="W5" i="193"/>
  <c r="W5" i="190"/>
  <c r="W5" i="189"/>
  <c r="W5" i="119"/>
  <c r="W5" i="201"/>
  <c r="W5" i="187"/>
  <c r="W13" i="186"/>
  <c r="W14" i="186" s="1"/>
  <c r="W5" i="186"/>
  <c r="W5" i="188"/>
  <c r="F11" i="186"/>
  <c r="F114" i="186" s="1"/>
  <c r="N169" i="119"/>
  <c r="N170" i="119" s="1"/>
  <c r="N173" i="119" s="1"/>
  <c r="N225" i="119"/>
  <c r="N227" i="119" s="1"/>
  <c r="N247" i="119"/>
  <c r="N249" i="119" s="1"/>
  <c r="N125" i="189"/>
  <c r="O127" i="189" s="1"/>
  <c r="O130" i="189" s="1"/>
  <c r="O131" i="189" s="1"/>
  <c r="O142" i="189" s="1"/>
  <c r="N136" i="189"/>
  <c r="N92" i="189"/>
  <c r="N93" i="189" s="1"/>
  <c r="N96" i="189" s="1"/>
  <c r="N69" i="119"/>
  <c r="P220" i="119"/>
  <c r="P221" i="119" s="1"/>
  <c r="P32" i="119"/>
  <c r="P248" i="119"/>
  <c r="P196" i="119"/>
  <c r="Q99" i="186"/>
  <c r="P104" i="186"/>
  <c r="P105" i="186" s="1"/>
  <c r="S13" i="189"/>
  <c r="S20" i="119"/>
  <c r="S13" i="119"/>
  <c r="S13" i="201"/>
  <c r="S67" i="186"/>
  <c r="S54" i="186"/>
  <c r="S56" i="186" s="1"/>
  <c r="S71" i="186"/>
  <c r="R72" i="186" s="1"/>
  <c r="R15" i="187" s="1"/>
  <c r="R16" i="187" s="1"/>
  <c r="S90" i="186"/>
  <c r="S97" i="186"/>
  <c r="S60" i="186"/>
  <c r="O87" i="119"/>
  <c r="O92" i="189"/>
  <c r="O93" i="189" s="1"/>
  <c r="O96" i="189" s="1"/>
  <c r="O125" i="189"/>
  <c r="P127" i="189" s="1"/>
  <c r="P130" i="189" s="1"/>
  <c r="P131" i="189" s="1"/>
  <c r="P142" i="189" s="1"/>
  <c r="O136" i="189"/>
  <c r="O254" i="119"/>
  <c r="O278" i="119"/>
  <c r="O247" i="119"/>
  <c r="O249" i="119" s="1"/>
  <c r="O225" i="119"/>
  <c r="O227" i="119" s="1"/>
  <c r="O169" i="119"/>
  <c r="O170" i="119" s="1"/>
  <c r="O173" i="119" s="1"/>
  <c r="Q80" i="186"/>
  <c r="Q110" i="186" s="1"/>
  <c r="L36" i="119"/>
  <c r="V66" i="186"/>
  <c r="V126" i="186"/>
  <c r="V96" i="186"/>
  <c r="V19" i="186"/>
  <c r="V20" i="186" s="1"/>
  <c r="P110" i="186"/>
  <c r="U39" i="186"/>
  <c r="U30" i="186"/>
  <c r="U49" i="186"/>
  <c r="U24" i="186"/>
  <c r="U25" i="186" s="1"/>
  <c r="Q14" i="119"/>
  <c r="Q87" i="119" s="1"/>
  <c r="N278" i="119"/>
  <c r="N254" i="119"/>
  <c r="N30" i="189"/>
  <c r="Q37" i="201" l="1"/>
  <c r="Q76" i="119"/>
  <c r="T120" i="189"/>
  <c r="T137" i="189"/>
  <c r="T117" i="201"/>
  <c r="T134" i="201"/>
  <c r="T126" i="189"/>
  <c r="T123" i="201"/>
  <c r="T255" i="119"/>
  <c r="T232" i="119"/>
  <c r="T272" i="119"/>
  <c r="T238" i="119"/>
  <c r="T280" i="119"/>
  <c r="T261" i="119"/>
  <c r="T55" i="186"/>
  <c r="T75" i="186"/>
  <c r="U76" i="186" s="1"/>
  <c r="T62" i="186"/>
  <c r="R80" i="186"/>
  <c r="R110" i="186" s="1"/>
  <c r="T127" i="186"/>
  <c r="Q85" i="186"/>
  <c r="Q86" i="186" s="1"/>
  <c r="Q108" i="186"/>
  <c r="Q111" i="186" s="1"/>
  <c r="R68" i="186"/>
  <c r="Q104" i="186"/>
  <c r="Q105" i="186" s="1"/>
  <c r="R99" i="186"/>
  <c r="Q32" i="119"/>
  <c r="O33" i="119" s="1"/>
  <c r="O36" i="119" s="1"/>
  <c r="Q220" i="119"/>
  <c r="Q221" i="119" s="1"/>
  <c r="O30" i="201"/>
  <c r="S79" i="186"/>
  <c r="S98" i="186"/>
  <c r="Q248" i="119"/>
  <c r="Q196" i="119"/>
  <c r="S4" i="193"/>
  <c r="S4" i="201"/>
  <c r="S4" i="190"/>
  <c r="S37" i="119"/>
  <c r="S4" i="119"/>
  <c r="S4" i="187"/>
  <c r="S4" i="189"/>
  <c r="S89" i="186"/>
  <c r="S4" i="186"/>
  <c r="S4" i="188"/>
  <c r="T13" i="189"/>
  <c r="T13" i="201"/>
  <c r="T13" i="119"/>
  <c r="T60" i="186"/>
  <c r="T71" i="186"/>
  <c r="S72" i="186" s="1"/>
  <c r="S15" i="187" s="1"/>
  <c r="S16" i="187" s="1"/>
  <c r="T20" i="119"/>
  <c r="T90" i="186"/>
  <c r="T97" i="186"/>
  <c r="T54" i="186"/>
  <c r="T56" i="186" s="1"/>
  <c r="T67" i="186"/>
  <c r="W126" i="186"/>
  <c r="W96" i="186"/>
  <c r="W19" i="186"/>
  <c r="W20" i="186" s="1"/>
  <c r="W66" i="186"/>
  <c r="H14" i="186"/>
  <c r="V39" i="186"/>
  <c r="V30" i="186"/>
  <c r="V49" i="186"/>
  <c r="V24" i="186"/>
  <c r="V25" i="186" s="1"/>
  <c r="N260" i="119"/>
  <c r="O262" i="119" s="1"/>
  <c r="O265" i="119" s="1"/>
  <c r="O266" i="119" s="1"/>
  <c r="O289" i="119" s="1"/>
  <c r="N279" i="119"/>
  <c r="U2" i="193"/>
  <c r="U2" i="190"/>
  <c r="U2" i="189"/>
  <c r="U2" i="201"/>
  <c r="U2" i="119"/>
  <c r="U125" i="186"/>
  <c r="U127" i="186" s="1"/>
  <c r="U2" i="187"/>
  <c r="U50" i="186"/>
  <c r="U51" i="186" s="1"/>
  <c r="U31" i="186"/>
  <c r="U32" i="186" s="1"/>
  <c r="U40" i="186"/>
  <c r="U41" i="186" s="1"/>
  <c r="U2" i="186"/>
  <c r="U2" i="188"/>
  <c r="N271" i="119"/>
  <c r="N237" i="119"/>
  <c r="O239" i="119" s="1"/>
  <c r="O242" i="119" s="1"/>
  <c r="O243" i="119" s="1"/>
  <c r="O285" i="119" s="1"/>
  <c r="Q15" i="187"/>
  <c r="Q16" i="187" s="1"/>
  <c r="P3" i="193"/>
  <c r="P3" i="201"/>
  <c r="P3" i="189"/>
  <c r="P3" i="187"/>
  <c r="P3" i="190"/>
  <c r="P3" i="119"/>
  <c r="P3" i="186"/>
  <c r="P3" i="188"/>
  <c r="S94" i="201"/>
  <c r="S82" i="201"/>
  <c r="S110" i="189"/>
  <c r="S107" i="201"/>
  <c r="S82" i="189"/>
  <c r="S187" i="119"/>
  <c r="S189" i="119" s="1"/>
  <c r="S97" i="189"/>
  <c r="S212" i="119"/>
  <c r="S174" i="119"/>
  <c r="S21" i="187"/>
  <c r="S205" i="119"/>
  <c r="S159" i="119"/>
  <c r="S73" i="187"/>
  <c r="S74" i="187" s="1"/>
  <c r="S12" i="201" s="1"/>
  <c r="S53" i="187"/>
  <c r="S54" i="187" s="1"/>
  <c r="S19" i="119" s="1"/>
  <c r="S109" i="186"/>
  <c r="S43" i="187"/>
  <c r="S44" i="187" s="1"/>
  <c r="S12" i="119" s="1"/>
  <c r="S27" i="187"/>
  <c r="S28" i="187" s="1"/>
  <c r="S84" i="186"/>
  <c r="S61" i="186"/>
  <c r="S63" i="187"/>
  <c r="S64" i="187" s="1"/>
  <c r="S12" i="189" s="1"/>
  <c r="O271" i="119"/>
  <c r="O237" i="119"/>
  <c r="P239" i="119" s="1"/>
  <c r="P242" i="119" s="1"/>
  <c r="P243" i="119" s="1"/>
  <c r="P285" i="119" s="1"/>
  <c r="N33" i="119"/>
  <c r="O279" i="119"/>
  <c r="O260" i="119"/>
  <c r="P262" i="119" s="1"/>
  <c r="P265" i="119" s="1"/>
  <c r="P266" i="119" s="1"/>
  <c r="P289" i="119" s="1"/>
  <c r="P254" i="119"/>
  <c r="P278" i="119"/>
  <c r="R97" i="189"/>
  <c r="R94" i="201"/>
  <c r="R82" i="201"/>
  <c r="R110" i="189"/>
  <c r="R107" i="201"/>
  <c r="R82" i="189"/>
  <c r="R212" i="119"/>
  <c r="R205" i="119"/>
  <c r="R174" i="119"/>
  <c r="R43" i="187"/>
  <c r="R44" i="187" s="1"/>
  <c r="R12" i="119" s="1"/>
  <c r="R14" i="119" s="1"/>
  <c r="R187" i="119"/>
  <c r="R189" i="119" s="1"/>
  <c r="R63" i="187"/>
  <c r="R64" i="187" s="1"/>
  <c r="R12" i="189" s="1"/>
  <c r="R14" i="189" s="1"/>
  <c r="R159" i="119"/>
  <c r="R27" i="187"/>
  <c r="R28" i="187" s="1"/>
  <c r="R73" i="187"/>
  <c r="R74" i="187" s="1"/>
  <c r="R12" i="201" s="1"/>
  <c r="R14" i="201" s="1"/>
  <c r="R53" i="187"/>
  <c r="R54" i="187" s="1"/>
  <c r="R19" i="119" s="1"/>
  <c r="R21" i="119" s="1"/>
  <c r="R21" i="187"/>
  <c r="R61" i="186"/>
  <c r="R63" i="186" s="1"/>
  <c r="R109" i="186"/>
  <c r="R84" i="186"/>
  <c r="Q51" i="201"/>
  <c r="Q26" i="201"/>
  <c r="Q27" i="201" s="1"/>
  <c r="Q30" i="201" s="1"/>
  <c r="Q27" i="119"/>
  <c r="Q29" i="119" s="1"/>
  <c r="Q26" i="189"/>
  <c r="Q27" i="189" s="1"/>
  <c r="Q114" i="119"/>
  <c r="Q51" i="189"/>
  <c r="Q102" i="119"/>
  <c r="Q50" i="119"/>
  <c r="Q51" i="119" s="1"/>
  <c r="Q54" i="119" s="1"/>
  <c r="Q65" i="119"/>
  <c r="Q66" i="119" s="1"/>
  <c r="T79" i="186"/>
  <c r="T98" i="186"/>
  <c r="S80" i="186" l="1"/>
  <c r="S110" i="186" s="1"/>
  <c r="T80" i="186"/>
  <c r="T110" i="186" s="1"/>
  <c r="R51" i="201"/>
  <c r="R26" i="201"/>
  <c r="R27" i="201" s="1"/>
  <c r="R30" i="201" s="1"/>
  <c r="R50" i="119"/>
  <c r="R51" i="119" s="1"/>
  <c r="R54" i="119" s="1"/>
  <c r="R102" i="119"/>
  <c r="R65" i="119"/>
  <c r="R66" i="119" s="1"/>
  <c r="R69" i="119" s="1"/>
  <c r="R51" i="189"/>
  <c r="R26" i="189"/>
  <c r="R27" i="189" s="1"/>
  <c r="R30" i="189" s="1"/>
  <c r="R114" i="119"/>
  <c r="R27" i="119"/>
  <c r="R29" i="119" s="1"/>
  <c r="R31" i="119" s="1"/>
  <c r="R37" i="189"/>
  <c r="S14" i="189"/>
  <c r="S37" i="189" s="1"/>
  <c r="R87" i="119"/>
  <c r="S14" i="119"/>
  <c r="S87" i="119" s="1"/>
  <c r="R76" i="119"/>
  <c r="S21" i="119"/>
  <c r="S76" i="119" s="1"/>
  <c r="R37" i="201"/>
  <c r="S14" i="201"/>
  <c r="S37" i="201" s="1"/>
  <c r="S63" i="186"/>
  <c r="U13" i="189"/>
  <c r="U13" i="201"/>
  <c r="U13" i="119"/>
  <c r="U20" i="119"/>
  <c r="U60" i="186"/>
  <c r="U90" i="186"/>
  <c r="U97" i="186"/>
  <c r="U67" i="186"/>
  <c r="U54" i="186"/>
  <c r="U56" i="186" s="1"/>
  <c r="U71" i="186"/>
  <c r="T72" i="186" s="1"/>
  <c r="T15" i="187" s="1"/>
  <c r="T16" i="187" s="1"/>
  <c r="S196" i="119"/>
  <c r="S248" i="119"/>
  <c r="H126" i="186"/>
  <c r="H96" i="186"/>
  <c r="H66" i="186"/>
  <c r="H19" i="186"/>
  <c r="R108" i="186"/>
  <c r="R111" i="186" s="1"/>
  <c r="R85" i="186"/>
  <c r="R86" i="186" s="1"/>
  <c r="S68" i="186"/>
  <c r="R196" i="119"/>
  <c r="R248" i="119"/>
  <c r="W49" i="186"/>
  <c r="W39" i="186"/>
  <c r="W30" i="186"/>
  <c r="W24" i="186"/>
  <c r="W25" i="186" s="1"/>
  <c r="Q254" i="119"/>
  <c r="Q278" i="119"/>
  <c r="U4" i="193"/>
  <c r="U4" i="190"/>
  <c r="U4" i="189"/>
  <c r="U4" i="201"/>
  <c r="U37" i="119"/>
  <c r="U4" i="119"/>
  <c r="U4" i="187"/>
  <c r="U4" i="188"/>
  <c r="U4" i="186"/>
  <c r="U89" i="186"/>
  <c r="V2" i="190"/>
  <c r="V2" i="189"/>
  <c r="V2" i="193"/>
  <c r="V2" i="201"/>
  <c r="V2" i="187"/>
  <c r="V125" i="186"/>
  <c r="V127" i="186" s="1"/>
  <c r="V2" i="119"/>
  <c r="V40" i="186"/>
  <c r="V50" i="186"/>
  <c r="V2" i="186"/>
  <c r="V2" i="188"/>
  <c r="V31" i="186"/>
  <c r="V32" i="186" s="1"/>
  <c r="Q30" i="189"/>
  <c r="N36" i="119"/>
  <c r="V51" i="186"/>
  <c r="T4" i="193"/>
  <c r="T4" i="201"/>
  <c r="T4" i="190"/>
  <c r="T4" i="189"/>
  <c r="T37" i="119"/>
  <c r="T89" i="186"/>
  <c r="T4" i="119"/>
  <c r="T4" i="187"/>
  <c r="T4" i="186"/>
  <c r="T4" i="188"/>
  <c r="U137" i="189"/>
  <c r="U117" i="201"/>
  <c r="U118" i="201" s="1"/>
  <c r="U126" i="201" s="1"/>
  <c r="U134" i="201"/>
  <c r="U126" i="189"/>
  <c r="U280" i="119"/>
  <c r="U272" i="119"/>
  <c r="U123" i="201"/>
  <c r="U255" i="119"/>
  <c r="U256" i="119" s="1"/>
  <c r="U264" i="119" s="1"/>
  <c r="U232" i="119"/>
  <c r="U233" i="119" s="1"/>
  <c r="U241" i="119" s="1"/>
  <c r="U261" i="119"/>
  <c r="U120" i="189"/>
  <c r="U121" i="189" s="1"/>
  <c r="U129" i="189" s="1"/>
  <c r="U238" i="119"/>
  <c r="U75" i="186"/>
  <c r="V76" i="186" s="1"/>
  <c r="U55" i="186"/>
  <c r="U62" i="186"/>
  <c r="Q31" i="119"/>
  <c r="S32" i="119"/>
  <c r="S220" i="119"/>
  <c r="S221" i="119" s="1"/>
  <c r="S99" i="186"/>
  <c r="R104" i="186"/>
  <c r="R105" i="186" s="1"/>
  <c r="U98" i="186"/>
  <c r="U79" i="186"/>
  <c r="U80" i="186" s="1"/>
  <c r="U110" i="186" s="1"/>
  <c r="V41" i="186"/>
  <c r="Q3" i="193"/>
  <c r="Q3" i="201"/>
  <c r="Q3" i="190"/>
  <c r="Q3" i="189"/>
  <c r="Q3" i="119"/>
  <c r="Q3" i="187"/>
  <c r="Q3" i="188"/>
  <c r="Q3" i="186"/>
  <c r="Q69" i="119"/>
  <c r="R32" i="119"/>
  <c r="P33" i="119" s="1"/>
  <c r="P36" i="119" s="1"/>
  <c r="R220" i="119"/>
  <c r="R221" i="119" s="1"/>
  <c r="T94" i="201"/>
  <c r="T82" i="201"/>
  <c r="T110" i="189"/>
  <c r="T107" i="201"/>
  <c r="T82" i="189"/>
  <c r="T187" i="119"/>
  <c r="T189" i="119" s="1"/>
  <c r="T159" i="119"/>
  <c r="T63" i="187"/>
  <c r="T64" i="187" s="1"/>
  <c r="T12" i="189" s="1"/>
  <c r="T205" i="119"/>
  <c r="T27" i="187"/>
  <c r="T28" i="187" s="1"/>
  <c r="T212" i="119"/>
  <c r="T53" i="187"/>
  <c r="T54" i="187" s="1"/>
  <c r="T19" i="119" s="1"/>
  <c r="T109" i="186"/>
  <c r="T43" i="187"/>
  <c r="T44" i="187" s="1"/>
  <c r="T12" i="119" s="1"/>
  <c r="T97" i="189"/>
  <c r="T174" i="119"/>
  <c r="T73" i="187"/>
  <c r="T74" i="187" s="1"/>
  <c r="T12" i="201" s="1"/>
  <c r="T84" i="186"/>
  <c r="T61" i="186"/>
  <c r="T21" i="187"/>
  <c r="T14" i="201" l="1"/>
  <c r="T37" i="201" s="1"/>
  <c r="T63" i="186"/>
  <c r="T50" i="119" s="1"/>
  <c r="T51" i="119" s="1"/>
  <c r="T54" i="119" s="1"/>
  <c r="T14" i="119"/>
  <c r="T87" i="119" s="1"/>
  <c r="T21" i="119"/>
  <c r="T76" i="119" s="1"/>
  <c r="T14" i="189"/>
  <c r="T37" i="189" s="1"/>
  <c r="T26" i="189"/>
  <c r="T27" i="189" s="1"/>
  <c r="T30" i="189" s="1"/>
  <c r="T114" i="119"/>
  <c r="T115" i="119" s="1"/>
  <c r="T118" i="119" s="1"/>
  <c r="T119" i="119" s="1"/>
  <c r="T210" i="119" s="1"/>
  <c r="T27" i="119"/>
  <c r="T29" i="119" s="1"/>
  <c r="T31" i="119" s="1"/>
  <c r="T102" i="119"/>
  <c r="T103" i="119" s="1"/>
  <c r="T106" i="119" s="1"/>
  <c r="T107" i="119" s="1"/>
  <c r="T203" i="119" s="1"/>
  <c r="T65" i="119"/>
  <c r="T66" i="119" s="1"/>
  <c r="T69" i="119" s="1"/>
  <c r="T248" i="119"/>
  <c r="T196" i="119"/>
  <c r="S108" i="186"/>
  <c r="S111" i="186" s="1"/>
  <c r="S85" i="186"/>
  <c r="S86" i="186" s="1"/>
  <c r="T68" i="186"/>
  <c r="S51" i="201"/>
  <c r="S52" i="201" s="1"/>
  <c r="S55" i="201" s="1"/>
  <c r="S56" i="201" s="1"/>
  <c r="S105" i="201" s="1"/>
  <c r="S26" i="201"/>
  <c r="S27" i="201" s="1"/>
  <c r="S30" i="201" s="1"/>
  <c r="S50" i="119"/>
  <c r="S51" i="119" s="1"/>
  <c r="S54" i="119" s="1"/>
  <c r="S26" i="189"/>
  <c r="S27" i="189" s="1"/>
  <c r="S102" i="119"/>
  <c r="S103" i="119" s="1"/>
  <c r="S106" i="119" s="1"/>
  <c r="S107" i="119" s="1"/>
  <c r="S203" i="119" s="1"/>
  <c r="S65" i="119"/>
  <c r="S66" i="119" s="1"/>
  <c r="S51" i="189"/>
  <c r="S52" i="189" s="1"/>
  <c r="S55" i="189" s="1"/>
  <c r="S56" i="189" s="1"/>
  <c r="S108" i="189" s="1"/>
  <c r="S114" i="119"/>
  <c r="S115" i="119" s="1"/>
  <c r="S118" i="119" s="1"/>
  <c r="S119" i="119" s="1"/>
  <c r="S210" i="119" s="1"/>
  <c r="S27" i="119"/>
  <c r="S29" i="119" s="1"/>
  <c r="S31" i="119" s="1"/>
  <c r="V98" i="186"/>
  <c r="V79" i="186"/>
  <c r="V80" i="186" s="1"/>
  <c r="V110" i="186" s="1"/>
  <c r="V117" i="201"/>
  <c r="V118" i="201" s="1"/>
  <c r="V126" i="201" s="1"/>
  <c r="V134" i="201"/>
  <c r="V126" i="189"/>
  <c r="V280" i="119"/>
  <c r="V272" i="119"/>
  <c r="V123" i="201"/>
  <c r="V261" i="119"/>
  <c r="V137" i="189"/>
  <c r="V238" i="119"/>
  <c r="V120" i="189"/>
  <c r="V121" i="189" s="1"/>
  <c r="V129" i="189" s="1"/>
  <c r="V255" i="119"/>
  <c r="V256" i="119" s="1"/>
  <c r="V264" i="119" s="1"/>
  <c r="V232" i="119"/>
  <c r="V233" i="119" s="1"/>
  <c r="V241" i="119" s="1"/>
  <c r="V75" i="186"/>
  <c r="W76" i="186" s="1"/>
  <c r="V62" i="186"/>
  <c r="V55" i="186"/>
  <c r="W2" i="189"/>
  <c r="W2" i="193"/>
  <c r="W2" i="201"/>
  <c r="W2" i="190"/>
  <c r="W2" i="119"/>
  <c r="W125" i="186"/>
  <c r="W127" i="186" s="1"/>
  <c r="W2" i="187"/>
  <c r="W40" i="186"/>
  <c r="W41" i="186" s="1"/>
  <c r="W50" i="186"/>
  <c r="W51" i="186" s="1"/>
  <c r="W2" i="186"/>
  <c r="W2" i="188"/>
  <c r="W31" i="186"/>
  <c r="W32" i="186" s="1"/>
  <c r="H32" i="186" s="1"/>
  <c r="V13" i="189"/>
  <c r="V13" i="201"/>
  <c r="V20" i="119"/>
  <c r="V13" i="119"/>
  <c r="V97" i="186"/>
  <c r="V67" i="186"/>
  <c r="V54" i="186"/>
  <c r="V56" i="186" s="1"/>
  <c r="V60" i="186"/>
  <c r="V90" i="186"/>
  <c r="V71" i="186"/>
  <c r="U72" i="186" s="1"/>
  <c r="U15" i="187" s="1"/>
  <c r="U16" i="187" s="1"/>
  <c r="S278" i="119"/>
  <c r="S254" i="119"/>
  <c r="U63" i="186"/>
  <c r="T32" i="119"/>
  <c r="R33" i="119" s="1"/>
  <c r="R36" i="119" s="1"/>
  <c r="T220" i="119"/>
  <c r="T221" i="119" s="1"/>
  <c r="Q33" i="119"/>
  <c r="Q36" i="119" s="1"/>
  <c r="R278" i="119"/>
  <c r="R254" i="119"/>
  <c r="R3" i="193"/>
  <c r="R3" i="201"/>
  <c r="R3" i="190"/>
  <c r="R3" i="189"/>
  <c r="R3" i="187"/>
  <c r="R3" i="119"/>
  <c r="R3" i="186"/>
  <c r="R3" i="188"/>
  <c r="S104" i="186"/>
  <c r="S105" i="186" s="1"/>
  <c r="T99" i="186"/>
  <c r="V4" i="193"/>
  <c r="V4" i="190"/>
  <c r="V4" i="189"/>
  <c r="V4" i="201"/>
  <c r="V4" i="119"/>
  <c r="V37" i="119"/>
  <c r="V4" i="187"/>
  <c r="V89" i="186"/>
  <c r="V4" i="186"/>
  <c r="V4" i="188"/>
  <c r="U107" i="201"/>
  <c r="U82" i="189"/>
  <c r="U83" i="189" s="1"/>
  <c r="U87" i="189" s="1"/>
  <c r="U159" i="119"/>
  <c r="U160" i="119" s="1"/>
  <c r="U164" i="119" s="1"/>
  <c r="U97" i="189"/>
  <c r="U98" i="189" s="1"/>
  <c r="U109" i="189" s="1"/>
  <c r="U212" i="119"/>
  <c r="U205" i="119"/>
  <c r="U174" i="119"/>
  <c r="U175" i="119" s="1"/>
  <c r="U82" i="201"/>
  <c r="U83" i="201" s="1"/>
  <c r="U85" i="201" s="1"/>
  <c r="U86" i="201" s="1"/>
  <c r="U187" i="119"/>
  <c r="U189" i="119" s="1"/>
  <c r="U73" i="187"/>
  <c r="U74" i="187" s="1"/>
  <c r="U12" i="201" s="1"/>
  <c r="U14" i="201" s="1"/>
  <c r="U37" i="201" s="1"/>
  <c r="U94" i="201"/>
  <c r="U95" i="201" s="1"/>
  <c r="U106" i="201" s="1"/>
  <c r="U110" i="189"/>
  <c r="U43" i="187"/>
  <c r="U44" i="187" s="1"/>
  <c r="U12" i="119" s="1"/>
  <c r="U21" i="187"/>
  <c r="U53" i="187"/>
  <c r="U54" i="187" s="1"/>
  <c r="U19" i="119" s="1"/>
  <c r="U109" i="186"/>
  <c r="U27" i="187"/>
  <c r="U28" i="187" s="1"/>
  <c r="U84" i="186"/>
  <c r="U61" i="186"/>
  <c r="U63" i="187"/>
  <c r="U64" i="187" s="1"/>
  <c r="U12" i="189" s="1"/>
  <c r="U14" i="189" l="1"/>
  <c r="T51" i="189"/>
  <c r="T52" i="189" s="1"/>
  <c r="T55" i="189" s="1"/>
  <c r="T56" i="189" s="1"/>
  <c r="T108" i="189" s="1"/>
  <c r="T26" i="201"/>
  <c r="T27" i="201" s="1"/>
  <c r="T30" i="201" s="1"/>
  <c r="T51" i="201"/>
  <c r="T52" i="201" s="1"/>
  <c r="T55" i="201" s="1"/>
  <c r="T56" i="201" s="1"/>
  <c r="T105" i="201" s="1"/>
  <c r="U21" i="119"/>
  <c r="U76" i="119" s="1"/>
  <c r="U14" i="119"/>
  <c r="U87" i="119" s="1"/>
  <c r="U37" i="189"/>
  <c r="S69" i="119"/>
  <c r="U51" i="189"/>
  <c r="U26" i="189"/>
  <c r="U27" i="189" s="1"/>
  <c r="U30" i="189" s="1"/>
  <c r="U114" i="119"/>
  <c r="U26" i="201"/>
  <c r="U27" i="201" s="1"/>
  <c r="U30" i="201" s="1"/>
  <c r="U27" i="119"/>
  <c r="U29" i="119" s="1"/>
  <c r="U31" i="119" s="1"/>
  <c r="U102" i="119"/>
  <c r="U65" i="119"/>
  <c r="U66" i="119" s="1"/>
  <c r="U69" i="119" s="1"/>
  <c r="U50" i="119"/>
  <c r="U51" i="119" s="1"/>
  <c r="U54" i="119" s="1"/>
  <c r="U51" i="201"/>
  <c r="U165" i="119"/>
  <c r="U166" i="119"/>
  <c r="W13" i="201"/>
  <c r="W13" i="119"/>
  <c r="W13" i="189"/>
  <c r="W20" i="119"/>
  <c r="W71" i="186"/>
  <c r="V72" i="186" s="1"/>
  <c r="W67" i="186"/>
  <c r="W54" i="186"/>
  <c r="W56" i="186" s="1"/>
  <c r="W60" i="186"/>
  <c r="W97" i="186"/>
  <c r="W90" i="186"/>
  <c r="H41" i="186"/>
  <c r="V107" i="201"/>
  <c r="V82" i="189"/>
  <c r="V83" i="189" s="1"/>
  <c r="V87" i="189" s="1"/>
  <c r="V97" i="189"/>
  <c r="V212" i="119"/>
  <c r="V205" i="119"/>
  <c r="V174" i="119"/>
  <c r="V94" i="201"/>
  <c r="V110" i="189"/>
  <c r="V187" i="119"/>
  <c r="V189" i="119" s="1"/>
  <c r="V27" i="187"/>
  <c r="V28" i="187" s="1"/>
  <c r="V73" i="187"/>
  <c r="V74" i="187" s="1"/>
  <c r="V12" i="201" s="1"/>
  <c r="V14" i="201" s="1"/>
  <c r="V37" i="201" s="1"/>
  <c r="V159" i="119"/>
  <c r="V160" i="119" s="1"/>
  <c r="V164" i="119" s="1"/>
  <c r="V53" i="187"/>
  <c r="V54" i="187" s="1"/>
  <c r="V19" i="119" s="1"/>
  <c r="V21" i="119" s="1"/>
  <c r="V43" i="187"/>
  <c r="V44" i="187" s="1"/>
  <c r="V12" i="119" s="1"/>
  <c r="V14" i="119" s="1"/>
  <c r="V87" i="119" s="1"/>
  <c r="V21" i="187"/>
  <c r="V82" i="201"/>
  <c r="V83" i="201" s="1"/>
  <c r="V85" i="201" s="1"/>
  <c r="V86" i="201" s="1"/>
  <c r="V63" i="187"/>
  <c r="V64" i="187" s="1"/>
  <c r="V12" i="189" s="1"/>
  <c r="V14" i="189" s="1"/>
  <c r="V37" i="189" s="1"/>
  <c r="V109" i="186"/>
  <c r="V61" i="186"/>
  <c r="V63" i="186" s="1"/>
  <c r="V84" i="186"/>
  <c r="U88" i="189"/>
  <c r="U89" i="189"/>
  <c r="S30" i="189"/>
  <c r="U122" i="201"/>
  <c r="V124" i="201" s="1"/>
  <c r="V127" i="201" s="1"/>
  <c r="V128" i="201" s="1"/>
  <c r="V139" i="201" s="1"/>
  <c r="U133" i="201"/>
  <c r="U89" i="201"/>
  <c r="U90" i="201" s="1"/>
  <c r="U93" i="201" s="1"/>
  <c r="T254" i="119"/>
  <c r="T278" i="119"/>
  <c r="U32" i="119"/>
  <c r="S33" i="119" s="1"/>
  <c r="U220" i="119"/>
  <c r="U221" i="119" s="1"/>
  <c r="U248" i="119"/>
  <c r="U196" i="119"/>
  <c r="U191" i="119"/>
  <c r="U193" i="119" s="1"/>
  <c r="U204" i="119" s="1"/>
  <c r="U195" i="119"/>
  <c r="T104" i="186"/>
  <c r="T105" i="186" s="1"/>
  <c r="U99" i="186"/>
  <c r="W134" i="201"/>
  <c r="W126" i="189"/>
  <c r="W280" i="119"/>
  <c r="W272" i="119"/>
  <c r="W123" i="201"/>
  <c r="W137" i="189"/>
  <c r="W238" i="119"/>
  <c r="W117" i="201"/>
  <c r="W118" i="201" s="1"/>
  <c r="W126" i="201" s="1"/>
  <c r="W120" i="189"/>
  <c r="W121" i="189" s="1"/>
  <c r="W129" i="189" s="1"/>
  <c r="W255" i="119"/>
  <c r="W256" i="119" s="1"/>
  <c r="W264" i="119" s="1"/>
  <c r="W261" i="119"/>
  <c r="W232" i="119"/>
  <c r="W233" i="119" s="1"/>
  <c r="W241" i="119" s="1"/>
  <c r="W62" i="186"/>
  <c r="W55" i="186"/>
  <c r="W75" i="186"/>
  <c r="H51" i="186"/>
  <c r="W4" i="190"/>
  <c r="W4" i="189"/>
  <c r="W4" i="193"/>
  <c r="W4" i="201"/>
  <c r="W4" i="119"/>
  <c r="W37" i="119"/>
  <c r="M38" i="119" s="1"/>
  <c r="M89" i="119" s="1"/>
  <c r="W4" i="187"/>
  <c r="W89" i="186"/>
  <c r="W4" i="186"/>
  <c r="W4" i="188"/>
  <c r="W98" i="186"/>
  <c r="W79" i="186"/>
  <c r="W80" i="186" s="1"/>
  <c r="H76" i="186"/>
  <c r="T108" i="186"/>
  <c r="T111" i="186" s="1"/>
  <c r="T85" i="186"/>
  <c r="T86" i="186" s="1"/>
  <c r="U68" i="186"/>
  <c r="S3" i="193"/>
  <c r="S3" i="201"/>
  <c r="S3" i="190"/>
  <c r="S3" i="189"/>
  <c r="S3" i="119"/>
  <c r="S3" i="187"/>
  <c r="S3" i="186"/>
  <c r="S3" i="188"/>
  <c r="T38" i="119" l="1"/>
  <c r="T89" i="119" s="1"/>
  <c r="S38" i="119"/>
  <c r="S89" i="119" s="1"/>
  <c r="V76" i="119"/>
  <c r="V32" i="119"/>
  <c r="T33" i="119" s="1"/>
  <c r="T36" i="119" s="1"/>
  <c r="V38" i="119" s="1"/>
  <c r="V89" i="119" s="1"/>
  <c r="V220" i="119"/>
  <c r="V221" i="119" s="1"/>
  <c r="V89" i="189"/>
  <c r="V88" i="189"/>
  <c r="V15" i="187"/>
  <c r="V16" i="187" s="1"/>
  <c r="H72" i="186"/>
  <c r="H15" i="187" s="1"/>
  <c r="U85" i="186"/>
  <c r="U86" i="186" s="1"/>
  <c r="U108" i="186"/>
  <c r="U111" i="186" s="1"/>
  <c r="V68" i="186"/>
  <c r="U104" i="186"/>
  <c r="U105" i="186" s="1"/>
  <c r="V99" i="186"/>
  <c r="V196" i="119"/>
  <c r="V197" i="119" s="1"/>
  <c r="V211" i="119" s="1"/>
  <c r="V248" i="119"/>
  <c r="H134" i="201"/>
  <c r="H126" i="189"/>
  <c r="H123" i="201"/>
  <c r="H120" i="189"/>
  <c r="H117" i="201"/>
  <c r="H272" i="119"/>
  <c r="H255" i="119"/>
  <c r="H232" i="119"/>
  <c r="H137" i="189"/>
  <c r="H261" i="119"/>
  <c r="H280" i="119"/>
  <c r="H238" i="119"/>
  <c r="H55" i="186"/>
  <c r="H75" i="186"/>
  <c r="H62" i="186"/>
  <c r="K38" i="119"/>
  <c r="K89" i="119" s="1"/>
  <c r="J38" i="119"/>
  <c r="O38" i="119"/>
  <c r="O89" i="119" s="1"/>
  <c r="L38" i="119"/>
  <c r="L89" i="119" s="1"/>
  <c r="R38" i="119"/>
  <c r="R89" i="119" s="1"/>
  <c r="T3" i="193"/>
  <c r="T3" i="190"/>
  <c r="T3" i="189"/>
  <c r="T3" i="201"/>
  <c r="T3" i="119"/>
  <c r="T3" i="187"/>
  <c r="T3" i="188"/>
  <c r="T3" i="186"/>
  <c r="U278" i="119"/>
  <c r="U254" i="119"/>
  <c r="V122" i="201"/>
  <c r="W124" i="201" s="1"/>
  <c r="W127" i="201" s="1"/>
  <c r="W128" i="201" s="1"/>
  <c r="W139" i="201" s="1"/>
  <c r="V133" i="201"/>
  <c r="V89" i="201"/>
  <c r="V90" i="201" s="1"/>
  <c r="V93" i="201" s="1"/>
  <c r="H13" i="201"/>
  <c r="H13" i="189"/>
  <c r="H13" i="119"/>
  <c r="H20" i="119"/>
  <c r="H71" i="186"/>
  <c r="H90" i="186"/>
  <c r="H60" i="186"/>
  <c r="H67" i="186"/>
  <c r="H97" i="186"/>
  <c r="H54" i="186"/>
  <c r="S36" i="119"/>
  <c r="U38" i="119" s="1"/>
  <c r="U89" i="119" s="1"/>
  <c r="U125" i="189"/>
  <c r="V127" i="189" s="1"/>
  <c r="V130" i="189" s="1"/>
  <c r="V131" i="189" s="1"/>
  <c r="V142" i="189" s="1"/>
  <c r="U136" i="189"/>
  <c r="U92" i="189"/>
  <c r="U93" i="189" s="1"/>
  <c r="U96" i="189" s="1"/>
  <c r="F91" i="186"/>
  <c r="N38" i="119"/>
  <c r="N89" i="119" s="1"/>
  <c r="W110" i="186"/>
  <c r="H80" i="186"/>
  <c r="H110" i="186" s="1"/>
  <c r="F81" i="186"/>
  <c r="F118" i="186" s="1"/>
  <c r="Q38" i="119"/>
  <c r="Q89" i="119" s="1"/>
  <c r="V51" i="189"/>
  <c r="V26" i="189"/>
  <c r="V27" i="189" s="1"/>
  <c r="V30" i="189" s="1"/>
  <c r="V102" i="119"/>
  <c r="V65" i="119"/>
  <c r="V66" i="119" s="1"/>
  <c r="V69" i="119" s="1"/>
  <c r="V26" i="201"/>
  <c r="V27" i="201" s="1"/>
  <c r="V30" i="201" s="1"/>
  <c r="V51" i="201"/>
  <c r="V50" i="119"/>
  <c r="V51" i="119" s="1"/>
  <c r="V54" i="119" s="1"/>
  <c r="V114" i="119"/>
  <c r="V27" i="119"/>
  <c r="V29" i="119" s="1"/>
  <c r="V31" i="119" s="1"/>
  <c r="H79" i="186"/>
  <c r="H98" i="186"/>
  <c r="U197" i="119"/>
  <c r="U211" i="119" s="1"/>
  <c r="V165" i="119"/>
  <c r="V166" i="119"/>
  <c r="W82" i="189"/>
  <c r="W83" i="189" s="1"/>
  <c r="W87" i="189" s="1"/>
  <c r="W97" i="189"/>
  <c r="W94" i="201"/>
  <c r="W110" i="189"/>
  <c r="W107" i="201"/>
  <c r="W82" i="201"/>
  <c r="W83" i="201" s="1"/>
  <c r="W85" i="201" s="1"/>
  <c r="W86" i="201" s="1"/>
  <c r="W187" i="119"/>
  <c r="W189" i="119" s="1"/>
  <c r="W73" i="187"/>
  <c r="W74" i="187" s="1"/>
  <c r="W12" i="201" s="1"/>
  <c r="W14" i="201" s="1"/>
  <c r="W205" i="119"/>
  <c r="W159" i="119"/>
  <c r="W160" i="119" s="1"/>
  <c r="W164" i="119" s="1"/>
  <c r="W109" i="186"/>
  <c r="W212" i="119"/>
  <c r="W21" i="187"/>
  <c r="W63" i="187"/>
  <c r="W64" i="187" s="1"/>
  <c r="W12" i="189" s="1"/>
  <c r="W14" i="189" s="1"/>
  <c r="W174" i="119"/>
  <c r="W53" i="187"/>
  <c r="W54" i="187" s="1"/>
  <c r="W19" i="119" s="1"/>
  <c r="W21" i="119" s="1"/>
  <c r="W43" i="187"/>
  <c r="W44" i="187" s="1"/>
  <c r="W12" i="119" s="1"/>
  <c r="W14" i="119" s="1"/>
  <c r="W27" i="187"/>
  <c r="W28" i="187" s="1"/>
  <c r="W84" i="186"/>
  <c r="W61" i="186"/>
  <c r="W63" i="186" s="1"/>
  <c r="H56" i="186"/>
  <c r="F57" i="186"/>
  <c r="F117" i="186" s="1"/>
  <c r="U169" i="119"/>
  <c r="U170" i="119" s="1"/>
  <c r="U173" i="119" s="1"/>
  <c r="U247" i="119"/>
  <c r="U249" i="119" s="1"/>
  <c r="U225" i="119"/>
  <c r="U227" i="119" s="1"/>
  <c r="P38" i="119"/>
  <c r="P89" i="119" s="1"/>
  <c r="W51" i="189" l="1"/>
  <c r="W26" i="189"/>
  <c r="W27" i="189" s="1"/>
  <c r="W51" i="201"/>
  <c r="W102" i="119"/>
  <c r="W65" i="119"/>
  <c r="W66" i="119" s="1"/>
  <c r="W50" i="119"/>
  <c r="W51" i="119" s="1"/>
  <c r="W54" i="119" s="1"/>
  <c r="W114" i="119"/>
  <c r="W26" i="201"/>
  <c r="W27" i="201" s="1"/>
  <c r="W27" i="119"/>
  <c r="W29" i="119" s="1"/>
  <c r="W87" i="119"/>
  <c r="H14" i="119"/>
  <c r="H87" i="119" s="1"/>
  <c r="W37" i="189"/>
  <c r="H14" i="189"/>
  <c r="H37" i="189" s="1"/>
  <c r="W76" i="119"/>
  <c r="H21" i="119"/>
  <c r="H76" i="119" s="1"/>
  <c r="W37" i="201"/>
  <c r="H14" i="201"/>
  <c r="H37" i="201" s="1"/>
  <c r="H16" i="187"/>
  <c r="F17" i="187"/>
  <c r="F19" i="187" s="1"/>
  <c r="V125" i="189"/>
  <c r="W127" i="189" s="1"/>
  <c r="W130" i="189" s="1"/>
  <c r="W131" i="189" s="1"/>
  <c r="W142" i="189" s="1"/>
  <c r="V136" i="189"/>
  <c r="V92" i="189"/>
  <c r="V93" i="189" s="1"/>
  <c r="V96" i="189" s="1"/>
  <c r="W89" i="189"/>
  <c r="W88" i="189"/>
  <c r="W99" i="186"/>
  <c r="W104" i="186" s="1"/>
  <c r="W105" i="186" s="1"/>
  <c r="V104" i="186"/>
  <c r="V105" i="186" s="1"/>
  <c r="W166" i="119"/>
  <c r="W165" i="119"/>
  <c r="U3" i="193"/>
  <c r="U3" i="190"/>
  <c r="U3" i="189"/>
  <c r="U3" i="201"/>
  <c r="U3" i="119"/>
  <c r="U3" i="187"/>
  <c r="U3" i="186"/>
  <c r="U3" i="188"/>
  <c r="V278" i="119"/>
  <c r="V254" i="119"/>
  <c r="W32" i="119"/>
  <c r="U33" i="119" s="1"/>
  <c r="W220" i="119"/>
  <c r="W221" i="119" s="1"/>
  <c r="U271" i="119"/>
  <c r="U237" i="119"/>
  <c r="V239" i="119" s="1"/>
  <c r="V242" i="119" s="1"/>
  <c r="V243" i="119" s="1"/>
  <c r="V285" i="119" s="1"/>
  <c r="U260" i="119"/>
  <c r="V262" i="119" s="1"/>
  <c r="V265" i="119" s="1"/>
  <c r="V266" i="119" s="1"/>
  <c r="V289" i="119" s="1"/>
  <c r="U279" i="119"/>
  <c r="W196" i="119"/>
  <c r="W197" i="119" s="1"/>
  <c r="W211" i="119" s="1"/>
  <c r="W248" i="119"/>
  <c r="V225" i="119"/>
  <c r="V227" i="119" s="1"/>
  <c r="V247" i="119"/>
  <c r="V249" i="119" s="1"/>
  <c r="V169" i="119"/>
  <c r="V170" i="119" s="1"/>
  <c r="V173" i="119" s="1"/>
  <c r="V108" i="186"/>
  <c r="V111" i="186" s="1"/>
  <c r="V85" i="186"/>
  <c r="V86" i="186" s="1"/>
  <c r="W68" i="186"/>
  <c r="W133" i="201"/>
  <c r="W89" i="201"/>
  <c r="W90" i="201" s="1"/>
  <c r="W93" i="201" s="1"/>
  <c r="W122" i="201"/>
  <c r="H82" i="189"/>
  <c r="H97" i="189"/>
  <c r="H94" i="201"/>
  <c r="H82" i="201"/>
  <c r="H110" i="189"/>
  <c r="H187" i="119"/>
  <c r="H159" i="119"/>
  <c r="H53" i="187"/>
  <c r="H107" i="201"/>
  <c r="H212" i="119"/>
  <c r="H205" i="119"/>
  <c r="H43" i="187"/>
  <c r="H63" i="187"/>
  <c r="H174" i="119"/>
  <c r="H27" i="187"/>
  <c r="H73" i="187"/>
  <c r="H109" i="186"/>
  <c r="H84" i="186"/>
  <c r="H21" i="187"/>
  <c r="H61" i="186"/>
  <c r="J89" i="119"/>
  <c r="V237" i="119" l="1"/>
  <c r="W239" i="119" s="1"/>
  <c r="W242" i="119" s="1"/>
  <c r="W243" i="119" s="1"/>
  <c r="W285" i="119" s="1"/>
  <c r="V271" i="119"/>
  <c r="U36" i="119"/>
  <c r="W38" i="119" s="1"/>
  <c r="H33" i="119"/>
  <c r="H36" i="119" s="1"/>
  <c r="W30" i="201"/>
  <c r="H27" i="201"/>
  <c r="H30" i="201" s="1"/>
  <c r="W108" i="186"/>
  <c r="W111" i="186" s="1"/>
  <c r="W85" i="186"/>
  <c r="W86" i="186" s="1"/>
  <c r="H86" i="186" s="1"/>
  <c r="F69" i="186"/>
  <c r="F116" i="186" s="1"/>
  <c r="H68" i="186"/>
  <c r="W169" i="119"/>
  <c r="W170" i="119" s="1"/>
  <c r="W173" i="119" s="1"/>
  <c r="W247" i="119"/>
  <c r="W249" i="119" s="1"/>
  <c r="W225" i="119"/>
  <c r="W227" i="119" s="1"/>
  <c r="W69" i="119"/>
  <c r="H66" i="119"/>
  <c r="H69" i="119" s="1"/>
  <c r="V22" i="187"/>
  <c r="T22" i="187"/>
  <c r="N22" i="187"/>
  <c r="L22" i="187"/>
  <c r="U22" i="187"/>
  <c r="Q22" i="187"/>
  <c r="S22" i="187"/>
  <c r="K22" i="187"/>
  <c r="M22" i="187"/>
  <c r="P22" i="187"/>
  <c r="W22" i="187"/>
  <c r="J22" i="187"/>
  <c r="R22" i="187"/>
  <c r="O22" i="187"/>
  <c r="V3" i="190"/>
  <c r="V3" i="189"/>
  <c r="V3" i="193"/>
  <c r="V3" i="187"/>
  <c r="V3" i="201"/>
  <c r="V3" i="186"/>
  <c r="V3" i="188"/>
  <c r="V3" i="119"/>
  <c r="W3" i="189"/>
  <c r="W3" i="193"/>
  <c r="W3" i="201"/>
  <c r="W3" i="190"/>
  <c r="W3" i="119"/>
  <c r="W3" i="187"/>
  <c r="W3" i="186"/>
  <c r="W3" i="188"/>
  <c r="W30" i="189"/>
  <c r="H27" i="189"/>
  <c r="H30" i="189" s="1"/>
  <c r="V279" i="119"/>
  <c r="V260" i="119"/>
  <c r="W262" i="119" s="1"/>
  <c r="W265" i="119" s="1"/>
  <c r="W266" i="119" s="1"/>
  <c r="W289" i="119" s="1"/>
  <c r="W254" i="119"/>
  <c r="W278" i="119"/>
  <c r="H221" i="119"/>
  <c r="W136" i="189"/>
  <c r="W125" i="189"/>
  <c r="W92" i="189"/>
  <c r="W93" i="189" s="1"/>
  <c r="W96" i="189" s="1"/>
  <c r="W31" i="119"/>
  <c r="H29" i="119"/>
  <c r="H31" i="119" s="1"/>
  <c r="K29" i="201" l="1"/>
  <c r="K31" i="201" s="1"/>
  <c r="K38" i="201" s="1"/>
  <c r="K40" i="201" s="1"/>
  <c r="K29" i="189"/>
  <c r="K31" i="189" s="1"/>
  <c r="K38" i="189" s="1"/>
  <c r="K40" i="189" s="1"/>
  <c r="K68" i="119"/>
  <c r="K70" i="119" s="1"/>
  <c r="K88" i="119" s="1"/>
  <c r="K91" i="119" s="1"/>
  <c r="K53" i="119"/>
  <c r="K55" i="119" s="1"/>
  <c r="K77" i="119" s="1"/>
  <c r="K79" i="119" s="1"/>
  <c r="H111" i="186"/>
  <c r="F112" i="186"/>
  <c r="F115" i="186" s="1"/>
  <c r="F119" i="186" s="1"/>
  <c r="F16" i="193" s="1"/>
  <c r="F9" i="193" s="1"/>
  <c r="M29" i="201"/>
  <c r="M31" i="201" s="1"/>
  <c r="M38" i="201" s="1"/>
  <c r="M29" i="189"/>
  <c r="M31" i="189" s="1"/>
  <c r="M38" i="189" s="1"/>
  <c r="M68" i="119"/>
  <c r="M70" i="119" s="1"/>
  <c r="M88" i="119" s="1"/>
  <c r="M53" i="119"/>
  <c r="M55" i="119" s="1"/>
  <c r="M77" i="119" s="1"/>
  <c r="S29" i="201"/>
  <c r="S31" i="201" s="1"/>
  <c r="S38" i="201" s="1"/>
  <c r="S29" i="189"/>
  <c r="S31" i="189" s="1"/>
  <c r="S38" i="189" s="1"/>
  <c r="S68" i="119"/>
  <c r="S70" i="119" s="1"/>
  <c r="S88" i="119" s="1"/>
  <c r="S53" i="119"/>
  <c r="S55" i="119" s="1"/>
  <c r="S77" i="119" s="1"/>
  <c r="V29" i="201"/>
  <c r="V31" i="201" s="1"/>
  <c r="V38" i="201" s="1"/>
  <c r="V29" i="189"/>
  <c r="V31" i="189" s="1"/>
  <c r="V38" i="189" s="1"/>
  <c r="V68" i="119"/>
  <c r="V70" i="119" s="1"/>
  <c r="V88" i="119" s="1"/>
  <c r="V53" i="119"/>
  <c r="V55" i="119" s="1"/>
  <c r="V77" i="119" s="1"/>
  <c r="O29" i="189"/>
  <c r="O31" i="189" s="1"/>
  <c r="O38" i="189" s="1"/>
  <c r="O29" i="201"/>
  <c r="O31" i="201" s="1"/>
  <c r="O38" i="201" s="1"/>
  <c r="O68" i="119"/>
  <c r="O70" i="119" s="1"/>
  <c r="O88" i="119" s="1"/>
  <c r="O53" i="119"/>
  <c r="O55" i="119" s="1"/>
  <c r="O77" i="119" s="1"/>
  <c r="Q29" i="201"/>
  <c r="Q31" i="201" s="1"/>
  <c r="Q38" i="201" s="1"/>
  <c r="Q29" i="189"/>
  <c r="Q31" i="189" s="1"/>
  <c r="Q38" i="189" s="1"/>
  <c r="Q53" i="119"/>
  <c r="Q55" i="119" s="1"/>
  <c r="Q77" i="119" s="1"/>
  <c r="Q68" i="119"/>
  <c r="Q70" i="119" s="1"/>
  <c r="Q88" i="119" s="1"/>
  <c r="W237" i="119"/>
  <c r="W271" i="119"/>
  <c r="H254" i="119"/>
  <c r="H278" i="119"/>
  <c r="R29" i="189"/>
  <c r="R31" i="189" s="1"/>
  <c r="R38" i="189" s="1"/>
  <c r="R68" i="119"/>
  <c r="R70" i="119" s="1"/>
  <c r="R88" i="119" s="1"/>
  <c r="R53" i="119"/>
  <c r="R55" i="119" s="1"/>
  <c r="R77" i="119" s="1"/>
  <c r="R29" i="201"/>
  <c r="R31" i="201" s="1"/>
  <c r="R38" i="201" s="1"/>
  <c r="U68" i="119"/>
  <c r="U70" i="119" s="1"/>
  <c r="U88" i="119" s="1"/>
  <c r="U53" i="119"/>
  <c r="U55" i="119" s="1"/>
  <c r="U77" i="119" s="1"/>
  <c r="U29" i="201"/>
  <c r="U31" i="201" s="1"/>
  <c r="U38" i="201" s="1"/>
  <c r="U29" i="189"/>
  <c r="U31" i="189" s="1"/>
  <c r="U38" i="189" s="1"/>
  <c r="W260" i="119"/>
  <c r="W279" i="119"/>
  <c r="J68" i="119"/>
  <c r="J70" i="119" s="1"/>
  <c r="J29" i="201"/>
  <c r="J31" i="201" s="1"/>
  <c r="J29" i="189"/>
  <c r="J31" i="189" s="1"/>
  <c r="J53" i="119"/>
  <c r="J55" i="119" s="1"/>
  <c r="L29" i="201"/>
  <c r="L31" i="201" s="1"/>
  <c r="L38" i="201" s="1"/>
  <c r="L29" i="189"/>
  <c r="L31" i="189" s="1"/>
  <c r="L38" i="189" s="1"/>
  <c r="L68" i="119"/>
  <c r="L70" i="119" s="1"/>
  <c r="L88" i="119" s="1"/>
  <c r="L53" i="119"/>
  <c r="L55" i="119" s="1"/>
  <c r="L77" i="119" s="1"/>
  <c r="W89" i="119"/>
  <c r="H38" i="119"/>
  <c r="H89" i="119" s="1"/>
  <c r="W53" i="119"/>
  <c r="W55" i="119" s="1"/>
  <c r="W77" i="119" s="1"/>
  <c r="W29" i="201"/>
  <c r="W31" i="201" s="1"/>
  <c r="W38" i="201" s="1"/>
  <c r="W29" i="189"/>
  <c r="W31" i="189" s="1"/>
  <c r="W38" i="189" s="1"/>
  <c r="W68" i="119"/>
  <c r="W70" i="119" s="1"/>
  <c r="W88" i="119" s="1"/>
  <c r="N29" i="201"/>
  <c r="N31" i="201" s="1"/>
  <c r="N38" i="201" s="1"/>
  <c r="N29" i="189"/>
  <c r="N31" i="189" s="1"/>
  <c r="N38" i="189" s="1"/>
  <c r="N68" i="119"/>
  <c r="N70" i="119" s="1"/>
  <c r="N88" i="119" s="1"/>
  <c r="N53" i="119"/>
  <c r="N55" i="119" s="1"/>
  <c r="N77" i="119" s="1"/>
  <c r="H85" i="186"/>
  <c r="H108" i="186"/>
  <c r="P29" i="201"/>
  <c r="P31" i="201" s="1"/>
  <c r="P38" i="201" s="1"/>
  <c r="P29" i="189"/>
  <c r="P31" i="189" s="1"/>
  <c r="P38" i="189" s="1"/>
  <c r="P68" i="119"/>
  <c r="P70" i="119" s="1"/>
  <c r="P88" i="119" s="1"/>
  <c r="P53" i="119"/>
  <c r="P55" i="119" s="1"/>
  <c r="P77" i="119" s="1"/>
  <c r="T29" i="201"/>
  <c r="T31" i="201" s="1"/>
  <c r="T38" i="201" s="1"/>
  <c r="T29" i="189"/>
  <c r="T31" i="189" s="1"/>
  <c r="T38" i="189" s="1"/>
  <c r="T53" i="119"/>
  <c r="T55" i="119" s="1"/>
  <c r="T77" i="119" s="1"/>
  <c r="T68" i="119"/>
  <c r="T70" i="119" s="1"/>
  <c r="T88" i="119" s="1"/>
  <c r="F2" i="193" l="1"/>
  <c r="F2" i="201"/>
  <c r="F2" i="190"/>
  <c r="F2" i="187"/>
  <c r="F2" i="119"/>
  <c r="F2" i="189"/>
  <c r="F2" i="186"/>
  <c r="F2" i="188"/>
  <c r="K81" i="119"/>
  <c r="K83" i="119" s="1"/>
  <c r="K131" i="119"/>
  <c r="H55" i="119"/>
  <c r="H77" i="119" s="1"/>
  <c r="J77" i="119"/>
  <c r="J79" i="119" s="1"/>
  <c r="J38" i="189"/>
  <c r="J40" i="189" s="1"/>
  <c r="H31" i="189"/>
  <c r="H38" i="189" s="1"/>
  <c r="K93" i="119"/>
  <c r="K95" i="119" s="1"/>
  <c r="K132" i="119"/>
  <c r="J38" i="201"/>
  <c r="J40" i="201" s="1"/>
  <c r="H31" i="201"/>
  <c r="H38" i="201" s="1"/>
  <c r="K63" i="189"/>
  <c r="K64" i="189" s="1"/>
  <c r="K42" i="189"/>
  <c r="K44" i="189" s="1"/>
  <c r="H70" i="119"/>
  <c r="H88" i="119" s="1"/>
  <c r="J88" i="119"/>
  <c r="J91" i="119" s="1"/>
  <c r="K63" i="201"/>
  <c r="K64" i="201" s="1"/>
  <c r="K42" i="201"/>
  <c r="K44" i="201" s="1"/>
  <c r="K72" i="201" l="1"/>
  <c r="K100" i="201"/>
  <c r="K101" i="201" s="1"/>
  <c r="K67" i="201"/>
  <c r="K68" i="201" s="1"/>
  <c r="K73" i="201" s="1"/>
  <c r="K74" i="201" s="1"/>
  <c r="K77" i="201" s="1"/>
  <c r="K78" i="201" s="1"/>
  <c r="K81" i="201" s="1"/>
  <c r="K253" i="119"/>
  <c r="K277" i="119"/>
  <c r="K281" i="119" s="1"/>
  <c r="K290" i="119" s="1"/>
  <c r="K291" i="119" s="1"/>
  <c r="K11" i="190" s="1"/>
  <c r="K126" i="119"/>
  <c r="K113" i="119"/>
  <c r="K115" i="119" s="1"/>
  <c r="K118" i="119" s="1"/>
  <c r="K119" i="119" s="1"/>
  <c r="K210" i="119" s="1"/>
  <c r="M213" i="119" s="1"/>
  <c r="M90" i="119" s="1"/>
  <c r="M91" i="119" s="1"/>
  <c r="J132" i="119"/>
  <c r="J93" i="119"/>
  <c r="J95" i="119" s="1"/>
  <c r="J42" i="189"/>
  <c r="J44" i="189" s="1"/>
  <c r="J63" i="189"/>
  <c r="J64" i="189" s="1"/>
  <c r="K62" i="201"/>
  <c r="K116" i="201"/>
  <c r="K50" i="201"/>
  <c r="K52" i="201" s="1"/>
  <c r="K55" i="201" s="1"/>
  <c r="K56" i="201" s="1"/>
  <c r="K105" i="201" s="1"/>
  <c r="M108" i="201" s="1"/>
  <c r="M39" i="201" s="1"/>
  <c r="M40" i="201" s="1"/>
  <c r="K80" i="201"/>
  <c r="K132" i="201"/>
  <c r="K135" i="201" s="1"/>
  <c r="K140" i="201" s="1"/>
  <c r="K141" i="201" s="1"/>
  <c r="K15" i="190" s="1"/>
  <c r="K80" i="189"/>
  <c r="K135" i="189"/>
  <c r="K138" i="189" s="1"/>
  <c r="K143" i="189" s="1"/>
  <c r="K144" i="189" s="1"/>
  <c r="K13" i="190" s="1"/>
  <c r="K62" i="189"/>
  <c r="K50" i="189"/>
  <c r="K52" i="189" s="1"/>
  <c r="K55" i="189" s="1"/>
  <c r="K56" i="189" s="1"/>
  <c r="K108" i="189" s="1"/>
  <c r="M111" i="189" s="1"/>
  <c r="M39" i="189" s="1"/>
  <c r="M40" i="189" s="1"/>
  <c r="K119" i="189"/>
  <c r="J131" i="119"/>
  <c r="J81" i="119"/>
  <c r="J83" i="119" s="1"/>
  <c r="K72" i="189"/>
  <c r="K103" i="189"/>
  <c r="K104" i="189" s="1"/>
  <c r="K67" i="189"/>
  <c r="K68" i="189" s="1"/>
  <c r="K73" i="189" s="1"/>
  <c r="K74" i="189" s="1"/>
  <c r="K77" i="189" s="1"/>
  <c r="K78" i="189" s="1"/>
  <c r="K81" i="189" s="1"/>
  <c r="K133" i="119"/>
  <c r="K140" i="119" s="1"/>
  <c r="K141" i="119" s="1"/>
  <c r="J63" i="201"/>
  <c r="J64" i="201" s="1"/>
  <c r="J42" i="201"/>
  <c r="J44" i="201" s="1"/>
  <c r="K270" i="119"/>
  <c r="K273" i="119" s="1"/>
  <c r="K286" i="119" s="1"/>
  <c r="K287" i="119" s="1"/>
  <c r="K9" i="190" s="1"/>
  <c r="K231" i="119"/>
  <c r="K125" i="119"/>
  <c r="K127" i="119" s="1"/>
  <c r="K101" i="119"/>
  <c r="K103" i="119" s="1"/>
  <c r="K106" i="119" s="1"/>
  <c r="K107" i="119" s="1"/>
  <c r="K203" i="119" s="1"/>
  <c r="M206" i="119" s="1"/>
  <c r="M78" i="119" s="1"/>
  <c r="M79" i="119" s="1"/>
  <c r="J231" i="119" l="1"/>
  <c r="J101" i="119"/>
  <c r="J103" i="119" s="1"/>
  <c r="J106" i="119" s="1"/>
  <c r="J107" i="119" s="1"/>
  <c r="J203" i="119" s="1"/>
  <c r="L206" i="119" s="1"/>
  <c r="L78" i="119" s="1"/>
  <c r="L79" i="119" s="1"/>
  <c r="J125" i="119"/>
  <c r="J270" i="119"/>
  <c r="J273" i="119" s="1"/>
  <c r="J286" i="119" s="1"/>
  <c r="J287" i="119" s="1"/>
  <c r="J9" i="190" s="1"/>
  <c r="M93" i="119"/>
  <c r="M95" i="119" s="1"/>
  <c r="M132" i="119"/>
  <c r="J133" i="119"/>
  <c r="J140" i="119" s="1"/>
  <c r="J141" i="119" s="1"/>
  <c r="M63" i="201"/>
  <c r="M64" i="201" s="1"/>
  <c r="M42" i="201"/>
  <c r="M44" i="201" s="1"/>
  <c r="J132" i="201"/>
  <c r="J135" i="201" s="1"/>
  <c r="J140" i="201" s="1"/>
  <c r="J141" i="201" s="1"/>
  <c r="J15" i="190" s="1"/>
  <c r="J62" i="201"/>
  <c r="J116" i="201"/>
  <c r="J50" i="201"/>
  <c r="J80" i="201"/>
  <c r="M63" i="189"/>
  <c r="M64" i="189" s="1"/>
  <c r="M42" i="189"/>
  <c r="M44" i="189" s="1"/>
  <c r="K180" i="119"/>
  <c r="K181" i="119" s="1"/>
  <c r="K144" i="119"/>
  <c r="K145" i="119" s="1"/>
  <c r="K150" i="119" s="1"/>
  <c r="K151" i="119" s="1"/>
  <c r="K154" i="119" s="1"/>
  <c r="K155" i="119" s="1"/>
  <c r="K158" i="119" s="1"/>
  <c r="K149" i="119"/>
  <c r="J103" i="189"/>
  <c r="J104" i="189" s="1"/>
  <c r="J72" i="189"/>
  <c r="J67" i="189"/>
  <c r="J68" i="189" s="1"/>
  <c r="J73" i="189" s="1"/>
  <c r="J74" i="189" s="1"/>
  <c r="J77" i="189" s="1"/>
  <c r="J78" i="189" s="1"/>
  <c r="J81" i="189" s="1"/>
  <c r="J119" i="189"/>
  <c r="J80" i="189"/>
  <c r="J50" i="189"/>
  <c r="J62" i="189"/>
  <c r="J135" i="189"/>
  <c r="J138" i="189" s="1"/>
  <c r="J143" i="189" s="1"/>
  <c r="J144" i="189" s="1"/>
  <c r="J13" i="190" s="1"/>
  <c r="K157" i="119"/>
  <c r="K139" i="119"/>
  <c r="J67" i="201"/>
  <c r="J68" i="201" s="1"/>
  <c r="J73" i="201" s="1"/>
  <c r="J74" i="201" s="1"/>
  <c r="J77" i="201" s="1"/>
  <c r="J78" i="201" s="1"/>
  <c r="J81" i="201" s="1"/>
  <c r="J100" i="201"/>
  <c r="J101" i="201" s="1"/>
  <c r="J72" i="201"/>
  <c r="M81" i="119"/>
  <c r="M83" i="119" s="1"/>
  <c r="M131" i="119"/>
  <c r="M133" i="119" s="1"/>
  <c r="M140" i="119" s="1"/>
  <c r="M141" i="119" s="1"/>
  <c r="J113" i="119"/>
  <c r="J115" i="119" s="1"/>
  <c r="J118" i="119" s="1"/>
  <c r="J119" i="119" s="1"/>
  <c r="J210" i="119" s="1"/>
  <c r="L213" i="119" s="1"/>
  <c r="L90" i="119" s="1"/>
  <c r="L91" i="119" s="1"/>
  <c r="J126" i="119"/>
  <c r="J253" i="119"/>
  <c r="J277" i="119"/>
  <c r="J281" i="119" s="1"/>
  <c r="J290" i="119" s="1"/>
  <c r="J291" i="119" s="1"/>
  <c r="J11" i="190" s="1"/>
  <c r="M135" i="189" l="1"/>
  <c r="M138" i="189" s="1"/>
  <c r="M143" i="189" s="1"/>
  <c r="M144" i="189" s="1"/>
  <c r="M13" i="190" s="1"/>
  <c r="M80" i="189"/>
  <c r="M119" i="189"/>
  <c r="M62" i="189"/>
  <c r="M50" i="189"/>
  <c r="M52" i="189" s="1"/>
  <c r="M55" i="189" s="1"/>
  <c r="M56" i="189" s="1"/>
  <c r="M108" i="189" s="1"/>
  <c r="O111" i="189" s="1"/>
  <c r="O39" i="189" s="1"/>
  <c r="O40" i="189" s="1"/>
  <c r="M100" i="201"/>
  <c r="M101" i="201" s="1"/>
  <c r="M67" i="201"/>
  <c r="M68" i="201" s="1"/>
  <c r="M73" i="201" s="1"/>
  <c r="M74" i="201" s="1"/>
  <c r="M77" i="201" s="1"/>
  <c r="M78" i="201" s="1"/>
  <c r="M81" i="201" s="1"/>
  <c r="M72" i="201"/>
  <c r="M72" i="189"/>
  <c r="M67" i="189"/>
  <c r="M68" i="189" s="1"/>
  <c r="M73" i="189" s="1"/>
  <c r="M74" i="189" s="1"/>
  <c r="M77" i="189" s="1"/>
  <c r="M78" i="189" s="1"/>
  <c r="M81" i="189" s="1"/>
  <c r="M103" i="189"/>
  <c r="M104" i="189" s="1"/>
  <c r="J144" i="119"/>
  <c r="J145" i="119" s="1"/>
  <c r="J150" i="119" s="1"/>
  <c r="J151" i="119" s="1"/>
  <c r="J154" i="119" s="1"/>
  <c r="J155" i="119" s="1"/>
  <c r="J158" i="119" s="1"/>
  <c r="J180" i="119"/>
  <c r="J181" i="119" s="1"/>
  <c r="J149" i="119"/>
  <c r="J84" i="201"/>
  <c r="J52" i="201"/>
  <c r="J55" i="201" s="1"/>
  <c r="J56" i="201" s="1"/>
  <c r="J105" i="201" s="1"/>
  <c r="L108" i="201" s="1"/>
  <c r="L39" i="201" s="1"/>
  <c r="L40" i="201" s="1"/>
  <c r="M277" i="119"/>
  <c r="M281" i="119" s="1"/>
  <c r="M290" i="119" s="1"/>
  <c r="M291" i="119" s="1"/>
  <c r="M11" i="190" s="1"/>
  <c r="M253" i="119"/>
  <c r="M113" i="119"/>
  <c r="M115" i="119" s="1"/>
  <c r="M118" i="119" s="1"/>
  <c r="M119" i="119" s="1"/>
  <c r="M210" i="119" s="1"/>
  <c r="O213" i="119" s="1"/>
  <c r="O90" i="119" s="1"/>
  <c r="O91" i="119" s="1"/>
  <c r="M126" i="119"/>
  <c r="L132" i="119"/>
  <c r="L93" i="119"/>
  <c r="L95" i="119" s="1"/>
  <c r="J127" i="119"/>
  <c r="M180" i="119"/>
  <c r="M181" i="119" s="1"/>
  <c r="M144" i="119"/>
  <c r="M145" i="119" s="1"/>
  <c r="M150" i="119" s="1"/>
  <c r="M151" i="119" s="1"/>
  <c r="M154" i="119" s="1"/>
  <c r="M155" i="119" s="1"/>
  <c r="M158" i="119" s="1"/>
  <c r="M149" i="119"/>
  <c r="L131" i="119"/>
  <c r="L81" i="119"/>
  <c r="L83" i="119" s="1"/>
  <c r="M125" i="119"/>
  <c r="M270" i="119"/>
  <c r="M273" i="119" s="1"/>
  <c r="M286" i="119" s="1"/>
  <c r="M287" i="119" s="1"/>
  <c r="M9" i="190" s="1"/>
  <c r="M231" i="119"/>
  <c r="M101" i="119"/>
  <c r="M103" i="119" s="1"/>
  <c r="M106" i="119" s="1"/>
  <c r="M107" i="119" s="1"/>
  <c r="M203" i="119" s="1"/>
  <c r="O206" i="119" s="1"/>
  <c r="O78" i="119" s="1"/>
  <c r="O79" i="119" s="1"/>
  <c r="J52" i="189"/>
  <c r="J55" i="189" s="1"/>
  <c r="J56" i="189" s="1"/>
  <c r="J108" i="189" s="1"/>
  <c r="L111" i="189" s="1"/>
  <c r="L39" i="189" s="1"/>
  <c r="L40" i="189" s="1"/>
  <c r="J84" i="189"/>
  <c r="M132" i="201"/>
  <c r="M135" i="201" s="1"/>
  <c r="M140" i="201" s="1"/>
  <c r="M141" i="201" s="1"/>
  <c r="M15" i="190" s="1"/>
  <c r="M50" i="201"/>
  <c r="M52" i="201" s="1"/>
  <c r="M55" i="201" s="1"/>
  <c r="M56" i="201" s="1"/>
  <c r="M105" i="201" s="1"/>
  <c r="O108" i="201" s="1"/>
  <c r="O39" i="201" s="1"/>
  <c r="O40" i="201" s="1"/>
  <c r="M80" i="201"/>
  <c r="M116" i="201"/>
  <c r="M62" i="201"/>
  <c r="M127" i="119" l="1"/>
  <c r="M139" i="119" s="1"/>
  <c r="L42" i="201"/>
  <c r="L44" i="201" s="1"/>
  <c r="L63" i="201"/>
  <c r="L64" i="201" s="1"/>
  <c r="J139" i="119"/>
  <c r="J157" i="119"/>
  <c r="O42" i="189"/>
  <c r="O44" i="189" s="1"/>
  <c r="O63" i="189"/>
  <c r="O64" i="189" s="1"/>
  <c r="O131" i="119"/>
  <c r="O81" i="119"/>
  <c r="O83" i="119" s="1"/>
  <c r="L277" i="119"/>
  <c r="L281" i="119" s="1"/>
  <c r="L290" i="119" s="1"/>
  <c r="L291" i="119" s="1"/>
  <c r="L11" i="190" s="1"/>
  <c r="L113" i="119"/>
  <c r="L115" i="119" s="1"/>
  <c r="L118" i="119" s="1"/>
  <c r="L119" i="119" s="1"/>
  <c r="L210" i="119" s="1"/>
  <c r="N213" i="119" s="1"/>
  <c r="N90" i="119" s="1"/>
  <c r="N91" i="119" s="1"/>
  <c r="L253" i="119"/>
  <c r="L126" i="119"/>
  <c r="O63" i="201"/>
  <c r="O64" i="201" s="1"/>
  <c r="O42" i="201"/>
  <c r="O44" i="201" s="1"/>
  <c r="L133" i="119"/>
  <c r="L140" i="119" s="1"/>
  <c r="L141" i="119" s="1"/>
  <c r="O132" i="119"/>
  <c r="O93" i="119"/>
  <c r="O95" i="119" s="1"/>
  <c r="L270" i="119"/>
  <c r="L273" i="119" s="1"/>
  <c r="L286" i="119" s="1"/>
  <c r="L287" i="119" s="1"/>
  <c r="L9" i="190" s="1"/>
  <c r="L231" i="119"/>
  <c r="L101" i="119"/>
  <c r="L103" i="119" s="1"/>
  <c r="L106" i="119" s="1"/>
  <c r="L107" i="119" s="1"/>
  <c r="L203" i="119" s="1"/>
  <c r="N206" i="119" s="1"/>
  <c r="N78" i="119" s="1"/>
  <c r="N79" i="119" s="1"/>
  <c r="L125" i="119"/>
  <c r="L63" i="189"/>
  <c r="L64" i="189" s="1"/>
  <c r="L42" i="189"/>
  <c r="L44" i="189" s="1"/>
  <c r="L127" i="119" l="1"/>
  <c r="L139" i="119" s="1"/>
  <c r="M157" i="119"/>
  <c r="L67" i="189"/>
  <c r="L68" i="189" s="1"/>
  <c r="L73" i="189" s="1"/>
  <c r="L74" i="189" s="1"/>
  <c r="L77" i="189" s="1"/>
  <c r="L78" i="189" s="1"/>
  <c r="L81" i="189" s="1"/>
  <c r="L72" i="189"/>
  <c r="L103" i="189"/>
  <c r="L104" i="189" s="1"/>
  <c r="O80" i="201"/>
  <c r="O50" i="201"/>
  <c r="O52" i="201" s="1"/>
  <c r="O55" i="201" s="1"/>
  <c r="O56" i="201" s="1"/>
  <c r="O105" i="201" s="1"/>
  <c r="Q108" i="201" s="1"/>
  <c r="Q39" i="201" s="1"/>
  <c r="Q40" i="201" s="1"/>
  <c r="O116" i="201"/>
  <c r="O62" i="201"/>
  <c r="O132" i="201"/>
  <c r="O135" i="201" s="1"/>
  <c r="O140" i="201" s="1"/>
  <c r="O141" i="201" s="1"/>
  <c r="O15" i="190" s="1"/>
  <c r="O101" i="119"/>
  <c r="O103" i="119" s="1"/>
  <c r="O106" i="119" s="1"/>
  <c r="O107" i="119" s="1"/>
  <c r="O203" i="119" s="1"/>
  <c r="Q206" i="119" s="1"/>
  <c r="Q78" i="119" s="1"/>
  <c r="Q79" i="119" s="1"/>
  <c r="O231" i="119"/>
  <c r="O270" i="119"/>
  <c r="O273" i="119" s="1"/>
  <c r="O286" i="119" s="1"/>
  <c r="O287" i="119" s="1"/>
  <c r="O9" i="190" s="1"/>
  <c r="O125" i="119"/>
  <c r="O67" i="201"/>
  <c r="O68" i="201" s="1"/>
  <c r="O73" i="201" s="1"/>
  <c r="O74" i="201" s="1"/>
  <c r="O77" i="201" s="1"/>
  <c r="O78" i="201" s="1"/>
  <c r="O81" i="201" s="1"/>
  <c r="O72" i="201"/>
  <c r="O100" i="201"/>
  <c r="O101" i="201" s="1"/>
  <c r="O133" i="119"/>
  <c r="O140" i="119" s="1"/>
  <c r="O141" i="119" s="1"/>
  <c r="N131" i="119"/>
  <c r="N81" i="119"/>
  <c r="N83" i="119" s="1"/>
  <c r="O135" i="189"/>
  <c r="O138" i="189" s="1"/>
  <c r="O143" i="189" s="1"/>
  <c r="O144" i="189" s="1"/>
  <c r="O13" i="190" s="1"/>
  <c r="O119" i="189"/>
  <c r="O62" i="189"/>
  <c r="O50" i="189"/>
  <c r="O52" i="189" s="1"/>
  <c r="O55" i="189" s="1"/>
  <c r="O56" i="189" s="1"/>
  <c r="O108" i="189" s="1"/>
  <c r="Q111" i="189" s="1"/>
  <c r="Q39" i="189" s="1"/>
  <c r="Q40" i="189" s="1"/>
  <c r="O80" i="189"/>
  <c r="O277" i="119"/>
  <c r="O281" i="119" s="1"/>
  <c r="O290" i="119" s="1"/>
  <c r="O291" i="119" s="1"/>
  <c r="O11" i="190" s="1"/>
  <c r="O113" i="119"/>
  <c r="O115" i="119" s="1"/>
  <c r="O118" i="119" s="1"/>
  <c r="O119" i="119" s="1"/>
  <c r="O210" i="119" s="1"/>
  <c r="Q213" i="119" s="1"/>
  <c r="Q90" i="119" s="1"/>
  <c r="Q91" i="119" s="1"/>
  <c r="O253" i="119"/>
  <c r="O126" i="119"/>
  <c r="O103" i="189"/>
  <c r="O104" i="189" s="1"/>
  <c r="O72" i="189"/>
  <c r="O67" i="189"/>
  <c r="O68" i="189" s="1"/>
  <c r="O73" i="189" s="1"/>
  <c r="O74" i="189" s="1"/>
  <c r="O77" i="189" s="1"/>
  <c r="O78" i="189" s="1"/>
  <c r="O81" i="189" s="1"/>
  <c r="N132" i="119"/>
  <c r="N93" i="119"/>
  <c r="N95" i="119" s="1"/>
  <c r="L100" i="201"/>
  <c r="L101" i="201" s="1"/>
  <c r="L67" i="201"/>
  <c r="L68" i="201" s="1"/>
  <c r="L73" i="201" s="1"/>
  <c r="L74" i="201" s="1"/>
  <c r="L77" i="201" s="1"/>
  <c r="L78" i="201" s="1"/>
  <c r="L81" i="201" s="1"/>
  <c r="L72" i="201"/>
  <c r="L62" i="189"/>
  <c r="L135" i="189"/>
  <c r="L138" i="189" s="1"/>
  <c r="L143" i="189" s="1"/>
  <c r="L144" i="189" s="1"/>
  <c r="L13" i="190" s="1"/>
  <c r="L119" i="189"/>
  <c r="L80" i="189"/>
  <c r="L50" i="189"/>
  <c r="L52" i="189" s="1"/>
  <c r="L55" i="189" s="1"/>
  <c r="L56" i="189" s="1"/>
  <c r="L108" i="189" s="1"/>
  <c r="N111" i="189" s="1"/>
  <c r="N39" i="189" s="1"/>
  <c r="N40" i="189" s="1"/>
  <c r="L144" i="119"/>
  <c r="L145" i="119" s="1"/>
  <c r="L150" i="119" s="1"/>
  <c r="L151" i="119" s="1"/>
  <c r="L154" i="119" s="1"/>
  <c r="L155" i="119" s="1"/>
  <c r="L158" i="119" s="1"/>
  <c r="L180" i="119"/>
  <c r="L181" i="119" s="1"/>
  <c r="L149" i="119"/>
  <c r="L116" i="201"/>
  <c r="L80" i="201"/>
  <c r="L50" i="201"/>
  <c r="L52" i="201" s="1"/>
  <c r="L55" i="201" s="1"/>
  <c r="L56" i="201" s="1"/>
  <c r="L105" i="201" s="1"/>
  <c r="N108" i="201" s="1"/>
  <c r="N39" i="201" s="1"/>
  <c r="N40" i="201" s="1"/>
  <c r="L132" i="201"/>
  <c r="L135" i="201" s="1"/>
  <c r="L140" i="201" s="1"/>
  <c r="L141" i="201" s="1"/>
  <c r="L15" i="190" s="1"/>
  <c r="L62" i="201"/>
  <c r="L157" i="119" l="1"/>
  <c r="Q42" i="189"/>
  <c r="Q44" i="189" s="1"/>
  <c r="Q63" i="189"/>
  <c r="Q63" i="201"/>
  <c r="Q64" i="201" s="1"/>
  <c r="Q42" i="201"/>
  <c r="Q44" i="201" s="1"/>
  <c r="N101" i="119"/>
  <c r="N103" i="119" s="1"/>
  <c r="N106" i="119" s="1"/>
  <c r="N107" i="119" s="1"/>
  <c r="N203" i="119" s="1"/>
  <c r="P206" i="119" s="1"/>
  <c r="P78" i="119" s="1"/>
  <c r="P79" i="119" s="1"/>
  <c r="N270" i="119"/>
  <c r="N273" i="119" s="1"/>
  <c r="N286" i="119" s="1"/>
  <c r="N287" i="119" s="1"/>
  <c r="N9" i="190" s="1"/>
  <c r="N231" i="119"/>
  <c r="N125" i="119"/>
  <c r="N127" i="119" s="1"/>
  <c r="O127" i="119"/>
  <c r="Q93" i="119"/>
  <c r="Q95" i="119" s="1"/>
  <c r="Q132" i="119"/>
  <c r="N133" i="119"/>
  <c r="N140" i="119" s="1"/>
  <c r="N141" i="119" s="1"/>
  <c r="N63" i="201"/>
  <c r="N64" i="201" s="1"/>
  <c r="N42" i="201"/>
  <c r="N44" i="201" s="1"/>
  <c r="N42" i="189"/>
  <c r="N44" i="189" s="1"/>
  <c r="N63" i="189"/>
  <c r="N64" i="189" s="1"/>
  <c r="N126" i="119"/>
  <c r="N113" i="119"/>
  <c r="N115" i="119" s="1"/>
  <c r="N118" i="119" s="1"/>
  <c r="N119" i="119" s="1"/>
  <c r="N210" i="119" s="1"/>
  <c r="P213" i="119" s="1"/>
  <c r="P90" i="119" s="1"/>
  <c r="P91" i="119" s="1"/>
  <c r="N277" i="119"/>
  <c r="N281" i="119" s="1"/>
  <c r="N290" i="119" s="1"/>
  <c r="N291" i="119" s="1"/>
  <c r="N11" i="190" s="1"/>
  <c r="N253" i="119"/>
  <c r="O149" i="119"/>
  <c r="O180" i="119"/>
  <c r="O181" i="119" s="1"/>
  <c r="O144" i="119"/>
  <c r="O145" i="119" s="1"/>
  <c r="O150" i="119" s="1"/>
  <c r="O151" i="119" s="1"/>
  <c r="O154" i="119" s="1"/>
  <c r="O155" i="119" s="1"/>
  <c r="O158" i="119" s="1"/>
  <c r="Q131" i="119"/>
  <c r="Q81" i="119"/>
  <c r="Q83" i="119" s="1"/>
  <c r="Q133" i="119" l="1"/>
  <c r="Q140" i="119" s="1"/>
  <c r="N132" i="201"/>
  <c r="N135" i="201" s="1"/>
  <c r="N140" i="201" s="1"/>
  <c r="N141" i="201" s="1"/>
  <c r="N15" i="190" s="1"/>
  <c r="N50" i="201"/>
  <c r="N52" i="201" s="1"/>
  <c r="N55" i="201" s="1"/>
  <c r="N56" i="201" s="1"/>
  <c r="N105" i="201" s="1"/>
  <c r="P108" i="201" s="1"/>
  <c r="P39" i="201" s="1"/>
  <c r="P40" i="201" s="1"/>
  <c r="N116" i="201"/>
  <c r="N80" i="201"/>
  <c r="N62" i="201"/>
  <c r="P81" i="119"/>
  <c r="P83" i="119" s="1"/>
  <c r="P131" i="119"/>
  <c r="N144" i="119"/>
  <c r="N145" i="119" s="1"/>
  <c r="N150" i="119" s="1"/>
  <c r="N151" i="119" s="1"/>
  <c r="N154" i="119" s="1"/>
  <c r="N155" i="119" s="1"/>
  <c r="N158" i="119" s="1"/>
  <c r="N149" i="119"/>
  <c r="N180" i="119"/>
  <c r="N181" i="119" s="1"/>
  <c r="Q116" i="201"/>
  <c r="Q80" i="201"/>
  <c r="Q50" i="201"/>
  <c r="Q52" i="201" s="1"/>
  <c r="Q55" i="201" s="1"/>
  <c r="Q56" i="201" s="1"/>
  <c r="Q105" i="201" s="1"/>
  <c r="Q62" i="201"/>
  <c r="Q132" i="201"/>
  <c r="N139" i="119"/>
  <c r="N157" i="119"/>
  <c r="Q100" i="201"/>
  <c r="Q101" i="201" s="1"/>
  <c r="Q67" i="201"/>
  <c r="Q68" i="201" s="1"/>
  <c r="Q73" i="201" s="1"/>
  <c r="Q74" i="201" s="1"/>
  <c r="Q77" i="201" s="1"/>
  <c r="Q78" i="201" s="1"/>
  <c r="Q81" i="201" s="1"/>
  <c r="Q72" i="201"/>
  <c r="N103" i="189"/>
  <c r="N104" i="189" s="1"/>
  <c r="N67" i="189"/>
  <c r="N68" i="189" s="1"/>
  <c r="N73" i="189" s="1"/>
  <c r="N74" i="189" s="1"/>
  <c r="N77" i="189" s="1"/>
  <c r="N78" i="189" s="1"/>
  <c r="N81" i="189" s="1"/>
  <c r="N72" i="189"/>
  <c r="N135" i="189"/>
  <c r="N138" i="189" s="1"/>
  <c r="N143" i="189" s="1"/>
  <c r="N144" i="189" s="1"/>
  <c r="N13" i="190" s="1"/>
  <c r="N119" i="189"/>
  <c r="N50" i="189"/>
  <c r="N52" i="189" s="1"/>
  <c r="N55" i="189" s="1"/>
  <c r="N56" i="189" s="1"/>
  <c r="N108" i="189" s="1"/>
  <c r="P111" i="189" s="1"/>
  <c r="P39" i="189" s="1"/>
  <c r="P40" i="189" s="1"/>
  <c r="N62" i="189"/>
  <c r="N80" i="189"/>
  <c r="P93" i="119"/>
  <c r="P95" i="119" s="1"/>
  <c r="P132" i="119"/>
  <c r="Q113" i="119"/>
  <c r="Q115" i="119" s="1"/>
  <c r="Q118" i="119" s="1"/>
  <c r="Q119" i="119" s="1"/>
  <c r="Q210" i="119" s="1"/>
  <c r="Q277" i="119"/>
  <c r="Q126" i="119"/>
  <c r="Q253" i="119"/>
  <c r="N100" i="201"/>
  <c r="N101" i="201" s="1"/>
  <c r="N72" i="201"/>
  <c r="N67" i="201"/>
  <c r="N68" i="201" s="1"/>
  <c r="N73" i="201" s="1"/>
  <c r="N74" i="201" s="1"/>
  <c r="N77" i="201" s="1"/>
  <c r="N78" i="201" s="1"/>
  <c r="N81" i="201" s="1"/>
  <c r="Q125" i="119"/>
  <c r="Q270" i="119"/>
  <c r="Q231" i="119"/>
  <c r="Q101" i="119"/>
  <c r="Q103" i="119" s="1"/>
  <c r="Q106" i="119" s="1"/>
  <c r="Q107" i="119" s="1"/>
  <c r="Q203" i="119" s="1"/>
  <c r="O157" i="119"/>
  <c r="O139" i="119"/>
  <c r="Q50" i="189"/>
  <c r="Q52" i="189" s="1"/>
  <c r="Q55" i="189" s="1"/>
  <c r="Q56" i="189" s="1"/>
  <c r="Q108" i="189" s="1"/>
  <c r="Q119" i="189"/>
  <c r="Q135" i="189"/>
  <c r="Q80" i="189"/>
  <c r="Q62" i="189"/>
  <c r="Q64" i="189" s="1"/>
  <c r="P133" i="119" l="1"/>
  <c r="P140" i="119" s="1"/>
  <c r="P270" i="119"/>
  <c r="P231" i="119"/>
  <c r="P101" i="119"/>
  <c r="P103" i="119" s="1"/>
  <c r="P106" i="119" s="1"/>
  <c r="P107" i="119" s="1"/>
  <c r="P203" i="119" s="1"/>
  <c r="P125" i="119"/>
  <c r="P277" i="119"/>
  <c r="P126" i="119"/>
  <c r="P253" i="119"/>
  <c r="P113" i="119"/>
  <c r="P115" i="119" s="1"/>
  <c r="P118" i="119" s="1"/>
  <c r="P119" i="119" s="1"/>
  <c r="P210" i="119" s="1"/>
  <c r="Q103" i="189"/>
  <c r="Q104" i="189" s="1"/>
  <c r="Q67" i="189"/>
  <c r="Q68" i="189" s="1"/>
  <c r="Q73" i="189" s="1"/>
  <c r="Q72" i="189"/>
  <c r="Q127" i="119"/>
  <c r="Q83" i="201"/>
  <c r="Q85" i="201" s="1"/>
  <c r="Q86" i="201" s="1"/>
  <c r="P63" i="189"/>
  <c r="P42" i="189"/>
  <c r="P44" i="189" s="1"/>
  <c r="P63" i="201"/>
  <c r="P64" i="201" s="1"/>
  <c r="P42" i="201"/>
  <c r="P44" i="201" s="1"/>
  <c r="Q74" i="189" l="1"/>
  <c r="Q77" i="189" s="1"/>
  <c r="Q78" i="189" s="1"/>
  <c r="Q81" i="189" s="1"/>
  <c r="Q83" i="189" s="1"/>
  <c r="Q87" i="189" s="1"/>
  <c r="Q89" i="189" s="1"/>
  <c r="P127" i="119"/>
  <c r="P157" i="119" s="1"/>
  <c r="P119" i="189"/>
  <c r="P62" i="189"/>
  <c r="P135" i="189"/>
  <c r="P80" i="189"/>
  <c r="P50" i="189"/>
  <c r="P52" i="189" s="1"/>
  <c r="P55" i="189" s="1"/>
  <c r="P56" i="189" s="1"/>
  <c r="P108" i="189" s="1"/>
  <c r="P64" i="189"/>
  <c r="Q139" i="119"/>
  <c r="Q141" i="119" s="1"/>
  <c r="Q157" i="119"/>
  <c r="Q89" i="201"/>
  <c r="Q90" i="201" s="1"/>
  <c r="Q93" i="201" s="1"/>
  <c r="Q95" i="201" s="1"/>
  <c r="Q106" i="201" s="1"/>
  <c r="S108" i="201" s="1"/>
  <c r="S39" i="201" s="1"/>
  <c r="S40" i="201" s="1"/>
  <c r="Q122" i="201"/>
  <c r="R124" i="201" s="1"/>
  <c r="R127" i="201" s="1"/>
  <c r="R128" i="201" s="1"/>
  <c r="R139" i="201" s="1"/>
  <c r="Q133" i="201"/>
  <c r="Q135" i="201" s="1"/>
  <c r="Q140" i="201" s="1"/>
  <c r="P132" i="201"/>
  <c r="P80" i="201"/>
  <c r="P50" i="201"/>
  <c r="P52" i="201" s="1"/>
  <c r="P55" i="201" s="1"/>
  <c r="P56" i="201" s="1"/>
  <c r="P105" i="201" s="1"/>
  <c r="P116" i="201"/>
  <c r="P62" i="201"/>
  <c r="P100" i="201"/>
  <c r="P101" i="201" s="1"/>
  <c r="P67" i="201"/>
  <c r="P68" i="201" s="1"/>
  <c r="P73" i="201" s="1"/>
  <c r="P74" i="201" s="1"/>
  <c r="P77" i="201" s="1"/>
  <c r="P78" i="201" s="1"/>
  <c r="P81" i="201" s="1"/>
  <c r="P72" i="201"/>
  <c r="P83" i="201" l="1"/>
  <c r="P85" i="201" s="1"/>
  <c r="P86" i="201" s="1"/>
  <c r="Q88" i="189"/>
  <c r="Q125" i="189" s="1"/>
  <c r="R127" i="189" s="1"/>
  <c r="R130" i="189" s="1"/>
  <c r="R131" i="189" s="1"/>
  <c r="R142" i="189" s="1"/>
  <c r="P139" i="119"/>
  <c r="P141" i="119" s="1"/>
  <c r="P180" i="119" s="1"/>
  <c r="P181" i="119" s="1"/>
  <c r="Q180" i="119"/>
  <c r="Q181" i="119" s="1"/>
  <c r="Q144" i="119"/>
  <c r="Q145" i="119" s="1"/>
  <c r="Q150" i="119" s="1"/>
  <c r="Q149" i="119"/>
  <c r="P72" i="189"/>
  <c r="P103" i="189"/>
  <c r="P104" i="189" s="1"/>
  <c r="P67" i="189"/>
  <c r="P68" i="189" s="1"/>
  <c r="P73" i="189" s="1"/>
  <c r="P74" i="189" s="1"/>
  <c r="P77" i="189" s="1"/>
  <c r="P78" i="189" s="1"/>
  <c r="P81" i="189" s="1"/>
  <c r="P83" i="189" s="1"/>
  <c r="P87" i="189" s="1"/>
  <c r="S63" i="201"/>
  <c r="S64" i="201" s="1"/>
  <c r="S42" i="201"/>
  <c r="S44" i="201" s="1"/>
  <c r="P133" i="201"/>
  <c r="P135" i="201" s="1"/>
  <c r="P140" i="201" s="1"/>
  <c r="P141" i="201" s="1"/>
  <c r="P15" i="190" s="1"/>
  <c r="P89" i="201"/>
  <c r="P90" i="201" s="1"/>
  <c r="P93" i="201" s="1"/>
  <c r="P95" i="201" s="1"/>
  <c r="P106" i="201" s="1"/>
  <c r="R108" i="201" s="1"/>
  <c r="P122" i="201"/>
  <c r="Q124" i="201" s="1"/>
  <c r="Q127" i="201" s="1"/>
  <c r="Q128" i="201" s="1"/>
  <c r="Q139" i="201" s="1"/>
  <c r="Q141" i="201" s="1"/>
  <c r="Q15" i="190" s="1"/>
  <c r="Q92" i="189" l="1"/>
  <c r="Q93" i="189" s="1"/>
  <c r="Q96" i="189" s="1"/>
  <c r="Q98" i="189" s="1"/>
  <c r="Q109" i="189" s="1"/>
  <c r="S111" i="189" s="1"/>
  <c r="S39" i="189" s="1"/>
  <c r="S40" i="189" s="1"/>
  <c r="S42" i="189" s="1"/>
  <c r="S44" i="189" s="1"/>
  <c r="Q136" i="189"/>
  <c r="Q138" i="189" s="1"/>
  <c r="Q143" i="189" s="1"/>
  <c r="P149" i="119"/>
  <c r="P144" i="119"/>
  <c r="P145" i="119" s="1"/>
  <c r="P150" i="119" s="1"/>
  <c r="Q151" i="119"/>
  <c r="Q154" i="119" s="1"/>
  <c r="Q155" i="119" s="1"/>
  <c r="Q158" i="119" s="1"/>
  <c r="Q160" i="119" s="1"/>
  <c r="Q164" i="119" s="1"/>
  <c r="Q165" i="119" s="1"/>
  <c r="P88" i="189"/>
  <c r="P89" i="189"/>
  <c r="S62" i="201"/>
  <c r="S116" i="201"/>
  <c r="T118" i="201" s="1"/>
  <c r="S80" i="201"/>
  <c r="S132" i="201"/>
  <c r="S50" i="201"/>
  <c r="S67" i="201"/>
  <c r="S68" i="201" s="1"/>
  <c r="S73" i="201" s="1"/>
  <c r="S74" i="201" s="1"/>
  <c r="S77" i="201" s="1"/>
  <c r="S78" i="201" s="1"/>
  <c r="S81" i="201" s="1"/>
  <c r="S100" i="201"/>
  <c r="S101" i="201" s="1"/>
  <c r="S72" i="201"/>
  <c r="R39" i="201"/>
  <c r="R40" i="201" s="1"/>
  <c r="S83" i="201" l="1"/>
  <c r="S85" i="201" s="1"/>
  <c r="S86" i="201" s="1"/>
  <c r="S63" i="189"/>
  <c r="P151" i="119"/>
  <c r="P154" i="119" s="1"/>
  <c r="P155" i="119" s="1"/>
  <c r="P158" i="119" s="1"/>
  <c r="P160" i="119" s="1"/>
  <c r="P164" i="119" s="1"/>
  <c r="P165" i="119" s="1"/>
  <c r="P247" i="119" s="1"/>
  <c r="P249" i="119" s="1"/>
  <c r="Q166" i="119"/>
  <c r="S135" i="189"/>
  <c r="S50" i="189"/>
  <c r="S80" i="189"/>
  <c r="S62" i="189"/>
  <c r="S64" i="189" s="1"/>
  <c r="S119" i="189"/>
  <c r="T121" i="189" s="1"/>
  <c r="T126" i="201"/>
  <c r="H118" i="201"/>
  <c r="H126" i="201" s="1"/>
  <c r="Q169" i="119"/>
  <c r="Q170" i="119" s="1"/>
  <c r="Q173" i="119" s="1"/>
  <c r="Q175" i="119" s="1"/>
  <c r="Q225" i="119"/>
  <c r="Q227" i="119" s="1"/>
  <c r="Q247" i="119"/>
  <c r="Q249" i="119" s="1"/>
  <c r="P92" i="189"/>
  <c r="P93" i="189" s="1"/>
  <c r="P96" i="189" s="1"/>
  <c r="P98" i="189" s="1"/>
  <c r="P109" i="189" s="1"/>
  <c r="R111" i="189" s="1"/>
  <c r="R39" i="189" s="1"/>
  <c r="R40" i="189" s="1"/>
  <c r="P125" i="189"/>
  <c r="Q127" i="189" s="1"/>
  <c r="Q130" i="189" s="1"/>
  <c r="Q131" i="189" s="1"/>
  <c r="Q142" i="189" s="1"/>
  <c r="Q144" i="189" s="1"/>
  <c r="Q13" i="190" s="1"/>
  <c r="P136" i="189"/>
  <c r="P138" i="189" s="1"/>
  <c r="P143" i="189" s="1"/>
  <c r="P144" i="189" s="1"/>
  <c r="P13" i="190" s="1"/>
  <c r="S122" i="201"/>
  <c r="T124" i="201" s="1"/>
  <c r="T127" i="201" s="1"/>
  <c r="S133" i="201"/>
  <c r="S135" i="201" s="1"/>
  <c r="S140" i="201" s="1"/>
  <c r="S89" i="201"/>
  <c r="S90" i="201" s="1"/>
  <c r="S93" i="201" s="1"/>
  <c r="S95" i="201" s="1"/>
  <c r="S106" i="201" s="1"/>
  <c r="U108" i="201" s="1"/>
  <c r="U39" i="201" s="1"/>
  <c r="U40" i="201" s="1"/>
  <c r="R63" i="201"/>
  <c r="R64" i="201" s="1"/>
  <c r="R42" i="201"/>
  <c r="R44" i="201" s="1"/>
  <c r="P225" i="119" l="1"/>
  <c r="P227" i="119" s="1"/>
  <c r="P271" i="119" s="1"/>
  <c r="P273" i="119" s="1"/>
  <c r="P286" i="119" s="1"/>
  <c r="P287" i="119" s="1"/>
  <c r="P9" i="190" s="1"/>
  <c r="P169" i="119"/>
  <c r="P170" i="119" s="1"/>
  <c r="P173" i="119" s="1"/>
  <c r="P175" i="119" s="1"/>
  <c r="P166" i="119"/>
  <c r="T128" i="201"/>
  <c r="T139" i="201" s="1"/>
  <c r="Q195" i="119"/>
  <c r="Q197" i="119" s="1"/>
  <c r="Q211" i="119" s="1"/>
  <c r="S213" i="119" s="1"/>
  <c r="S90" i="119" s="1"/>
  <c r="S91" i="119" s="1"/>
  <c r="Q191" i="119"/>
  <c r="Q193" i="119" s="1"/>
  <c r="Q204" i="119" s="1"/>
  <c r="S206" i="119" s="1"/>
  <c r="S78" i="119" s="1"/>
  <c r="S79" i="119" s="1"/>
  <c r="S103" i="189"/>
  <c r="S104" i="189" s="1"/>
  <c r="S67" i="189"/>
  <c r="S68" i="189" s="1"/>
  <c r="S73" i="189" s="1"/>
  <c r="S72" i="189"/>
  <c r="T129" i="189"/>
  <c r="H121" i="189"/>
  <c r="H129" i="189" s="1"/>
  <c r="Q260" i="119"/>
  <c r="R262" i="119" s="1"/>
  <c r="R265" i="119" s="1"/>
  <c r="R266" i="119" s="1"/>
  <c r="R289" i="119" s="1"/>
  <c r="Q279" i="119"/>
  <c r="Q281" i="119" s="1"/>
  <c r="Q290" i="119" s="1"/>
  <c r="U42" i="201"/>
  <c r="U44" i="201" s="1"/>
  <c r="U63" i="201"/>
  <c r="U64" i="201" s="1"/>
  <c r="P279" i="119"/>
  <c r="P281" i="119" s="1"/>
  <c r="P290" i="119" s="1"/>
  <c r="P291" i="119" s="1"/>
  <c r="P11" i="190" s="1"/>
  <c r="P260" i="119"/>
  <c r="Q262" i="119" s="1"/>
  <c r="Q265" i="119" s="1"/>
  <c r="Q266" i="119" s="1"/>
  <c r="Q289" i="119" s="1"/>
  <c r="Q237" i="119"/>
  <c r="R239" i="119" s="1"/>
  <c r="R242" i="119" s="1"/>
  <c r="R243" i="119" s="1"/>
  <c r="R285" i="119" s="1"/>
  <c r="Q271" i="119"/>
  <c r="Q273" i="119" s="1"/>
  <c r="Q286" i="119" s="1"/>
  <c r="R132" i="201"/>
  <c r="R62" i="201"/>
  <c r="R116" i="201"/>
  <c r="R50" i="201"/>
  <c r="R52" i="201" s="1"/>
  <c r="R80" i="201"/>
  <c r="R100" i="201"/>
  <c r="R101" i="201" s="1"/>
  <c r="R67" i="201"/>
  <c r="R68" i="201" s="1"/>
  <c r="R73" i="201" s="1"/>
  <c r="R74" i="201" s="1"/>
  <c r="R77" i="201" s="1"/>
  <c r="R78" i="201" s="1"/>
  <c r="R81" i="201" s="1"/>
  <c r="R72" i="201"/>
  <c r="R42" i="189"/>
  <c r="R44" i="189" s="1"/>
  <c r="R63" i="189"/>
  <c r="P237" i="119" l="1"/>
  <c r="Q239" i="119" s="1"/>
  <c r="Q242" i="119" s="1"/>
  <c r="Q243" i="119" s="1"/>
  <c r="Q285" i="119" s="1"/>
  <c r="Q287" i="119" s="1"/>
  <c r="Q9" i="190" s="1"/>
  <c r="S74" i="189"/>
  <c r="S77" i="189" s="1"/>
  <c r="S78" i="189" s="1"/>
  <c r="S81" i="189" s="1"/>
  <c r="S83" i="189" s="1"/>
  <c r="S87" i="189" s="1"/>
  <c r="S88" i="189" s="1"/>
  <c r="P195" i="119"/>
  <c r="P197" i="119" s="1"/>
  <c r="P211" i="119" s="1"/>
  <c r="R213" i="119" s="1"/>
  <c r="R90" i="119" s="1"/>
  <c r="R91" i="119" s="1"/>
  <c r="P191" i="119"/>
  <c r="P193" i="119" s="1"/>
  <c r="P204" i="119" s="1"/>
  <c r="R206" i="119" s="1"/>
  <c r="R78" i="119" s="1"/>
  <c r="R79" i="119" s="1"/>
  <c r="R83" i="201"/>
  <c r="Q291" i="119"/>
  <c r="Q11" i="190" s="1"/>
  <c r="U100" i="201"/>
  <c r="U101" i="201" s="1"/>
  <c r="U72" i="201"/>
  <c r="U67" i="201"/>
  <c r="U68" i="201" s="1"/>
  <c r="U73" i="201" s="1"/>
  <c r="U74" i="201" s="1"/>
  <c r="U77" i="201" s="1"/>
  <c r="U78" i="201" s="1"/>
  <c r="U81" i="201" s="1"/>
  <c r="S132" i="119"/>
  <c r="S93" i="119"/>
  <c r="S95" i="119" s="1"/>
  <c r="U116" i="201"/>
  <c r="U80" i="201"/>
  <c r="U132" i="201"/>
  <c r="U135" i="201" s="1"/>
  <c r="U140" i="201" s="1"/>
  <c r="U50" i="201"/>
  <c r="U52" i="201" s="1"/>
  <c r="U55" i="201" s="1"/>
  <c r="U56" i="201" s="1"/>
  <c r="U105" i="201" s="1"/>
  <c r="W108" i="201" s="1"/>
  <c r="W39" i="201" s="1"/>
  <c r="W40" i="201" s="1"/>
  <c r="U62" i="201"/>
  <c r="S81" i="119"/>
  <c r="S83" i="119" s="1"/>
  <c r="S131" i="119"/>
  <c r="R85" i="201"/>
  <c r="R86" i="201" s="1"/>
  <c r="R55" i="201"/>
  <c r="R56" i="201" s="1"/>
  <c r="R119" i="189"/>
  <c r="R50" i="189"/>
  <c r="R52" i="189" s="1"/>
  <c r="R135" i="189"/>
  <c r="R80" i="189"/>
  <c r="R62" i="189"/>
  <c r="R64" i="189" s="1"/>
  <c r="S89" i="189" l="1"/>
  <c r="S133" i="119"/>
  <c r="S140" i="119" s="1"/>
  <c r="S92" i="189"/>
  <c r="S93" i="189" s="1"/>
  <c r="S96" i="189" s="1"/>
  <c r="S98" i="189" s="1"/>
  <c r="S109" i="189" s="1"/>
  <c r="U111" i="189" s="1"/>
  <c r="U39" i="189" s="1"/>
  <c r="U40" i="189" s="1"/>
  <c r="S125" i="189"/>
  <c r="T127" i="189" s="1"/>
  <c r="T130" i="189" s="1"/>
  <c r="T131" i="189" s="1"/>
  <c r="T142" i="189" s="1"/>
  <c r="S136" i="189"/>
  <c r="S138" i="189" s="1"/>
  <c r="S143" i="189" s="1"/>
  <c r="W63" i="201"/>
  <c r="W64" i="201" s="1"/>
  <c r="W42" i="201"/>
  <c r="W44" i="201" s="1"/>
  <c r="S125" i="119"/>
  <c r="S101" i="119"/>
  <c r="S270" i="119"/>
  <c r="S231" i="119"/>
  <c r="T233" i="119" s="1"/>
  <c r="S277" i="119"/>
  <c r="S253" i="119"/>
  <c r="T256" i="119" s="1"/>
  <c r="S126" i="119"/>
  <c r="S113" i="119"/>
  <c r="R72" i="189"/>
  <c r="R67" i="189"/>
  <c r="R68" i="189" s="1"/>
  <c r="R73" i="189" s="1"/>
  <c r="R103" i="189"/>
  <c r="R104" i="189" s="1"/>
  <c r="R131" i="119"/>
  <c r="R81" i="119"/>
  <c r="R83" i="119" s="1"/>
  <c r="R132" i="119"/>
  <c r="R93" i="119"/>
  <c r="R95" i="119" s="1"/>
  <c r="R105" i="201"/>
  <c r="H56" i="201"/>
  <c r="H105" i="201" s="1"/>
  <c r="R55" i="189"/>
  <c r="R56" i="189" s="1"/>
  <c r="R122" i="201"/>
  <c r="S124" i="201" s="1"/>
  <c r="R133" i="201"/>
  <c r="R135" i="201" s="1"/>
  <c r="R89" i="201"/>
  <c r="R90" i="201" s="1"/>
  <c r="R74" i="189" l="1"/>
  <c r="R77" i="189" s="1"/>
  <c r="R78" i="189" s="1"/>
  <c r="R81" i="189" s="1"/>
  <c r="R83" i="189" s="1"/>
  <c r="R87" i="189" s="1"/>
  <c r="S127" i="119"/>
  <c r="S139" i="119" s="1"/>
  <c r="S141" i="119" s="1"/>
  <c r="W72" i="201"/>
  <c r="W67" i="201"/>
  <c r="W68" i="201" s="1"/>
  <c r="W73" i="201" s="1"/>
  <c r="W74" i="201" s="1"/>
  <c r="W77" i="201" s="1"/>
  <c r="W78" i="201" s="1"/>
  <c r="W81" i="201" s="1"/>
  <c r="W100" i="201"/>
  <c r="W101" i="201" s="1"/>
  <c r="T264" i="119"/>
  <c r="H256" i="119"/>
  <c r="H264" i="119" s="1"/>
  <c r="W80" i="201"/>
  <c r="W116" i="201"/>
  <c r="W132" i="201"/>
  <c r="W135" i="201" s="1"/>
  <c r="W140" i="201" s="1"/>
  <c r="W141" i="201" s="1"/>
  <c r="W15" i="190" s="1"/>
  <c r="W62" i="201"/>
  <c r="W50" i="201"/>
  <c r="W52" i="201" s="1"/>
  <c r="W55" i="201" s="1"/>
  <c r="T241" i="119"/>
  <c r="H233" i="119"/>
  <c r="H241" i="119" s="1"/>
  <c r="U42" i="189"/>
  <c r="U44" i="189" s="1"/>
  <c r="U63" i="189"/>
  <c r="U64" i="189" s="1"/>
  <c r="R277" i="119"/>
  <c r="R253" i="119"/>
  <c r="R113" i="119"/>
  <c r="R115" i="119" s="1"/>
  <c r="R126" i="119"/>
  <c r="R140" i="201"/>
  <c r="R141" i="201" s="1"/>
  <c r="R133" i="119"/>
  <c r="S127" i="201"/>
  <c r="S128" i="201" s="1"/>
  <c r="R108" i="189"/>
  <c r="R270" i="119"/>
  <c r="R231" i="119"/>
  <c r="R101" i="119"/>
  <c r="R103" i="119" s="1"/>
  <c r="R125" i="119"/>
  <c r="R93" i="201"/>
  <c r="R95" i="201" s="1"/>
  <c r="S157" i="119" l="1"/>
  <c r="U103" i="189"/>
  <c r="U104" i="189" s="1"/>
  <c r="U72" i="189"/>
  <c r="U67" i="189"/>
  <c r="U68" i="189" s="1"/>
  <c r="U73" i="189" s="1"/>
  <c r="U74" i="189" s="1"/>
  <c r="U77" i="189" s="1"/>
  <c r="U78" i="189" s="1"/>
  <c r="U81" i="189" s="1"/>
  <c r="S180" i="119"/>
  <c r="S181" i="119" s="1"/>
  <c r="S144" i="119"/>
  <c r="S145" i="119" s="1"/>
  <c r="S150" i="119" s="1"/>
  <c r="S149" i="119"/>
  <c r="U50" i="189"/>
  <c r="U52" i="189" s="1"/>
  <c r="U55" i="189" s="1"/>
  <c r="U56" i="189" s="1"/>
  <c r="U135" i="189"/>
  <c r="U138" i="189" s="1"/>
  <c r="U143" i="189" s="1"/>
  <c r="U119" i="189"/>
  <c r="U62" i="189"/>
  <c r="U80" i="189"/>
  <c r="R106" i="201"/>
  <c r="T108" i="201" s="1"/>
  <c r="R118" i="119"/>
  <c r="R119" i="119" s="1"/>
  <c r="R15" i="190"/>
  <c r="R106" i="119"/>
  <c r="R107" i="119" s="1"/>
  <c r="R140" i="119"/>
  <c r="R89" i="189"/>
  <c r="R88" i="189"/>
  <c r="R127" i="119"/>
  <c r="S139" i="201"/>
  <c r="S141" i="201" s="1"/>
  <c r="S15" i="190" s="1"/>
  <c r="S151" i="119" l="1"/>
  <c r="S154" i="119" s="1"/>
  <c r="S155" i="119" s="1"/>
  <c r="S158" i="119" s="1"/>
  <c r="S160" i="119" s="1"/>
  <c r="S164" i="119" s="1"/>
  <c r="S166" i="119" s="1"/>
  <c r="U108" i="189"/>
  <c r="W111" i="189" s="1"/>
  <c r="W39" i="189" s="1"/>
  <c r="W40" i="189" s="1"/>
  <c r="H56" i="189"/>
  <c r="H108" i="189" s="1"/>
  <c r="R139" i="119"/>
  <c r="R141" i="119" s="1"/>
  <c r="R157" i="119"/>
  <c r="R136" i="189"/>
  <c r="R138" i="189" s="1"/>
  <c r="R92" i="189"/>
  <c r="R93" i="189" s="1"/>
  <c r="R125" i="189"/>
  <c r="S127" i="189" s="1"/>
  <c r="R210" i="119"/>
  <c r="R203" i="119"/>
  <c r="T39" i="201"/>
  <c r="T40" i="201" s="1"/>
  <c r="S165" i="119" l="1"/>
  <c r="S169" i="119" s="1"/>
  <c r="S170" i="119" s="1"/>
  <c r="S173" i="119" s="1"/>
  <c r="S175" i="119" s="1"/>
  <c r="W63" i="189"/>
  <c r="W64" i="189" s="1"/>
  <c r="W42" i="189"/>
  <c r="W44" i="189" s="1"/>
  <c r="R96" i="189"/>
  <c r="R98" i="189" s="1"/>
  <c r="T63" i="201"/>
  <c r="T64" i="201" s="1"/>
  <c r="T42" i="201"/>
  <c r="T44" i="201" s="1"/>
  <c r="S130" i="189"/>
  <c r="S131" i="189" s="1"/>
  <c r="R143" i="189"/>
  <c r="R144" i="189" s="1"/>
  <c r="R13" i="190" s="1"/>
  <c r="R180" i="119"/>
  <c r="R181" i="119" s="1"/>
  <c r="R144" i="119"/>
  <c r="R145" i="119" s="1"/>
  <c r="R150" i="119" s="1"/>
  <c r="R149" i="119"/>
  <c r="R151" i="119" l="1"/>
  <c r="R154" i="119" s="1"/>
  <c r="R155" i="119" s="1"/>
  <c r="R158" i="119" s="1"/>
  <c r="R160" i="119" s="1"/>
  <c r="R164" i="119" s="1"/>
  <c r="S247" i="119"/>
  <c r="S249" i="119" s="1"/>
  <c r="S260" i="119" s="1"/>
  <c r="T262" i="119" s="1"/>
  <c r="T265" i="119" s="1"/>
  <c r="T266" i="119" s="1"/>
  <c r="T289" i="119" s="1"/>
  <c r="S225" i="119"/>
  <c r="S227" i="119" s="1"/>
  <c r="S271" i="119" s="1"/>
  <c r="S273" i="119" s="1"/>
  <c r="S286" i="119" s="1"/>
  <c r="W119" i="189"/>
  <c r="W50" i="189"/>
  <c r="W52" i="189" s="1"/>
  <c r="W55" i="189" s="1"/>
  <c r="W80" i="189"/>
  <c r="W135" i="189"/>
  <c r="W138" i="189" s="1"/>
  <c r="W143" i="189" s="1"/>
  <c r="W144" i="189" s="1"/>
  <c r="W13" i="190" s="1"/>
  <c r="W62" i="189"/>
  <c r="S195" i="119"/>
  <c r="S197" i="119" s="1"/>
  <c r="S211" i="119" s="1"/>
  <c r="U213" i="119" s="1"/>
  <c r="U90" i="119" s="1"/>
  <c r="U91" i="119" s="1"/>
  <c r="S191" i="119"/>
  <c r="S193" i="119" s="1"/>
  <c r="S204" i="119" s="1"/>
  <c r="U206" i="119" s="1"/>
  <c r="U78" i="119" s="1"/>
  <c r="U79" i="119" s="1"/>
  <c r="W103" i="189"/>
  <c r="W104" i="189" s="1"/>
  <c r="W72" i="189"/>
  <c r="W67" i="189"/>
  <c r="W68" i="189" s="1"/>
  <c r="W73" i="189" s="1"/>
  <c r="W74" i="189" s="1"/>
  <c r="W77" i="189" s="1"/>
  <c r="W78" i="189" s="1"/>
  <c r="W81" i="189" s="1"/>
  <c r="T100" i="201"/>
  <c r="T101" i="201" s="1"/>
  <c r="T67" i="201"/>
  <c r="T68" i="201" s="1"/>
  <c r="T73" i="201" s="1"/>
  <c r="T74" i="201" s="1"/>
  <c r="T77" i="201" s="1"/>
  <c r="T78" i="201" s="1"/>
  <c r="T81" i="201" s="1"/>
  <c r="T72" i="201"/>
  <c r="T62" i="201"/>
  <c r="T116" i="201"/>
  <c r="T80" i="201"/>
  <c r="T50" i="201"/>
  <c r="T132" i="201"/>
  <c r="R109" i="189"/>
  <c r="T111" i="189" s="1"/>
  <c r="S142" i="189"/>
  <c r="S144" i="189" s="1"/>
  <c r="S13" i="190" s="1"/>
  <c r="S279" i="119" l="1"/>
  <c r="S281" i="119" s="1"/>
  <c r="S290" i="119" s="1"/>
  <c r="S237" i="119"/>
  <c r="T239" i="119" s="1"/>
  <c r="T242" i="119" s="1"/>
  <c r="T243" i="119" s="1"/>
  <c r="T285" i="119" s="1"/>
  <c r="U81" i="119"/>
  <c r="U83" i="119" s="1"/>
  <c r="U131" i="119"/>
  <c r="U93" i="119"/>
  <c r="U95" i="119" s="1"/>
  <c r="U132" i="119"/>
  <c r="T83" i="201"/>
  <c r="T39" i="189"/>
  <c r="T40" i="189" s="1"/>
  <c r="R165" i="119"/>
  <c r="R166" i="119"/>
  <c r="U133" i="119" l="1"/>
  <c r="U140" i="119" s="1"/>
  <c r="U141" i="119" s="1"/>
  <c r="U149" i="119" s="1"/>
  <c r="U277" i="119"/>
  <c r="U281" i="119" s="1"/>
  <c r="U290" i="119" s="1"/>
  <c r="U253" i="119"/>
  <c r="U126" i="119"/>
  <c r="U113" i="119"/>
  <c r="U115" i="119" s="1"/>
  <c r="U118" i="119" s="1"/>
  <c r="U119" i="119" s="1"/>
  <c r="U231" i="119"/>
  <c r="U270" i="119"/>
  <c r="U273" i="119" s="1"/>
  <c r="U286" i="119" s="1"/>
  <c r="U101" i="119"/>
  <c r="U103" i="119" s="1"/>
  <c r="U106" i="119" s="1"/>
  <c r="U107" i="119" s="1"/>
  <c r="U125" i="119"/>
  <c r="R247" i="119"/>
  <c r="R249" i="119" s="1"/>
  <c r="R225" i="119"/>
  <c r="R227" i="119" s="1"/>
  <c r="R169" i="119"/>
  <c r="R170" i="119" s="1"/>
  <c r="T63" i="189"/>
  <c r="T42" i="189"/>
  <c r="T44" i="189" s="1"/>
  <c r="T85" i="201"/>
  <c r="T86" i="201" s="1"/>
  <c r="H83" i="201"/>
  <c r="H85" i="201" s="1"/>
  <c r="U127" i="119" l="1"/>
  <c r="U139" i="119" s="1"/>
  <c r="U180" i="119"/>
  <c r="U181" i="119" s="1"/>
  <c r="U144" i="119"/>
  <c r="U145" i="119" s="1"/>
  <c r="U150" i="119" s="1"/>
  <c r="U151" i="119" s="1"/>
  <c r="U154" i="119" s="1"/>
  <c r="U155" i="119" s="1"/>
  <c r="U158" i="119" s="1"/>
  <c r="U203" i="119"/>
  <c r="W206" i="119" s="1"/>
  <c r="W78" i="119" s="1"/>
  <c r="W79" i="119" s="1"/>
  <c r="H107" i="119"/>
  <c r="H203" i="119" s="1"/>
  <c r="U210" i="119"/>
  <c r="W213" i="119" s="1"/>
  <c r="W90" i="119" s="1"/>
  <c r="W91" i="119" s="1"/>
  <c r="H119" i="119"/>
  <c r="H210" i="119" s="1"/>
  <c r="T122" i="201"/>
  <c r="U124" i="201" s="1"/>
  <c r="T133" i="201"/>
  <c r="T135" i="201" s="1"/>
  <c r="T140" i="201" s="1"/>
  <c r="T141" i="201" s="1"/>
  <c r="T15" i="190" s="1"/>
  <c r="T89" i="201"/>
  <c r="T90" i="201" s="1"/>
  <c r="H86" i="201"/>
  <c r="T135" i="189"/>
  <c r="T119" i="189"/>
  <c r="T62" i="189"/>
  <c r="T64" i="189" s="1"/>
  <c r="T50" i="189"/>
  <c r="T80" i="189"/>
  <c r="R271" i="119"/>
  <c r="R273" i="119" s="1"/>
  <c r="R237" i="119"/>
  <c r="S239" i="119" s="1"/>
  <c r="R173" i="119"/>
  <c r="R175" i="119" s="1"/>
  <c r="R279" i="119"/>
  <c r="R281" i="119" s="1"/>
  <c r="R260" i="119"/>
  <c r="S262" i="119" s="1"/>
  <c r="U157" i="119" l="1"/>
  <c r="W131" i="119"/>
  <c r="W81" i="119"/>
  <c r="W83" i="119" s="1"/>
  <c r="W93" i="119"/>
  <c r="W95" i="119" s="1"/>
  <c r="W132" i="119"/>
  <c r="T67" i="189"/>
  <c r="T68" i="189" s="1"/>
  <c r="T73" i="189" s="1"/>
  <c r="T103" i="189"/>
  <c r="T104" i="189" s="1"/>
  <c r="T72" i="189"/>
  <c r="R290" i="119"/>
  <c r="R291" i="119" s="1"/>
  <c r="T93" i="201"/>
  <c r="T95" i="201" s="1"/>
  <c r="H90" i="201"/>
  <c r="H93" i="201" s="1"/>
  <c r="H89" i="201"/>
  <c r="H122" i="201"/>
  <c r="H133" i="201"/>
  <c r="R286" i="119"/>
  <c r="R287" i="119" s="1"/>
  <c r="R9" i="190" s="1"/>
  <c r="U127" i="201"/>
  <c r="U128" i="201" s="1"/>
  <c r="H124" i="201"/>
  <c r="H127" i="201" s="1"/>
  <c r="R195" i="119"/>
  <c r="R197" i="119" s="1"/>
  <c r="R191" i="119"/>
  <c r="R193" i="119" s="1"/>
  <c r="S242" i="119"/>
  <c r="S243" i="119" s="1"/>
  <c r="S265" i="119"/>
  <c r="S266" i="119" s="1"/>
  <c r="T74" i="189" l="1"/>
  <c r="T77" i="189" s="1"/>
  <c r="T78" i="189" s="1"/>
  <c r="T81" i="189" s="1"/>
  <c r="T83" i="189" s="1"/>
  <c r="H83" i="189" s="1"/>
  <c r="W126" i="119"/>
  <c r="W253" i="119"/>
  <c r="W277" i="119"/>
  <c r="W281" i="119" s="1"/>
  <c r="W290" i="119" s="1"/>
  <c r="W291" i="119" s="1"/>
  <c r="W11" i="190" s="1"/>
  <c r="W113" i="119"/>
  <c r="W115" i="119" s="1"/>
  <c r="W118" i="119" s="1"/>
  <c r="W231" i="119"/>
  <c r="W270" i="119"/>
  <c r="W273" i="119" s="1"/>
  <c r="W286" i="119" s="1"/>
  <c r="W287" i="119" s="1"/>
  <c r="W9" i="190" s="1"/>
  <c r="W125" i="119"/>
  <c r="W101" i="119"/>
  <c r="W103" i="119" s="1"/>
  <c r="W106" i="119" s="1"/>
  <c r="W133" i="119"/>
  <c r="W140" i="119" s="1"/>
  <c r="W141" i="119" s="1"/>
  <c r="T106" i="201"/>
  <c r="V108" i="201" s="1"/>
  <c r="H95" i="201"/>
  <c r="H106" i="201" s="1"/>
  <c r="R11" i="190"/>
  <c r="S285" i="119"/>
  <c r="S287" i="119" s="1"/>
  <c r="S9" i="190" s="1"/>
  <c r="R211" i="119"/>
  <c r="T213" i="119" s="1"/>
  <c r="U139" i="201"/>
  <c r="U141" i="201" s="1"/>
  <c r="U15" i="190" s="1"/>
  <c r="H128" i="201"/>
  <c r="H139" i="201" s="1"/>
  <c r="S289" i="119"/>
  <c r="S291" i="119" s="1"/>
  <c r="S11" i="190" s="1"/>
  <c r="R204" i="119"/>
  <c r="T206" i="119" s="1"/>
  <c r="T87" i="189" l="1"/>
  <c r="T88" i="189" s="1"/>
  <c r="W127" i="119"/>
  <c r="W139" i="119" s="1"/>
  <c r="W149" i="119"/>
  <c r="W180" i="119"/>
  <c r="W181" i="119" s="1"/>
  <c r="W144" i="119"/>
  <c r="W145" i="119" s="1"/>
  <c r="W150" i="119" s="1"/>
  <c r="W151" i="119" s="1"/>
  <c r="W154" i="119" s="1"/>
  <c r="W155" i="119" s="1"/>
  <c r="W158" i="119" s="1"/>
  <c r="T78" i="119"/>
  <c r="T79" i="119" s="1"/>
  <c r="T90" i="119"/>
  <c r="T91" i="119" s="1"/>
  <c r="V39" i="201"/>
  <c r="V40" i="201" s="1"/>
  <c r="H108" i="201"/>
  <c r="H39" i="201" s="1"/>
  <c r="H87" i="189" l="1"/>
  <c r="T89" i="189"/>
  <c r="F89" i="189" s="1"/>
  <c r="F32" i="193" s="1"/>
  <c r="W157" i="119"/>
  <c r="T132" i="119"/>
  <c r="T93" i="119"/>
  <c r="T95" i="119" s="1"/>
  <c r="V63" i="201"/>
  <c r="V64" i="201" s="1"/>
  <c r="V42" i="201"/>
  <c r="V44" i="201" s="1"/>
  <c r="H40" i="201"/>
  <c r="T81" i="119"/>
  <c r="T83" i="119" s="1"/>
  <c r="T131" i="119"/>
  <c r="T136" i="189"/>
  <c r="T138" i="189" s="1"/>
  <c r="T143" i="189" s="1"/>
  <c r="T144" i="189" s="1"/>
  <c r="T13" i="190" s="1"/>
  <c r="T92" i="189"/>
  <c r="T93" i="189" s="1"/>
  <c r="T125" i="189"/>
  <c r="U127" i="189" s="1"/>
  <c r="H88" i="189"/>
  <c r="G74" i="188" l="1"/>
  <c r="T133" i="119"/>
  <c r="T140" i="119" s="1"/>
  <c r="H136" i="189"/>
  <c r="H125" i="189"/>
  <c r="H92" i="189"/>
  <c r="V116" i="201"/>
  <c r="V80" i="201"/>
  <c r="V132" i="201"/>
  <c r="V135" i="201" s="1"/>
  <c r="V62" i="201"/>
  <c r="V50" i="201"/>
  <c r="V52" i="201" s="1"/>
  <c r="H44" i="201"/>
  <c r="H63" i="201"/>
  <c r="H42" i="201"/>
  <c r="T96" i="189"/>
  <c r="T98" i="189" s="1"/>
  <c r="H93" i="189"/>
  <c r="H96" i="189" s="1"/>
  <c r="T270" i="119"/>
  <c r="T231" i="119"/>
  <c r="T101" i="119"/>
  <c r="T125" i="119"/>
  <c r="U130" i="189"/>
  <c r="U131" i="189" s="1"/>
  <c r="H127" i="189"/>
  <c r="H130" i="189" s="1"/>
  <c r="V100" i="201"/>
  <c r="V101" i="201" s="1"/>
  <c r="F101" i="201" s="1"/>
  <c r="F30" i="193" s="1"/>
  <c r="V72" i="201"/>
  <c r="V67" i="201"/>
  <c r="V68" i="201" s="1"/>
  <c r="V73" i="201" s="1"/>
  <c r="V74" i="201" s="1"/>
  <c r="V77" i="201" s="1"/>
  <c r="V78" i="201" s="1"/>
  <c r="V81" i="201" s="1"/>
  <c r="T277" i="119"/>
  <c r="T253" i="119"/>
  <c r="T126" i="119"/>
  <c r="T113" i="119"/>
  <c r="V140" i="201" l="1"/>
  <c r="V141" i="201" s="1"/>
  <c r="H135" i="201"/>
  <c r="H140" i="201" s="1"/>
  <c r="U142" i="189"/>
  <c r="U144" i="189" s="1"/>
  <c r="U13" i="190" s="1"/>
  <c r="H131" i="189"/>
  <c r="H142" i="189" s="1"/>
  <c r="V55" i="201"/>
  <c r="H52" i="201"/>
  <c r="H55" i="201" s="1"/>
  <c r="T109" i="189"/>
  <c r="V111" i="189" s="1"/>
  <c r="H98" i="189"/>
  <c r="H109" i="189" s="1"/>
  <c r="T127" i="119"/>
  <c r="H132" i="201"/>
  <c r="H62" i="201"/>
  <c r="H116" i="201"/>
  <c r="H80" i="201"/>
  <c r="H50" i="201"/>
  <c r="V15" i="190" l="1"/>
  <c r="H141" i="201"/>
  <c r="H15" i="190" s="1"/>
  <c r="F7" i="202" s="1"/>
  <c r="T157" i="119"/>
  <c r="T139" i="119"/>
  <c r="T141" i="119" s="1"/>
  <c r="V39" i="189"/>
  <c r="V40" i="189" s="1"/>
  <c r="H111" i="189"/>
  <c r="H39" i="189" s="1"/>
  <c r="V42" i="189" l="1"/>
  <c r="V44" i="189" s="1"/>
  <c r="V63" i="189"/>
  <c r="V64" i="189" s="1"/>
  <c r="H40" i="189"/>
  <c r="T180" i="119"/>
  <c r="T181" i="119" s="1"/>
  <c r="T149" i="119"/>
  <c r="T144" i="119"/>
  <c r="T145" i="119" s="1"/>
  <c r="T150" i="119" s="1"/>
  <c r="T151" i="119" s="1"/>
  <c r="T154" i="119" s="1"/>
  <c r="T155" i="119" s="1"/>
  <c r="T158" i="119" s="1"/>
  <c r="T160" i="119" s="1"/>
  <c r="T164" i="119" l="1"/>
  <c r="H160" i="119"/>
  <c r="H63" i="189"/>
  <c r="H42" i="189"/>
  <c r="V103" i="189"/>
  <c r="V104" i="189" s="1"/>
  <c r="F104" i="189" s="1"/>
  <c r="F29" i="193" s="1"/>
  <c r="V67" i="189"/>
  <c r="V68" i="189" s="1"/>
  <c r="V73" i="189" s="1"/>
  <c r="V74" i="189" s="1"/>
  <c r="V77" i="189" s="1"/>
  <c r="V78" i="189" s="1"/>
  <c r="V81" i="189" s="1"/>
  <c r="V72" i="189"/>
  <c r="V135" i="189"/>
  <c r="V138" i="189" s="1"/>
  <c r="V62" i="189"/>
  <c r="V80" i="189"/>
  <c r="V119" i="189"/>
  <c r="V50" i="189"/>
  <c r="V52" i="189" s="1"/>
  <c r="H44" i="189"/>
  <c r="H135" i="189" l="1"/>
  <c r="H119" i="189"/>
  <c r="H62" i="189"/>
  <c r="H80" i="189"/>
  <c r="H50" i="189"/>
  <c r="V55" i="189"/>
  <c r="H52" i="189"/>
  <c r="H55" i="189" s="1"/>
  <c r="V143" i="189"/>
  <c r="V144" i="189" s="1"/>
  <c r="H138" i="189"/>
  <c r="H143" i="189" s="1"/>
  <c r="T165" i="119"/>
  <c r="T166" i="119"/>
  <c r="F166" i="119" s="1"/>
  <c r="H164" i="119"/>
  <c r="V13" i="190" l="1"/>
  <c r="H144" i="189"/>
  <c r="H13" i="190" s="1"/>
  <c r="F6" i="202" s="1"/>
  <c r="F31" i="193"/>
  <c r="G73" i="188"/>
  <c r="T169" i="119"/>
  <c r="T170" i="119" s="1"/>
  <c r="T247" i="119"/>
  <c r="T249" i="119" s="1"/>
  <c r="T225" i="119"/>
  <c r="T227" i="119" s="1"/>
  <c r="H165" i="119"/>
  <c r="T260" i="119" l="1"/>
  <c r="U262" i="119" s="1"/>
  <c r="T279" i="119"/>
  <c r="T281" i="119" s="1"/>
  <c r="T290" i="119" s="1"/>
  <c r="T291" i="119" s="1"/>
  <c r="T11" i="190" s="1"/>
  <c r="T173" i="119"/>
  <c r="T175" i="119" s="1"/>
  <c r="H170" i="119"/>
  <c r="H173" i="119" s="1"/>
  <c r="H169" i="119"/>
  <c r="H225" i="119"/>
  <c r="H247" i="119"/>
  <c r="T237" i="119"/>
  <c r="U239" i="119" s="1"/>
  <c r="T271" i="119"/>
  <c r="T273" i="119" s="1"/>
  <c r="T286" i="119" s="1"/>
  <c r="T287" i="119" s="1"/>
  <c r="T9" i="190" s="1"/>
  <c r="H227" i="119"/>
  <c r="U242" i="119" l="1"/>
  <c r="U243" i="119" s="1"/>
  <c r="H239" i="119"/>
  <c r="H242" i="119" s="1"/>
  <c r="T191" i="119"/>
  <c r="T193" i="119" s="1"/>
  <c r="T195" i="119"/>
  <c r="T197" i="119" s="1"/>
  <c r="H175" i="119"/>
  <c r="H237" i="119"/>
  <c r="H271" i="119"/>
  <c r="U265" i="119"/>
  <c r="U266" i="119" s="1"/>
  <c r="H262" i="119"/>
  <c r="H265" i="119" s="1"/>
  <c r="T211" i="119" l="1"/>
  <c r="V213" i="119" s="1"/>
  <c r="H197" i="119"/>
  <c r="H211" i="119" s="1"/>
  <c r="U289" i="119"/>
  <c r="U291" i="119" s="1"/>
  <c r="U11" i="190" s="1"/>
  <c r="H266" i="119"/>
  <c r="H289" i="119" s="1"/>
  <c r="H191" i="119"/>
  <c r="H195" i="119"/>
  <c r="T204" i="119"/>
  <c r="V206" i="119" s="1"/>
  <c r="H193" i="119"/>
  <c r="H204" i="119" s="1"/>
  <c r="U285" i="119"/>
  <c r="U287" i="119" s="1"/>
  <c r="U9" i="190" s="1"/>
  <c r="H243" i="119"/>
  <c r="H285" i="119" s="1"/>
  <c r="V78" i="119" l="1"/>
  <c r="V79" i="119" s="1"/>
  <c r="H206" i="119"/>
  <c r="H78" i="119" s="1"/>
  <c r="V90" i="119"/>
  <c r="V91" i="119" s="1"/>
  <c r="H213" i="119"/>
  <c r="H90" i="119" s="1"/>
  <c r="V132" i="119" l="1"/>
  <c r="V93" i="119"/>
  <c r="V95" i="119" s="1"/>
  <c r="H91" i="119"/>
  <c r="V131" i="119"/>
  <c r="V81" i="119"/>
  <c r="V83" i="119" s="1"/>
  <c r="H79" i="119"/>
  <c r="V133" i="119" l="1"/>
  <c r="V140" i="119" s="1"/>
  <c r="V141" i="119" s="1"/>
  <c r="H93" i="119"/>
  <c r="H132" i="119"/>
  <c r="H81" i="119"/>
  <c r="H131" i="119"/>
  <c r="V231" i="119"/>
  <c r="V270" i="119"/>
  <c r="V273" i="119" s="1"/>
  <c r="V125" i="119"/>
  <c r="V101" i="119"/>
  <c r="V103" i="119" s="1"/>
  <c r="H83" i="119"/>
  <c r="V277" i="119"/>
  <c r="V281" i="119" s="1"/>
  <c r="V253" i="119"/>
  <c r="V113" i="119"/>
  <c r="V115" i="119" s="1"/>
  <c r="V126" i="119"/>
  <c r="H95" i="119"/>
  <c r="H133" i="119" l="1"/>
  <c r="H140" i="119" s="1"/>
  <c r="H277" i="119"/>
  <c r="H253" i="119"/>
  <c r="H126" i="119"/>
  <c r="H113" i="119"/>
  <c r="V118" i="119"/>
  <c r="H115" i="119"/>
  <c r="H118" i="119" s="1"/>
  <c r="V106" i="119"/>
  <c r="H103" i="119"/>
  <c r="H106" i="119" s="1"/>
  <c r="V127" i="119"/>
  <c r="V286" i="119"/>
  <c r="V287" i="119" s="1"/>
  <c r="H273" i="119"/>
  <c r="H286" i="119" s="1"/>
  <c r="V290" i="119"/>
  <c r="V291" i="119" s="1"/>
  <c r="H281" i="119"/>
  <c r="H290" i="119" s="1"/>
  <c r="V180" i="119"/>
  <c r="V181" i="119" s="1"/>
  <c r="F181" i="119" s="1"/>
  <c r="F28" i="193" s="1"/>
  <c r="F24" i="193" s="1"/>
  <c r="V144" i="119"/>
  <c r="V145" i="119" s="1"/>
  <c r="V150" i="119" s="1"/>
  <c r="V151" i="119" s="1"/>
  <c r="V154" i="119" s="1"/>
  <c r="V155" i="119" s="1"/>
  <c r="V158" i="119" s="1"/>
  <c r="V149" i="119"/>
  <c r="H270" i="119"/>
  <c r="H231" i="119"/>
  <c r="H101" i="119"/>
  <c r="H125" i="119"/>
  <c r="F3" i="193" l="1"/>
  <c r="F3" i="190"/>
  <c r="F3" i="201"/>
  <c r="F3" i="189"/>
  <c r="F3" i="119"/>
  <c r="F3" i="186"/>
  <c r="F3" i="188"/>
  <c r="F3" i="187"/>
  <c r="V11" i="190"/>
  <c r="H291" i="119"/>
  <c r="H11" i="190" s="1"/>
  <c r="F4" i="202" s="1"/>
  <c r="V9" i="190"/>
  <c r="H287" i="119"/>
  <c r="H9" i="190" s="1"/>
  <c r="F5" i="202" s="1"/>
  <c r="V157" i="119"/>
  <c r="V139" i="119"/>
  <c r="H127" i="119"/>
  <c r="H139" i="119" l="1"/>
  <c r="H157" i="11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<sst xmlns="http://schemas.openxmlformats.org/spreadsheetml/2006/main" count="743" uniqueCount="460">
  <si>
    <t>FOUNTAIN_INSTANCE_URL</t>
  </si>
  <si>
    <t>FountainLive</t>
  </si>
  <si>
    <t>externalModelId</t>
  </si>
  <si>
    <t>EXTERNAL_MODEL_NAME</t>
  </si>
  <si>
    <t>PR24PD05_Revenue forecasting incentive_A</t>
  </si>
  <si>
    <t>EXTERNAL_MODEL_CODE</t>
  </si>
  <si>
    <t>EXTMDL_5810</t>
  </si>
  <si>
    <t>EXTERNAL_MODEL_FAMILY</t>
  </si>
  <si>
    <t>EXTERNAL</t>
  </si>
  <si>
    <t>companyId</t>
  </si>
  <si>
    <t>companyName</t>
  </si>
  <si>
    <t>Anglian Water Services</t>
  </si>
  <si>
    <t>F_Outputs_Report_ID</t>
  </si>
  <si>
    <t>F_Outputs_TEAM</t>
  </si>
  <si>
    <t>IPL</t>
  </si>
  <si>
    <t>F_Outputs_USER</t>
  </si>
  <si>
    <t>OFWAT\Nahila.Chowdhury</t>
  </si>
  <si>
    <t>F_Outputs_TITLE</t>
  </si>
  <si>
    <t>20240320-112357_PR24PD05_Revenue forecas_Fout</t>
  </si>
  <si>
    <t>outputRunId</t>
  </si>
  <si>
    <t>outputRunName</t>
  </si>
  <si>
    <t>Run 10 - PR24 DD Data - All Batches</t>
  </si>
  <si>
    <t>outputSheetLastSent</t>
  </si>
  <si>
    <t>24 Apr 2024 11:23:59</t>
  </si>
  <si>
    <t>Version number:</t>
  </si>
  <si>
    <t>Date:</t>
  </si>
  <si>
    <t xml:space="preserve">Below are details of changes to the model since the version published for consultation in February 2020. </t>
  </si>
  <si>
    <t>Inputs</t>
  </si>
  <si>
    <t>END OF SHEET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</si>
  <si>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</si>
  <si>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</si>
  <si>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</si>
  <si>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</si>
  <si>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</si>
  <si>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</si>
  <si>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</si>
  <si>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</si>
  <si>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</si>
  <si>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</si>
  <si>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</si>
  <si>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Orange</t>
  </si>
  <si>
    <t>To be used for internal purposes only, removed prior to publication</t>
  </si>
  <si>
    <t>COLOUR</t>
  </si>
  <si>
    <t>Font colour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</si>
  <si>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</si>
  <si>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</si>
  <si>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</si>
  <si>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</si>
  <si>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</si>
  <si>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</si>
  <si>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</si>
  <si>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</si>
  <si>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</si>
  <si>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</si>
  <si>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</si>
  <si>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</si>
  <si>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</si>
  <si>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</si>
  <si>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</si>
  <si>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</si>
  <si>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</si>
  <si>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</si>
  <si>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</si>
  <si>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</si>
  <si>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</si>
  <si>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</si>
  <si>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</si>
  <si>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</si>
  <si>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</si>
  <si>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</si>
  <si>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</si>
  <si>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</si>
  <si>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</si>
  <si>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</si>
  <si>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</si>
  <si>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</si>
  <si>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</si>
  <si>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£m</t>
  </si>
  <si>
    <t>Great Britain Pound in millions</t>
  </si>
  <si>
    <t>CALC</t>
  </si>
  <si>
    <t>Calculation</t>
  </si>
  <si>
    <t>m</t>
  </si>
  <si>
    <t>Million</t>
  </si>
  <si>
    <t>na</t>
  </si>
  <si>
    <t>Not available / applicable</t>
  </si>
  <si>
    <t>#</t>
  </si>
  <si>
    <t>Number</t>
  </si>
  <si>
    <t>POS</t>
  </si>
  <si>
    <t>Positive</t>
  </si>
  <si>
    <t>WaSC</t>
  </si>
  <si>
    <t>Water and Sewerage company</t>
  </si>
  <si>
    <t>WoC</t>
  </si>
  <si>
    <t>Water only company</t>
  </si>
  <si>
    <t>W</t>
  </si>
  <si>
    <t>Water</t>
  </si>
  <si>
    <t>WW</t>
  </si>
  <si>
    <t>Waste water</t>
  </si>
  <si>
    <t>COVER SHEETS</t>
  </si>
  <si>
    <t>INPUTS</t>
  </si>
  <si>
    <t>CALCULATIONS</t>
  </si>
  <si>
    <t>OUTPUTS</t>
  </si>
  <si>
    <t>DOCUMENTATION AND QUALITY CONTROL</t>
  </si>
  <si>
    <t>Documentation</t>
  </si>
  <si>
    <t>Quality Control</t>
  </si>
  <si>
    <t>Front cover</t>
  </si>
  <si>
    <t>All inputs are taken from this sheet.</t>
  </si>
  <si>
    <t>The model timeline and flag calculations are done in this sheet.</t>
  </si>
  <si>
    <t>All outputs are brought to this sheet.</t>
  </si>
  <si>
    <t>Key</t>
  </si>
  <si>
    <t>Model error checks</t>
  </si>
  <si>
    <t>All the indexation related and K Factor calculations are done in this sheet.</t>
  </si>
  <si>
    <t>Model contents</t>
  </si>
  <si>
    <t>All the 'Wholesale Water' related calculations are done in this sheet.</t>
  </si>
  <si>
    <t>All the 'Wholesale Wastewater' related calculations are done in this sheet.</t>
  </si>
  <si>
    <t>`</t>
  </si>
  <si>
    <t>All the 'Thames Tideway Control' related calculations are done in this sheet.</t>
  </si>
  <si>
    <t>Constant</t>
  </si>
  <si>
    <t>Unit</t>
  </si>
  <si>
    <t>Total</t>
  </si>
  <si>
    <t>A: TIME</t>
  </si>
  <si>
    <t>Timeline setup</t>
  </si>
  <si>
    <t>Timeline start dates</t>
  </si>
  <si>
    <t>1st model column start date</t>
  </si>
  <si>
    <t>date</t>
  </si>
  <si>
    <t>Date should be the first date of the financial year</t>
  </si>
  <si>
    <t>Financial year inputs</t>
  </si>
  <si>
    <t>First modelling column financial year#</t>
  </si>
  <si>
    <t>year #</t>
  </si>
  <si>
    <t>Financial model start year</t>
  </si>
  <si>
    <t>Financial year end month number</t>
  </si>
  <si>
    <t>month #</t>
  </si>
  <si>
    <t>Month of financial year end for financial model</t>
  </si>
  <si>
    <t>Timeline labels</t>
  </si>
  <si>
    <t>Pre - forecast period</t>
  </si>
  <si>
    <t>Pre-Fcst</t>
  </si>
  <si>
    <t>label</t>
  </si>
  <si>
    <t>Forecast period</t>
  </si>
  <si>
    <t>Forecast</t>
  </si>
  <si>
    <t>Post - forecast period</t>
  </si>
  <si>
    <t>Post-Fcst</t>
  </si>
  <si>
    <t>Project dates</t>
  </si>
  <si>
    <t>Forecast start date</t>
  </si>
  <si>
    <t>Forecast duration</t>
  </si>
  <si>
    <t>years #</t>
  </si>
  <si>
    <t>Forecast duration (text)</t>
  </si>
  <si>
    <t>2020-25</t>
  </si>
  <si>
    <t>For Info only</t>
  </si>
  <si>
    <t>B: INDEXATION</t>
  </si>
  <si>
    <t>2017/18 indexation modelling column financial year#</t>
  </si>
  <si>
    <t>CPIH (all changes are from November to November)</t>
  </si>
  <si>
    <t>CPIH Index Nov - actual</t>
  </si>
  <si>
    <t>index</t>
  </si>
  <si>
    <t>CPIH: Forecast Annual Increase</t>
  </si>
  <si>
    <t>%</t>
  </si>
  <si>
    <t xml:space="preserve">CPIH Index Nov </t>
  </si>
  <si>
    <t>CPIH Index Nov (prior year)</t>
  </si>
  <si>
    <t>CPIH Index (base year 2017/18)</t>
  </si>
  <si>
    <t>C: MODEL PARAMETERS</t>
  </si>
  <si>
    <t>Company Name</t>
  </si>
  <si>
    <t>name</t>
  </si>
  <si>
    <t>Company Type</t>
  </si>
  <si>
    <t>D: GENERAL PARAMETERS</t>
  </si>
  <si>
    <t>RFI Parameters</t>
  </si>
  <si>
    <t>Penalty rate scaling</t>
  </si>
  <si>
    <t>Minimum threshold</t>
  </si>
  <si>
    <t>Maximum threshold</t>
  </si>
  <si>
    <t>Penalty level</t>
  </si>
  <si>
    <t>Discount rate</t>
  </si>
  <si>
    <t>Threshold for additional variance analyses</t>
  </si>
  <si>
    <t>Timing delay</t>
  </si>
  <si>
    <t>years</t>
  </si>
  <si>
    <t>Penalty waiver or adjustment</t>
  </si>
  <si>
    <t>Help cell -&gt;</t>
  </si>
  <si>
    <t>Partial waiver</t>
  </si>
  <si>
    <t xml:space="preserve">Type of waiver / adjustment (Wholesale Water) </t>
  </si>
  <si>
    <t>No waiver</t>
  </si>
  <si>
    <t>Type of waiver / adjustment (Wastewater Network-Plus)</t>
  </si>
  <si>
    <t>Error checks</t>
  </si>
  <si>
    <t>E: WATER RESOURCES (Water Res)</t>
  </si>
  <si>
    <t>Revenue</t>
  </si>
  <si>
    <t>Allowed revenue - Water Res (base year 2019/2020)</t>
  </si>
  <si>
    <t>Bilateral entry adjustment (BEA) (base year 2017/18)</t>
  </si>
  <si>
    <t>Revised K - Water Res</t>
  </si>
  <si>
    <t xml:space="preserve">Actual Revenue - Water Res </t>
  </si>
  <si>
    <t>Blind year adjustment</t>
  </si>
  <si>
    <t>Total blind year adjustment - Water Res (base year 2019/2020)</t>
  </si>
  <si>
    <t>Blind year profiling factor - Water Res</t>
  </si>
  <si>
    <t>Blind year profiling factor - Water Res - Validation</t>
  </si>
  <si>
    <t>Check</t>
  </si>
  <si>
    <t>F: WATER NETWORK-PLUS (Water-N+)</t>
  </si>
  <si>
    <t>Allowed revenue - Water-N+ (base year 2019/2020)</t>
  </si>
  <si>
    <t>Revised K - Water-N+</t>
  </si>
  <si>
    <t xml:space="preserve">Actual Revenue - Water-N+ </t>
  </si>
  <si>
    <r>
      <t>Proportion of penalty allocated to Water-N+ (</t>
    </r>
    <r>
      <rPr>
        <b/>
        <sz val="10"/>
        <color rgb="FF002060"/>
        <rFont val="Franklin Gothic Book"/>
        <family val="2"/>
      </rPr>
      <t>PS</t>
    </r>
    <r>
      <rPr>
        <sz val="10"/>
        <color rgb="FF000000"/>
        <rFont val="Arial"/>
        <family val="2"/>
      </rPr>
      <t>)</t>
    </r>
  </si>
  <si>
    <t>Total blind year adjustment - Water-N+ (base year 2019/2020)</t>
  </si>
  <si>
    <t>Blind year profiling factor - Water-N+</t>
  </si>
  <si>
    <t>Blind year profiling factor - Water-N+ - Validation</t>
  </si>
  <si>
    <t>G: WASTEWATER NETWORK-PLUS (WW-N+)</t>
  </si>
  <si>
    <t>Allowed revenue - WW-N+ (base year 2019/2020)</t>
  </si>
  <si>
    <t>Revised K - WW-N+</t>
  </si>
  <si>
    <t xml:space="preserve">Actual Revenue  - WW-N+ </t>
  </si>
  <si>
    <t>Total blind year adjustment - WW-N+ (base year 2019/2020)</t>
  </si>
  <si>
    <t xml:space="preserve">Blind year profiling factor - WW-N+ </t>
  </si>
  <si>
    <t>Blind year profiling factor - WW-N+ - Validation</t>
  </si>
  <si>
    <t>H: WASTEWATER THAMES TIDEWAY TUNNEL (WW-TTT)</t>
  </si>
  <si>
    <t>Allowed revenue - WW-TTT (base year 2019/2020)</t>
  </si>
  <si>
    <t>Revised K - WW-TTT</t>
  </si>
  <si>
    <t xml:space="preserve">Actual Revenue  - WW-TTT </t>
  </si>
  <si>
    <t>Total blind year adjustment - WW-TTT (base year 2019/2020)</t>
  </si>
  <si>
    <t xml:space="preserve">Blind year profiling factor - WW-TTT </t>
  </si>
  <si>
    <t>Blind year profiling factor - WW-TTT - Validation</t>
  </si>
  <si>
    <t>I: NON CHANGEABLE MODEL TECHNICAL INPUTS</t>
  </si>
  <si>
    <t>Months per model period</t>
  </si>
  <si>
    <t>months</t>
  </si>
  <si>
    <t>Unit conversion to percentage</t>
  </si>
  <si>
    <t>Model Tolerance</t>
  </si>
  <si>
    <t>Model Check Tolerance Level</t>
  </si>
  <si>
    <t>tolerance</t>
  </si>
  <si>
    <t>Model Track Tolerance Level</t>
  </si>
  <si>
    <t>End of sheet</t>
  </si>
  <si>
    <t>MODEL PERIOD</t>
  </si>
  <si>
    <t xml:space="preserve">Model column counter </t>
  </si>
  <si>
    <t>Model column counter</t>
  </si>
  <si>
    <t>counter</t>
  </si>
  <si>
    <t>Model column total</t>
  </si>
  <si>
    <t>columns</t>
  </si>
  <si>
    <t>1st model column flag</t>
  </si>
  <si>
    <t>flag</t>
  </si>
  <si>
    <t>Model period beginning</t>
  </si>
  <si>
    <t>Model period ending</t>
  </si>
  <si>
    <t>2017/18 indexation start period flag</t>
  </si>
  <si>
    <t>2017/18 indexation period flag</t>
  </si>
  <si>
    <t>FORECAST PERIOD</t>
  </si>
  <si>
    <t>Forecast start period flag</t>
  </si>
  <si>
    <t>Forecast end period flag</t>
  </si>
  <si>
    <t>Forecast end date</t>
  </si>
  <si>
    <t>Forecast period flag</t>
  </si>
  <si>
    <t xml:space="preserve">Total number of forecast periods </t>
  </si>
  <si>
    <t>periods</t>
  </si>
  <si>
    <t>Forecast period counter</t>
  </si>
  <si>
    <t>Pre-forecast period flag</t>
  </si>
  <si>
    <t>Pre-forecast period flag - total</t>
  </si>
  <si>
    <t>Last pre-forecast period flag</t>
  </si>
  <si>
    <t>First post-forecast period flag</t>
  </si>
  <si>
    <t>Post-forecast period flag</t>
  </si>
  <si>
    <t>Post-forecast period - total</t>
  </si>
  <si>
    <t>Model period flag</t>
  </si>
  <si>
    <t>Forecast year</t>
  </si>
  <si>
    <t>Forecast year 1</t>
  </si>
  <si>
    <t>MODEL TIMELINE</t>
  </si>
  <si>
    <t>Timeline label</t>
  </si>
  <si>
    <t>Timeline label counter</t>
  </si>
  <si>
    <t>Modelling period check</t>
  </si>
  <si>
    <t>No. of overlapping in flags</t>
  </si>
  <si>
    <t>Overlapping in periods - total</t>
  </si>
  <si>
    <t>check</t>
  </si>
  <si>
    <t>FINANCIAL YEAR</t>
  </si>
  <si>
    <t>Financial year ending</t>
  </si>
  <si>
    <t>CPIH INDEXATION</t>
  </si>
  <si>
    <t>CPIH: Nov % increase</t>
  </si>
  <si>
    <t>CPIH: Nov % increase (prior year) - CALC</t>
  </si>
  <si>
    <t>CPIH: Nov - Nov index inflating from 2019/20</t>
  </si>
  <si>
    <t xml:space="preserve">CPIH Nov 2019/20 </t>
  </si>
  <si>
    <t>Index</t>
  </si>
  <si>
    <t>CPIH Forecast period base inflation</t>
  </si>
  <si>
    <t>CPIH: Nov - Nov index (prior year) inflating from 2019/20</t>
  </si>
  <si>
    <t>CPIH: Nov - Nov index inflating from 2017/18</t>
  </si>
  <si>
    <t>CPIH: Nov - Nov index (prior year) inflating from 2017/18</t>
  </si>
  <si>
    <t>Revenue indexation</t>
  </si>
  <si>
    <t>Actual CPIH: Nov - Nov increase from base year</t>
  </si>
  <si>
    <t>K FACTORS</t>
  </si>
  <si>
    <t>Water Resources</t>
  </si>
  <si>
    <t>K - Water Res percentage</t>
  </si>
  <si>
    <t>Revenue indexation - Water Res</t>
  </si>
  <si>
    <t>factor</t>
  </si>
  <si>
    <t>Water Network-Plus</t>
  </si>
  <si>
    <t>K - Water-N+ percentage</t>
  </si>
  <si>
    <t>Revenue indexation - Water-N+</t>
  </si>
  <si>
    <t>Wastewater Network-Plus</t>
  </si>
  <si>
    <t>K - WW-N+ percentage</t>
  </si>
  <si>
    <t>Revenue indexation - WW-N+</t>
  </si>
  <si>
    <t>Wastewater TTT</t>
  </si>
  <si>
    <t>K - WW-TTT percentage</t>
  </si>
  <si>
    <t>Revenue indexation - WW-TTT</t>
  </si>
  <si>
    <t>ALLOWED REVENUE</t>
  </si>
  <si>
    <t>Allowed Revenue: Water Resources</t>
  </si>
  <si>
    <t xml:space="preserve">Allowed revenue - Water Res </t>
  </si>
  <si>
    <t>Allowed Revenue: Water-N+</t>
  </si>
  <si>
    <t xml:space="preserve">Allowed revenue - Water-N+ </t>
  </si>
  <si>
    <t>BILATERAL ENTRY ADJUSTMENT</t>
  </si>
  <si>
    <t>Bilateral entry adjustment - with financing adjustment</t>
  </si>
  <si>
    <t>Bilateral entry adjustment - with financing adjustment and inflation adjustment</t>
  </si>
  <si>
    <t>Bilateral entry adjustment - as incurred</t>
  </si>
  <si>
    <t>BLIND YEAR ADJUSTMENT</t>
  </si>
  <si>
    <t>Blind year adjustment - Water-N+</t>
  </si>
  <si>
    <t>Blind year adjustment (profiled) - Water-N+ (base year 2019/20)</t>
  </si>
  <si>
    <t>Blind year adjustment inc. financing rate adjustment - Water-N+ (base year 2019/2020)</t>
  </si>
  <si>
    <t xml:space="preserve">Blind year adjustment inc. financing rate adjustment and inflation adjustment (BYA) - Water-N+ </t>
  </si>
  <si>
    <t>Blind year adjustment - Water Resources</t>
  </si>
  <si>
    <t>Blind year adjustment (profiled) - Water Res (base year 2019/20)</t>
  </si>
  <si>
    <t>Blind year adjustment inc. financing rate adjustment - Water Res (base year 2019/2020)</t>
  </si>
  <si>
    <t xml:space="preserve">Blind year adjustment inc. financing rate adjustment and inflation adjustment (BYA) - Water Res </t>
  </si>
  <si>
    <t>REVENUE CORRECTION</t>
  </si>
  <si>
    <t>Main revenue over / under recovery: Water-N+ (Including profiled Blind year adjustment)</t>
  </si>
  <si>
    <t>Adjusted allowed revenue - Water-N+</t>
  </si>
  <si>
    <t>less</t>
  </si>
  <si>
    <t>Revenue Imbalance - Water-N+</t>
  </si>
  <si>
    <t>Main revenue over / under recovery: Water resources</t>
  </si>
  <si>
    <t>Adjusted allowed revenue - Water Res</t>
  </si>
  <si>
    <t>Revenue Imbalance - Water Res</t>
  </si>
  <si>
    <t>Main revenue adjustment Water-N+</t>
  </si>
  <si>
    <t>Main revenue adjustment - with financing adjustment - Water-N+</t>
  </si>
  <si>
    <t>Main revenue adjustment - with financing adjustment &amp; 2 year lag of inflation - Water-N+</t>
  </si>
  <si>
    <t>Main revenue adjustment Water Res</t>
  </si>
  <si>
    <t>Main revenue adjustment - with financing adjustment - Water Res</t>
  </si>
  <si>
    <t>Main revenue adjustment - with financing adjustment &amp; 2 year lag of inflation - Water Res</t>
  </si>
  <si>
    <t>WHOLESALE WATER CALCULATIONS</t>
  </si>
  <si>
    <t>Total revenue imbalance (Water-N+ and Water Res)</t>
  </si>
  <si>
    <t xml:space="preserve">Revenue Imbalance - Wholesale Water </t>
  </si>
  <si>
    <t>Total adjusted allowed revenue - Wholesale Water</t>
  </si>
  <si>
    <t>Adjusted allowed revenue - Wholesale Water</t>
  </si>
  <si>
    <t>PENALTY CALCULATION</t>
  </si>
  <si>
    <t>Penalty calculation</t>
  </si>
  <si>
    <t>Forecast error - Wholesale Water</t>
  </si>
  <si>
    <t>Penalty applicable - Wholesale Water</t>
  </si>
  <si>
    <t>Error magnitude - Wholesale Water</t>
  </si>
  <si>
    <t>Penalty rate (PR) - Wholesale Water</t>
  </si>
  <si>
    <t>Penalty adjustment - Wholesale Water POS</t>
  </si>
  <si>
    <t>Waiver type</t>
  </si>
  <si>
    <t>Penalty adjustment - Wholesale Water</t>
  </si>
  <si>
    <t>Penalty adjustment does not exceed penalty amount (Wholesale Water)</t>
  </si>
  <si>
    <t>alert</t>
  </si>
  <si>
    <t>Penalty adjustment - with financing adjustment - Wholesale Water</t>
  </si>
  <si>
    <t>Penalty adjustment - with financing adjustment &amp; 2 year lag of inflation - Wholesale Water</t>
  </si>
  <si>
    <t>Performance variance level check</t>
  </si>
  <si>
    <t>Performance variance level alert - Wholesale Water</t>
  </si>
  <si>
    <t>ALLOCATION OF PENALTY CALCULATION</t>
  </si>
  <si>
    <t>Allocation of the penalty adjustment to Water-N+ and Water Res controls</t>
  </si>
  <si>
    <t>Proportion of penalty allocated to Water Res</t>
  </si>
  <si>
    <t>Penalty adjustment - with financing adjustment &amp; 2 year lag of inflation - Water-N+</t>
  </si>
  <si>
    <t>Penalty adjustment - with financing adjustment &amp; 2 year lag of inflation - Water Res</t>
  </si>
  <si>
    <t>RFI CALCULATION</t>
  </si>
  <si>
    <t>AMP7 forecasting incentive adjustment including over / under recovery true up - Water-N+</t>
  </si>
  <si>
    <t>RFI - Water-N+</t>
  </si>
  <si>
    <t>2 PD LK BCK</t>
  </si>
  <si>
    <t>AMP7 forecasting incentive adjustment including over / under recovery true up - Water Res</t>
  </si>
  <si>
    <t>RFI - Water Res</t>
  </si>
  <si>
    <t>APPLICATION OF ADJUSTMENTS IN LAST TWO YEARS AT THE END OF AMP7</t>
  </si>
  <si>
    <t>BEA calculation for adjustments</t>
  </si>
  <si>
    <t>Bilateral entry adjustment (BEA)</t>
  </si>
  <si>
    <t>Year 4 - One year of CPIH and financing costs adjustments applied - Water-N+</t>
  </si>
  <si>
    <t>Penalty adjustment - Water-N+</t>
  </si>
  <si>
    <t>Value of year 4 main revenue adjustment at the end of AMP7 - Water-N+</t>
  </si>
  <si>
    <t>Value of year 4 penalty adjustment at the end of AMP7 - Water-N+</t>
  </si>
  <si>
    <t>Value of year 4 RFI adjustments at the end of AMP7 - Water-N+</t>
  </si>
  <si>
    <t>Year 4 - One year of CPIH and financing costs adjustments applied - Water Res</t>
  </si>
  <si>
    <t>Penalty adjustment - Water Res</t>
  </si>
  <si>
    <t>Value of year 4 main revenue and BEA adjustment at the end of AMP7 - Water Res</t>
  </si>
  <si>
    <t>Value of year 4 penalty adjustment at the end of AMP7 - Water Res</t>
  </si>
  <si>
    <t>Value of year 4 RFI adjustments at the end of AMP7 - Water Res</t>
  </si>
  <si>
    <t>Year 5 - No CPIH and financing costs adjustments applied - Water-N+</t>
  </si>
  <si>
    <t>Value of year 5 RFI adjustments at the end of AMP7 - Water-N+</t>
  </si>
  <si>
    <t>Year 5 - No CPIH and financing costs adjustments applied - Water Res</t>
  </si>
  <si>
    <t>Value of year 5 RFI adjustments at the end of AMP7 - Water Res</t>
  </si>
  <si>
    <t>Total adjustments at the end of AMP7</t>
  </si>
  <si>
    <t>Total adjustment at the end of AMP7 - Water-N+</t>
  </si>
  <si>
    <t>Total adjustment at the end of AMP7 - Water Res</t>
  </si>
  <si>
    <t>Allowed Revenue: Wastewater Network-plus</t>
  </si>
  <si>
    <t>Blind year adjustment (profiled) - WW-N+ (base year 2019/20)</t>
  </si>
  <si>
    <t>Blind year adjustment inc. financing rate adjustment - WW-N+ (base year 2019/2020)</t>
  </si>
  <si>
    <r>
      <t xml:space="preserve">Blind year adjustment inc. financing rate and inflation adjustment </t>
    </r>
    <r>
      <rPr>
        <b/>
        <sz val="10"/>
        <color rgb="FF000000"/>
        <rFont val="Arial"/>
        <family val="2"/>
      </rPr>
      <t>(BYA)</t>
    </r>
    <r>
      <rPr>
        <sz val="10"/>
        <color rgb="FF000000"/>
        <rFont val="Arial"/>
        <family val="2"/>
      </rPr>
      <t xml:space="preserve"> - WW-N+</t>
    </r>
  </si>
  <si>
    <t>Main revenue over / under recovery</t>
  </si>
  <si>
    <t>Adjusted allowed revenue - WW-N+</t>
  </si>
  <si>
    <t xml:space="preserve">Revenue Imbalance  - WW-N+ </t>
  </si>
  <si>
    <t>Main revenue adjustment</t>
  </si>
  <si>
    <t>Main revenue adjustment - with financing adjustment - WW-N+</t>
  </si>
  <si>
    <t>Main revenue adjustment - with financing adjustment &amp; 2 year lag of inflation - WW-N+</t>
  </si>
  <si>
    <t>Forecast error - WW-N+</t>
  </si>
  <si>
    <t>Penalty applicable - WW-N+</t>
  </si>
  <si>
    <t>Error magnitude - WW-N+</t>
  </si>
  <si>
    <t>Penalty rate (PR) - WW-N+</t>
  </si>
  <si>
    <t>Penalty adjustment - WW-N+ POS</t>
  </si>
  <si>
    <t>Penalty adjustment - WW-N+</t>
  </si>
  <si>
    <t>Penalty adjustment does not exceed penalty amount (Wastewater Network-Plus)</t>
  </si>
  <si>
    <t>Penalty adjustment - with financing adjustment - WW-N+</t>
  </si>
  <si>
    <t>Penalty adjustment - with financing adjustment &amp; 2 year lag of inflation - WW-N+</t>
  </si>
  <si>
    <t>Performance variance level alert - WW-N+</t>
  </si>
  <si>
    <t>RFI - WW-N+</t>
  </si>
  <si>
    <t>Year 4 - One year of CPIH and financing costs adjustments applied</t>
  </si>
  <si>
    <t>Value of year 4 main revenue adjustment at the end of AMP7 - WW-N+</t>
  </si>
  <si>
    <t>Value of year 4 penalty adjustment at the end of AMP7 - WW-N+</t>
  </si>
  <si>
    <t>Value of year 4 RFI adjustments at the end of AMP7 - WW-N+</t>
  </si>
  <si>
    <t>Year 5 - No CPIH and financing costs adjustments applied</t>
  </si>
  <si>
    <t>Value of year 5 RFI adjustments at the end of AMP7 - WW-N+</t>
  </si>
  <si>
    <t>Total adjustment at the end of AMP7 - WW-N+</t>
  </si>
  <si>
    <t>Allowed Revenue: Wastewater TTT</t>
  </si>
  <si>
    <t>Blind year adjustment (profiled) - WW-TTT (base year 2019/20)</t>
  </si>
  <si>
    <t>Blind year adjustment inc. financing rate adjustment - WW-TTT (base year 2019/2020)</t>
  </si>
  <si>
    <r>
      <t xml:space="preserve">Blind year adjustment inc. financing rate and inflation adjustment </t>
    </r>
    <r>
      <rPr>
        <b/>
        <sz val="10"/>
        <color rgb="FF000000"/>
        <rFont val="Arial"/>
        <family val="2"/>
      </rPr>
      <t>(BYA)</t>
    </r>
    <r>
      <rPr>
        <sz val="10"/>
        <color rgb="FF000000"/>
        <rFont val="Arial"/>
        <family val="2"/>
      </rPr>
      <t xml:space="preserve"> - WW-TTT</t>
    </r>
  </si>
  <si>
    <t>Adjusted allowed revenue - WW-TTT</t>
  </si>
  <si>
    <t>Revenue Imbalance  - WW-TTT</t>
  </si>
  <si>
    <t>Main revenue adjustment - with financing adjustment - WW-TTT</t>
  </si>
  <si>
    <t>Main revenue adjustment - with financing adjustment &amp; 2 year lag of inflation - WW-TTT</t>
  </si>
  <si>
    <t>Forecast error - WW-TTT</t>
  </si>
  <si>
    <t>Penalty applicable - WW-TTT</t>
  </si>
  <si>
    <t>Error magnitude - WW-TTT</t>
  </si>
  <si>
    <t>Penalty rate (PR) - WW-TTT</t>
  </si>
  <si>
    <t>Penalty adjustment - WW-TTT POS</t>
  </si>
  <si>
    <t>Penalty adjustment - WW-TTT</t>
  </si>
  <si>
    <t>Penalty adjustment - with financing adjustment - WW-TTT</t>
  </si>
  <si>
    <t>Penalty adjustment - with financing adjustment &amp; 2 year lag of inflation - WW-TTT</t>
  </si>
  <si>
    <t>Performance variance level alert - WW-TTT</t>
  </si>
  <si>
    <t>RFI - WW-TTT</t>
  </si>
  <si>
    <t>Value of year 4 main revenue adjustment at the end of AMP7 - WW-TTT</t>
  </si>
  <si>
    <t>Value of year 4 penalty adjustment at the end of AMP7 - WW-TTT</t>
  </si>
  <si>
    <t>Value of year 4 RFI adjustments at the end of AMP7 - WW-TTT</t>
  </si>
  <si>
    <t>Value of year 5 RFI adjustments at the end of AMP7 - WW-TTT</t>
  </si>
  <si>
    <t>Total adjustment at the end of AMP7 - WW-TTT</t>
  </si>
  <si>
    <t>RFI ADJUSTMENT AT THE END OF AMP7</t>
  </si>
  <si>
    <t>PR24PD05_OUT</t>
  </si>
  <si>
    <t>Acronym</t>
  </si>
  <si>
    <t>Reference</t>
  </si>
  <si>
    <t>Item description</t>
  </si>
  <si>
    <t>Model</t>
  </si>
  <si>
    <t>2024-25</t>
  </si>
  <si>
    <t>C_PR24PD05_PD12_16WR_PR24</t>
  </si>
  <si>
    <t xml:space="preserve">PR19 RFI revenue adjustment in 2024-25 prior November (CPIH deflated) prices (WR) </t>
  </si>
  <si>
    <t>Price Review 2024</t>
  </si>
  <si>
    <t>C_PR24PD05_PD12_16WN_PR24</t>
  </si>
  <si>
    <t xml:space="preserve">PR19 RFI revenue adjustment in 2024-25 prior November (CPIH deflated) prices (WN) </t>
  </si>
  <si>
    <t>C_PR24PD05_PD12_16WWN_PR24</t>
  </si>
  <si>
    <t xml:space="preserve">PR19 RFI revenue adjustment in 2024-25 prior November (CPIH deflated) prices (WWN) </t>
  </si>
  <si>
    <t>C_PR24PD05_PD12_16ADDN1_PR24</t>
  </si>
  <si>
    <t xml:space="preserve">PR19 RFI revenue adjustment in 2024-25 prior November (CPIH deflated) prices (ADDN1) </t>
  </si>
  <si>
    <t>PR24QA_PR24PD05_OUT1</t>
  </si>
  <si>
    <t>Date &amp; Time for Model - PR24PD05</t>
  </si>
  <si>
    <t>Text</t>
  </si>
  <si>
    <t>PR24QA_PR24PD05_OUT2</t>
  </si>
  <si>
    <t>Name of Model - PR24PD05</t>
  </si>
  <si>
    <t>PR24QA_PR24PD05_OUT3</t>
  </si>
  <si>
    <t>F_Inputs time stamp - PR24PD05</t>
  </si>
  <si>
    <t>PR24QA_PR24PD05_OUT4</t>
  </si>
  <si>
    <t>Model override switch for - PR24PD05</t>
  </si>
  <si>
    <t>nr</t>
  </si>
  <si>
    <t>CHECK SUMMARY</t>
  </si>
  <si>
    <t>Total Checks</t>
  </si>
  <si>
    <t>Checks</t>
  </si>
  <si>
    <t>[do not delete this row]</t>
  </si>
  <si>
    <t>[range start]</t>
  </si>
  <si>
    <t>[range ends]</t>
  </si>
  <si>
    <t>Alert Summary</t>
  </si>
  <si>
    <t>Total Alerts</t>
  </si>
  <si>
    <t>Alerts</t>
  </si>
  <si>
    <t>Dwr Cymru</t>
  </si>
  <si>
    <t>PR24 Revenue Forecasting Incentive model</t>
  </si>
  <si>
    <t>Model code</t>
  </si>
  <si>
    <t>PR24PD05</t>
  </si>
  <si>
    <t>File name:</t>
  </si>
  <si>
    <t>For enquiries please contact:</t>
  </si>
  <si>
    <t>PR24@ofwat.gov.uk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</si>
</sst>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(* #,##0_);_(* \(#,##0\);_(* &quot;-&quot;_);_(@_)"/>
    <numFmt numFmtId="165" formatCode="_(&quot;£&quot;* #,##0_);_(&quot;£&quot;* \(#,##0\);_(&quot;£&quot;* &quot;-&quot;_);_(@_)"/>
    <numFmt numFmtId="166" formatCode="_(&quot;£&quot;* #,##0.00_);_(&quot;£&quot;* \(#,##0.00\);_(&quot;£&quot;* &quot;-&quot;??_);_(@_)"/>
    <numFmt numFmtId="167" formatCode="#,##0_);\(#,##0\);&quot;-  &quot;;&quot; &quot;@&quot; &quot;"/>
    <numFmt numFmtId="168" formatCode="#,##0.0000_);\(#,##0.0000\);&quot;-  &quot;;&quot; &quot;@&quot; &quot;"/>
    <numFmt numFmtId="169" formatCode="0.00%_);\-0.00%_);&quot;-  &quot;;&quot; &quot;@&quot; &quot;"/>
    <numFmt numFmtId="170" formatCode="#,##0_);\(#,##0\);&quot;-  &quot;;&quot; &quot;@"/>
    <numFmt numFmtId="171" formatCode="#,##0.0_);\(#,##0.0\);&quot;-  &quot;;&quot; &quot;@&quot; &quot;"/>
    <numFmt numFmtId="172" formatCode="###0_);\(#,##0\);&quot;-  &quot;;&quot; &quot;@"/>
    <numFmt numFmtId="173" formatCode="#,##0.0_);\(#,##0.0\);&quot;-  &quot;;&quot; &quot;@"/>
    <numFmt numFmtId="174" formatCode="#,##0.000_);\(#,##0.000\);&quot;-  &quot;;&quot; &quot;@&quot; &quot;"/>
    <numFmt numFmtId="175" formatCode="###0_);\(###0\);&quot;-  &quot;;&quot; &quot;@&quot; &quot;"/>
    <numFmt numFmtId="176" formatCode="dd\ mmm\ yyyy_);\(###0\);&quot;-  &quot;;&quot; &quot;@&quot; &quot;"/>
    <numFmt numFmtId="177" formatCode="dd\ mmm\ yy_);\(###0\);&quot;-  &quot;;&quot; &quot;@&quot; &quot;"/>
    <numFmt numFmtId="178" formatCode="#,##0.00_);\(#,##0.00\);&quot;-  &quot;;&quot; &quot;@&quot; &quot;"/>
    <numFmt numFmtId="179" formatCode="###0.00_);\(###0.00\);&quot;-  &quot;;&quot; &quot;@&quot; &quot;"/>
    <numFmt numFmtId="180" formatCode="#,##0.00_);\(#,##0.00\);&quot;-  &quot;;&quot; &quot;@"/>
    <numFmt numFmtId="181" formatCode="0.0%_);\-0.0%_);&quot;-  &quot;;&quot; &quot;@&quot; &quot;"/>
    <numFmt numFmtId="182" formatCode="0%_);\-0%_);&quot;-  &quot;;&quot; &quot;@&quot; &quot;"/>
    <numFmt numFmtId="183" formatCode="dd\ mmm\ yy_);;&quot;-  &quot;;&quot; &quot;@&quot; &quot;"/>
    <numFmt numFmtId="184" formatCode="0.0"/>
    <numFmt numFmtId="185" formatCode="_(* #,##0.00_);_(* \(#,##0.00\);_(* &quot;-&quot;??_);_(@_)"/>
    <numFmt numFmtId="186" formatCode="###0"/>
    <numFmt numFmtId="187" formatCode="mmmm\ yyyy;@"/>
  </numFmts>
  <fonts count="75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theme="1"/>
      <name val="+mj-lt"/>
    </font>
    <font>
      <sz val="10"/>
      <color rgb="FF000000"/>
      <name val="Arial"/>
      <family val="2"/>
    </font>
    <font>
      <b/>
      <sz val="11"/>
      <color rgb="FF0000FF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22.5"/>
      <color theme="0"/>
      <name val="Franklin Gothic Demi"/>
      <family val="2"/>
    </font>
    <font>
      <u/>
      <sz val="11"/>
      <color theme="10"/>
      <name val="Calibri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2060"/>
      <name val="Franklin Gothic Book"/>
      <family val="2"/>
    </font>
    <font>
      <sz val="10"/>
      <name val="Arial"/>
      <family val="2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0"/>
      <color theme="0"/>
      <name val="Arial"/>
      <family val="2"/>
    </font>
    <font>
      <b/>
      <u/>
      <sz val="10"/>
      <color theme="1"/>
      <name val="Arial"/>
      <family val="2"/>
    </font>
    <font>
      <sz val="20"/>
      <color theme="1"/>
      <name val="Arial"/>
      <family val="2"/>
    </font>
    <font>
      <b/>
      <sz val="10"/>
      <name val="Arial Narrow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Arial"/>
      <family val="2"/>
    </font>
    <font>
      <sz val="10"/>
      <color theme="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rgb="FF00347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47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595"/>
        <bgColor indexed="64"/>
      </patternFill>
    </fill>
  </fills>
  <borders count="37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hair">
        <color auto="1"/>
      </top>
      <bottom/>
      <diagonal/>
    </border>
    <border>
      <left/>
      <right style="dotted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dotted">
        <color auto="1"/>
      </bottom>
      <diagonal/>
    </border>
    <border>
      <left/>
      <right style="hair">
        <color indexed="64"/>
      </right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</borders>
  <cellStyleXfs count="85">
    <xf numFmtId="167" fontId="0" fillId="0" borderId="0" applyFont="0" applyFill="0" applyBorder="0" applyProtection="0">
      <alignment vertical="top"/>
    </xf>
    <xf numFmtId="170" fontId="4" fillId="0" borderId="0" applyFont="0" applyFill="0" applyBorder="0" applyProtection="0">
      <alignment vertical="top"/>
    </xf>
    <xf numFmtId="176" fontId="3" fillId="0" borderId="0" applyFont="0" applyFill="0" applyBorder="0" applyProtection="0">
      <alignment vertical="top"/>
    </xf>
    <xf numFmtId="177" fontId="3" fillId="0" borderId="0" applyFont="0" applyFill="0" applyBorder="0" applyProtection="0">
      <alignment vertical="top"/>
    </xf>
    <xf numFmtId="168" fontId="3" fillId="0" borderId="0" applyFont="0" applyFill="0" applyBorder="0" applyProtection="0">
      <alignment vertical="top"/>
    </xf>
    <xf numFmtId="169" fontId="3" fillId="0" borderId="0" applyFont="0" applyFill="0" applyBorder="0" applyProtection="0">
      <alignment vertical="top"/>
    </xf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13" applyNumberFormat="0" applyAlignment="0" applyProtection="0"/>
    <xf numFmtId="0" fontId="20" fillId="12" borderId="14" applyNumberFormat="0" applyAlignment="0" applyProtection="0"/>
    <xf numFmtId="0" fontId="21" fillId="12" borderId="13" applyNumberFormat="0" applyAlignment="0" applyProtection="0"/>
    <xf numFmtId="0" fontId="22" fillId="0" borderId="15" applyNumberFormat="0" applyFill="0" applyAlignment="0" applyProtection="0"/>
    <xf numFmtId="0" fontId="23" fillId="13" borderId="16" applyNumberFormat="0" applyAlignment="0" applyProtection="0"/>
    <xf numFmtId="0" fontId="24" fillId="0" borderId="0" applyNumberFormat="0" applyFill="0" applyBorder="0" applyAlignment="0" applyProtection="0"/>
    <xf numFmtId="0" fontId="11" fillId="14" borderId="17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7" fillId="38" borderId="0" applyNumberFormat="0" applyBorder="0" applyAlignment="0" applyProtection="0"/>
    <xf numFmtId="170" fontId="28" fillId="0" borderId="0" applyNumberFormat="0" applyFill="0" applyBorder="0" applyAlignment="0" applyProtection="0">
      <alignment vertical="top"/>
    </xf>
    <xf numFmtId="175" fontId="29" fillId="0" borderId="0" applyFont="0" applyFill="0" applyBorder="0" applyProtection="0">
      <alignment vertical="top"/>
    </xf>
    <xf numFmtId="170" fontId="3" fillId="0" borderId="0" applyFont="0" applyFill="0" applyBorder="0" applyProtection="0">
      <alignment vertical="top"/>
    </xf>
    <xf numFmtId="170" fontId="3" fillId="0" borderId="0" applyFont="0" applyFill="0" applyBorder="0" applyProtection="0">
      <alignment vertical="top"/>
    </xf>
    <xf numFmtId="0" fontId="42" fillId="45" borderId="26" applyNumberFormat="0" applyFont="0" applyAlignment="0" applyProtection="0"/>
    <xf numFmtId="167" fontId="2" fillId="0" borderId="0" applyFont="0" applyFill="0" applyBorder="0" applyProtection="0">
      <alignment vertical="top"/>
    </xf>
    <xf numFmtId="43" fontId="2" fillId="0" borderId="0" applyFont="0" applyFill="0" applyBorder="0" applyAlignment="0" applyProtection="0"/>
    <xf numFmtId="169" fontId="2" fillId="0" borderId="0" applyFont="0" applyFill="0" applyBorder="0" applyProtection="0">
      <alignment vertical="top"/>
    </xf>
    <xf numFmtId="168" fontId="2" fillId="0" borderId="0" applyFont="0" applyFill="0" applyBorder="0" applyProtection="0">
      <alignment vertical="top"/>
    </xf>
    <xf numFmtId="176" fontId="2" fillId="0" borderId="0" applyFont="0" applyFill="0" applyBorder="0" applyProtection="0">
      <alignment vertical="top"/>
    </xf>
    <xf numFmtId="175" fontId="2" fillId="0" borderId="0" applyFont="0" applyFill="0" applyBorder="0" applyProtection="0">
      <alignment vertical="top"/>
    </xf>
    <xf numFmtId="183" fontId="5" fillId="0" borderId="0" applyNumberFormat="0" applyFill="0" applyBorder="0" applyProtection="0">
      <alignment vertical="top"/>
    </xf>
    <xf numFmtId="0" fontId="6" fillId="0" borderId="0" applyNumberFormat="0" applyFill="0" applyBorder="0" applyProtection="0">
      <alignment vertical="top"/>
    </xf>
    <xf numFmtId="0" fontId="3" fillId="0" borderId="0" applyNumberFormat="0" applyFill="0" applyBorder="0" applyProtection="0">
      <alignment horizontal="right" vertical="top"/>
    </xf>
    <xf numFmtId="170" fontId="7" fillId="0" borderId="0" applyNumberFormat="0" applyProtection="0">
      <alignment vertical="top"/>
    </xf>
    <xf numFmtId="0" fontId="45" fillId="0" borderId="0" applyNumberFormat="0" applyFill="0" applyBorder="0" applyAlignment="0" applyProtection="0">
      <alignment vertical="top"/>
      <protection locked="0"/>
    </xf>
    <xf numFmtId="0" fontId="53" fillId="51" borderId="0" applyNumberFormat="0" applyBorder="0" applyAlignment="0" applyProtection="0"/>
    <xf numFmtId="0" fontId="43" fillId="0" borderId="0"/>
    <xf numFmtId="167" fontId="52" fillId="0" borderId="0" applyFont="0" applyFill="0" applyBorder="0" applyProtection="0">
      <alignment vertical="top"/>
    </xf>
    <xf numFmtId="0" fontId="28" fillId="0" borderId="0" applyNumberFormat="0" applyFill="0" applyBorder="0" applyAlignment="0" applyProtection="0"/>
    <xf numFmtId="0" fontId="54" fillId="0" borderId="0" applyNumberFormat="0" applyFill="0" applyAlignment="0" applyProtection="0"/>
    <xf numFmtId="0" fontId="55" fillId="51" borderId="0" applyNumberFormat="0" applyAlignment="0" applyProtection="0"/>
    <xf numFmtId="0" fontId="1" fillId="0" borderId="0"/>
    <xf numFmtId="170" fontId="28" fillId="0" borderId="0" applyNumberFormat="0" applyFill="0" applyBorder="0" applyAlignment="0" applyProtection="0">
      <alignment vertical="top"/>
    </xf>
    <xf numFmtId="167" fontId="43" fillId="0" borderId="0" applyFont="0" applyFill="0" applyBorder="0" applyProtection="0">
      <alignment vertical="top"/>
    </xf>
    <xf numFmtId="167" fontId="3" fillId="0" borderId="0" applyFont="0" applyFill="0" applyBorder="0" applyProtection="0">
      <alignment vertical="top"/>
    </xf>
    <xf numFmtId="0" fontId="3" fillId="0" borderId="0"/>
    <xf numFmtId="0" fontId="1" fillId="0" borderId="0"/>
    <xf numFmtId="169" fontId="2" fillId="0" borderId="0" applyFont="0" applyFill="0" applyBorder="0" applyProtection="0">
      <alignment vertical="top"/>
    </xf>
    <xf numFmtId="185" fontId="43" fillId="0" borderId="0" applyFont="0" applyFill="0" applyBorder="0" applyAlignment="0" applyProtection="0"/>
    <xf numFmtId="0" fontId="43" fillId="0" borderId="0"/>
    <xf numFmtId="167" fontId="67" fillId="0" borderId="0" applyFont="0" applyFill="0" applyBorder="0" applyProtection="0">
      <alignment vertical="top"/>
    </xf>
    <xf numFmtId="167" fontId="69" fillId="0" borderId="0" applyFill="0" applyBorder="0" applyProtection="0">
      <alignment vertical="top"/>
    </xf>
    <xf numFmtId="175" fontId="69" fillId="0" borderId="0" applyFont="0" applyFill="0" applyBorder="0" applyProtection="0">
      <alignment vertical="top"/>
    </xf>
    <xf numFmtId="0" fontId="73" fillId="0" borderId="0" applyNumberFormat="0" applyFill="0" applyBorder="0" applyAlignment="0" applyProtection="0"/>
  </cellStyleXfs>
  <cellXfs count="488">
    <xf numFmtId="167" fontId="0" fillId="0" borderId="0" xfId="0">
      <alignment vertical="top"/>
    </xf>
    <xf numFmtId="170" fontId="0" fillId="0" borderId="0" xfId="0" applyNumberFormat="1" applyFont="1" applyFill="1">
      <alignment vertical="top"/>
    </xf>
    <xf numFmtId="177" fontId="5" fillId="0" borderId="0" xfId="3" applyFont="1" applyBorder="1">
      <alignment vertical="top"/>
    </xf>
    <xf numFmtId="168" fontId="3" fillId="0" borderId="0" xfId="4" applyFont="1">
      <alignment vertical="top"/>
    </xf>
    <xf numFmtId="170" fontId="5" fillId="0" borderId="0" xfId="0" applyNumberFormat="1" applyFont="1" applyBorder="1">
      <alignment vertical="top"/>
    </xf>
    <xf numFmtId="167" fontId="0" fillId="0" borderId="0" xfId="0" applyFill="1">
      <alignment vertical="top"/>
    </xf>
    <xf numFmtId="177" fontId="3" fillId="0" borderId="0" xfId="3" applyFont="1" applyFill="1" applyAlignment="1">
      <alignment horizontal="left" vertical="top"/>
    </xf>
    <xf numFmtId="170" fontId="3" fillId="0" borderId="0" xfId="0" applyNumberFormat="1" applyFont="1" applyAlignment="1">
      <alignment horizontal="right" vertical="top"/>
    </xf>
    <xf numFmtId="177" fontId="3" fillId="0" borderId="0" xfId="3" applyFont="1" applyFill="1" applyAlignment="1">
      <alignment horizontal="right" vertical="top"/>
    </xf>
    <xf numFmtId="177" fontId="3" fillId="0" borderId="0" xfId="3" applyFont="1" applyFill="1">
      <alignment vertical="top"/>
    </xf>
    <xf numFmtId="173" fontId="3" fillId="0" borderId="0" xfId="0" applyNumberFormat="1" applyFont="1" applyFill="1">
      <alignment vertical="top"/>
    </xf>
    <xf numFmtId="176" fontId="3" fillId="0" borderId="0" xfId="2" applyFont="1" applyFill="1">
      <alignment vertical="top"/>
    </xf>
    <xf numFmtId="177" fontId="3" fillId="0" borderId="0" xfId="3" applyFont="1">
      <alignment vertical="top"/>
    </xf>
    <xf numFmtId="167" fontId="0" fillId="0" borderId="0" xfId="0" applyFont="1">
      <alignment vertical="top"/>
    </xf>
    <xf numFmtId="176" fontId="10" fillId="0" borderId="0" xfId="2" applyFont="1" applyFill="1">
      <alignment vertical="top"/>
    </xf>
    <xf numFmtId="176" fontId="3" fillId="0" borderId="0" xfId="2" applyFont="1" applyFill="1" applyBorder="1">
      <alignment vertical="top"/>
    </xf>
    <xf numFmtId="173" fontId="30" fillId="0" borderId="0" xfId="4" applyNumberFormat="1" applyFont="1" applyFill="1">
      <alignment vertical="top"/>
    </xf>
    <xf numFmtId="171" fontId="10" fillId="0" borderId="0" xfId="0" applyNumberFormat="1" applyFont="1">
      <alignment vertical="top"/>
    </xf>
    <xf numFmtId="168" fontId="0" fillId="0" borderId="0" xfId="4" applyFont="1">
      <alignment vertical="top"/>
    </xf>
    <xf numFmtId="170" fontId="3" fillId="0" borderId="0" xfId="0" applyNumberFormat="1" applyFont="1" applyBorder="1">
      <alignment vertical="top"/>
    </xf>
    <xf numFmtId="170" fontId="3" fillId="0" borderId="0" xfId="0" applyNumberFormat="1" applyFont="1">
      <alignment vertical="top"/>
    </xf>
    <xf numFmtId="172" fontId="3" fillId="0" borderId="0" xfId="0" applyNumberFormat="1" applyFont="1" applyFill="1">
      <alignment vertical="top"/>
    </xf>
    <xf numFmtId="173" fontId="3" fillId="0" borderId="0" xfId="0" applyNumberFormat="1" applyFont="1">
      <alignment vertical="top"/>
    </xf>
    <xf numFmtId="176" fontId="10" fillId="0" borderId="0" xfId="0" applyNumberFormat="1" applyFont="1">
      <alignment vertical="top"/>
    </xf>
    <xf numFmtId="167" fontId="8" fillId="0" borderId="0" xfId="0" applyFont="1" applyBorder="1" applyAlignment="1">
      <alignment horizontal="left" vertical="top"/>
    </xf>
    <xf numFmtId="177" fontId="3" fillId="0" borderId="0" xfId="3" applyFont="1" applyAlignment="1">
      <alignment horizontal="left" vertical="top"/>
    </xf>
    <xf numFmtId="167" fontId="3" fillId="0" borderId="0" xfId="0" applyFont="1" applyAlignment="1">
      <alignment horizontal="right"/>
    </xf>
    <xf numFmtId="176" fontId="3" fillId="0" borderId="0" xfId="2" applyFont="1" applyAlignment="1">
      <alignment horizontal="left" vertical="top"/>
    </xf>
    <xf numFmtId="172" fontId="3" fillId="0" borderId="0" xfId="0" applyNumberFormat="1" applyFont="1">
      <alignment vertical="top"/>
    </xf>
    <xf numFmtId="176" fontId="3" fillId="0" borderId="0" xfId="2" applyFont="1" applyBorder="1" applyAlignment="1">
      <alignment horizontal="left" vertical="top"/>
    </xf>
    <xf numFmtId="176" fontId="3" fillId="0" borderId="0" xfId="0" applyNumberFormat="1" applyFont="1">
      <alignment vertical="top"/>
    </xf>
    <xf numFmtId="169" fontId="0" fillId="0" borderId="0" xfId="5" applyFont="1">
      <alignment vertical="top"/>
    </xf>
    <xf numFmtId="178" fontId="0" fillId="0" borderId="0" xfId="0" applyNumberFormat="1" applyFill="1">
      <alignment vertical="top"/>
    </xf>
    <xf numFmtId="178" fontId="3" fillId="0" borderId="0" xfId="4" applyNumberFormat="1" applyFont="1">
      <alignment vertical="top"/>
    </xf>
    <xf numFmtId="169" fontId="10" fillId="0" borderId="0" xfId="5" applyFont="1">
      <alignment vertical="top"/>
    </xf>
    <xf numFmtId="170" fontId="3" fillId="0" borderId="0" xfId="0" applyNumberFormat="1" applyFont="1" applyFill="1" applyBorder="1">
      <alignment vertical="top"/>
    </xf>
    <xf numFmtId="169" fontId="3" fillId="0" borderId="0" xfId="5" applyFont="1">
      <alignment vertical="top"/>
    </xf>
    <xf numFmtId="169" fontId="3" fillId="0" borderId="0" xfId="5" applyFont="1" applyFill="1">
      <alignment vertical="top"/>
    </xf>
    <xf numFmtId="175" fontId="10" fillId="0" borderId="0" xfId="51" applyFont="1">
      <alignment vertical="top"/>
    </xf>
    <xf numFmtId="172" fontId="30" fillId="0" borderId="0" xfId="0" applyNumberFormat="1" applyFont="1" applyFill="1">
      <alignment vertical="top"/>
    </xf>
    <xf numFmtId="169" fontId="30" fillId="0" borderId="0" xfId="5" applyFont="1" applyFill="1">
      <alignment vertical="top"/>
    </xf>
    <xf numFmtId="169" fontId="10" fillId="0" borderId="0" xfId="5" applyFont="1" applyFill="1">
      <alignment vertical="top"/>
    </xf>
    <xf numFmtId="178" fontId="3" fillId="0" borderId="0" xfId="4" applyNumberFormat="1" applyFont="1" applyFill="1">
      <alignment vertical="top"/>
    </xf>
    <xf numFmtId="167" fontId="10" fillId="0" borderId="0" xfId="4" applyNumberFormat="1" applyFont="1">
      <alignment vertical="top"/>
    </xf>
    <xf numFmtId="167" fontId="31" fillId="0" borderId="0" xfId="0" applyFont="1">
      <alignment vertical="top"/>
    </xf>
    <xf numFmtId="167" fontId="32" fillId="0" borderId="0" xfId="0" applyFont="1">
      <alignment vertical="top"/>
    </xf>
    <xf numFmtId="171" fontId="3" fillId="0" borderId="0" xfId="0" applyNumberFormat="1" applyFont="1" applyFill="1">
      <alignment vertical="top"/>
    </xf>
    <xf numFmtId="170" fontId="5" fillId="0" borderId="0" xfId="0" applyNumberFormat="1" applyFont="1" applyFill="1" applyBorder="1">
      <alignment vertical="top"/>
    </xf>
    <xf numFmtId="167" fontId="5" fillId="0" borderId="0" xfId="0" applyFont="1" applyBorder="1" applyAlignment="1">
      <alignment horizontal="right" vertical="top"/>
    </xf>
    <xf numFmtId="178" fontId="5" fillId="0" borderId="0" xfId="0" applyNumberFormat="1" applyFont="1">
      <alignment vertical="top"/>
    </xf>
    <xf numFmtId="178" fontId="6" fillId="0" borderId="0" xfId="0" applyNumberFormat="1" applyFont="1" applyFill="1">
      <alignment vertical="top"/>
    </xf>
    <xf numFmtId="178" fontId="6" fillId="0" borderId="0" xfId="0" applyNumberFormat="1" applyFont="1">
      <alignment vertical="top"/>
    </xf>
    <xf numFmtId="178" fontId="5" fillId="0" borderId="0" xfId="0" applyNumberFormat="1" applyFont="1" applyFill="1">
      <alignment vertical="top"/>
    </xf>
    <xf numFmtId="167" fontId="30" fillId="0" borderId="0" xfId="0" applyFont="1" applyFill="1">
      <alignment vertical="top"/>
    </xf>
    <xf numFmtId="167" fontId="6" fillId="0" borderId="0" xfId="0" applyFont="1" applyBorder="1" applyAlignment="1">
      <alignment horizontal="right" vertical="top"/>
    </xf>
    <xf numFmtId="167" fontId="3" fillId="0" borderId="0" xfId="0" applyFont="1">
      <alignment vertical="top"/>
    </xf>
    <xf numFmtId="167" fontId="3" fillId="0" borderId="0" xfId="0" applyFont="1" applyFill="1" applyBorder="1">
      <alignment vertical="top"/>
    </xf>
    <xf numFmtId="168" fontId="30" fillId="0" borderId="0" xfId="4" applyFont="1">
      <alignment vertical="top"/>
    </xf>
    <xf numFmtId="168" fontId="5" fillId="0" borderId="0" xfId="4" applyFont="1">
      <alignment vertical="top"/>
    </xf>
    <xf numFmtId="167" fontId="3" fillId="0" borderId="0" xfId="0" applyFont="1" applyAlignment="1">
      <alignment horizontal="right" vertical="top"/>
    </xf>
    <xf numFmtId="167" fontId="6" fillId="0" borderId="0" xfId="0" applyFont="1" applyFill="1">
      <alignment vertical="top"/>
    </xf>
    <xf numFmtId="167" fontId="5" fillId="0" borderId="0" xfId="0" applyFont="1">
      <alignment vertical="top"/>
    </xf>
    <xf numFmtId="167" fontId="5" fillId="0" borderId="0" xfId="0" applyFont="1" applyFill="1">
      <alignment vertical="top"/>
    </xf>
    <xf numFmtId="178" fontId="3" fillId="41" borderId="0" xfId="0" applyNumberFormat="1" applyFont="1" applyFill="1">
      <alignment vertical="top"/>
    </xf>
    <xf numFmtId="167" fontId="35" fillId="0" borderId="0" xfId="0" applyFont="1">
      <alignment vertical="top"/>
    </xf>
    <xf numFmtId="169" fontId="34" fillId="0" borderId="0" xfId="5" applyFont="1" applyFill="1">
      <alignment vertical="top"/>
    </xf>
    <xf numFmtId="167" fontId="3" fillId="41" borderId="0" xfId="0" applyFont="1" applyFill="1" applyAlignment="1">
      <alignment horizontal="right" vertical="top"/>
    </xf>
    <xf numFmtId="175" fontId="3" fillId="41" borderId="0" xfId="51" applyFont="1" applyFill="1">
      <alignment vertical="top"/>
    </xf>
    <xf numFmtId="178" fontId="34" fillId="0" borderId="0" xfId="0" applyNumberFormat="1" applyFont="1">
      <alignment vertical="top"/>
    </xf>
    <xf numFmtId="167" fontId="34" fillId="0" borderId="0" xfId="0" applyFont="1" applyAlignment="1">
      <alignment horizontal="right" vertical="top"/>
    </xf>
    <xf numFmtId="169" fontId="34" fillId="0" borderId="0" xfId="5" applyFont="1">
      <alignment vertical="top"/>
    </xf>
    <xf numFmtId="167" fontId="36" fillId="0" borderId="0" xfId="0" applyFont="1">
      <alignment vertical="top"/>
    </xf>
    <xf numFmtId="167" fontId="34" fillId="0" borderId="0" xfId="0" applyFont="1">
      <alignment vertical="top"/>
    </xf>
    <xf numFmtId="167" fontId="34" fillId="0" borderId="0" xfId="0" applyFont="1" applyFill="1" applyAlignment="1">
      <alignment horizontal="right" vertical="top"/>
    </xf>
    <xf numFmtId="1" fontId="3" fillId="0" borderId="0" xfId="5" applyNumberFormat="1" applyFont="1" applyFill="1" applyAlignment="1" applyProtection="1">
      <alignment vertical="center"/>
    </xf>
    <xf numFmtId="1" fontId="3" fillId="0" borderId="0" xfId="5" applyNumberFormat="1" applyFont="1" applyFill="1" applyBorder="1" applyAlignment="1" applyProtection="1">
      <alignment horizontal="left" vertical="center"/>
    </xf>
    <xf numFmtId="1" fontId="8" fillId="0" borderId="0" xfId="5" applyNumberFormat="1" applyFont="1" applyFill="1" applyBorder="1" applyAlignment="1" applyProtection="1">
      <alignment horizontal="left" vertical="center"/>
    </xf>
    <xf numFmtId="1" fontId="3" fillId="0" borderId="0" xfId="5" applyNumberFormat="1" applyFont="1" applyFill="1" applyBorder="1" applyAlignment="1" applyProtection="1">
      <alignment horizontal="center" vertical="center"/>
    </xf>
    <xf numFmtId="1" fontId="3" fillId="0" borderId="0" xfId="5" applyNumberFormat="1" applyFont="1" applyFill="1" applyAlignment="1" applyProtection="1">
      <alignment horizontal="left" vertical="center" indent="1"/>
    </xf>
    <xf numFmtId="168" fontId="10" fillId="0" borderId="0" xfId="4" applyFont="1" applyFill="1">
      <alignment vertical="top"/>
    </xf>
    <xf numFmtId="167" fontId="34" fillId="0" borderId="0" xfId="0" applyFont="1" applyBorder="1">
      <alignment vertical="top"/>
    </xf>
    <xf numFmtId="178" fontId="34" fillId="0" borderId="0" xfId="4" applyNumberFormat="1" applyFont="1">
      <alignment vertical="top"/>
    </xf>
    <xf numFmtId="167" fontId="33" fillId="0" borderId="0" xfId="0" applyFont="1" applyFill="1">
      <alignment vertical="top"/>
    </xf>
    <xf numFmtId="168" fontId="34" fillId="0" borderId="0" xfId="4" applyFont="1" applyFill="1">
      <alignment vertical="top"/>
    </xf>
    <xf numFmtId="178" fontId="34" fillId="0" borderId="0" xfId="4" applyNumberFormat="1" applyFont="1" applyFill="1">
      <alignment vertical="top"/>
    </xf>
    <xf numFmtId="177" fontId="30" fillId="0" borderId="0" xfId="3" applyFont="1">
      <alignment vertical="top"/>
    </xf>
    <xf numFmtId="177" fontId="31" fillId="0" borderId="0" xfId="3" applyFont="1" applyFill="1">
      <alignment vertical="top"/>
    </xf>
    <xf numFmtId="177" fontId="30" fillId="0" borderId="0" xfId="3" applyFont="1" applyFill="1">
      <alignment vertical="top"/>
    </xf>
    <xf numFmtId="167" fontId="5" fillId="0" borderId="0" xfId="0" applyFont="1" applyFill="1" applyBorder="1">
      <alignment vertical="top"/>
    </xf>
    <xf numFmtId="167" fontId="6" fillId="0" borderId="0" xfId="0" applyFont="1" applyFill="1" applyBorder="1">
      <alignment vertical="top"/>
    </xf>
    <xf numFmtId="170" fontId="3" fillId="0" borderId="0" xfId="0" applyNumberFormat="1" applyFont="1" applyFill="1">
      <alignment vertical="top"/>
    </xf>
    <xf numFmtId="178" fontId="3" fillId="0" borderId="0" xfId="0" applyNumberFormat="1" applyFont="1" applyFill="1">
      <alignment vertical="top"/>
    </xf>
    <xf numFmtId="178" fontId="3" fillId="0" borderId="0" xfId="0" applyNumberFormat="1" applyFont="1">
      <alignment vertical="top"/>
    </xf>
    <xf numFmtId="178" fontId="3" fillId="0" borderId="0" xfId="0" applyNumberFormat="1" applyFont="1" applyFill="1" applyBorder="1">
      <alignment vertical="top"/>
    </xf>
    <xf numFmtId="178" fontId="10" fillId="0" borderId="0" xfId="0" applyNumberFormat="1" applyFont="1" applyFill="1">
      <alignment vertical="top"/>
    </xf>
    <xf numFmtId="167" fontId="30" fillId="0" borderId="0" xfId="0" applyFont="1">
      <alignment vertical="top"/>
    </xf>
    <xf numFmtId="167" fontId="10" fillId="0" borderId="0" xfId="0" applyFont="1" applyFill="1">
      <alignment vertical="top"/>
    </xf>
    <xf numFmtId="167" fontId="5" fillId="0" borderId="19" xfId="0" applyFont="1" applyBorder="1">
      <alignment vertical="top"/>
    </xf>
    <xf numFmtId="167" fontId="3" fillId="0" borderId="19" xfId="0" applyFont="1" applyBorder="1">
      <alignment vertical="top"/>
    </xf>
    <xf numFmtId="167" fontId="3" fillId="0" borderId="0" xfId="0" applyFont="1" applyFill="1">
      <alignment vertical="top"/>
    </xf>
    <xf numFmtId="171" fontId="5" fillId="0" borderId="0" xfId="0" applyNumberFormat="1" applyFont="1">
      <alignment vertical="top"/>
    </xf>
    <xf numFmtId="171" fontId="6" fillId="0" borderId="0" xfId="0" applyNumberFormat="1" applyFont="1">
      <alignment vertical="top"/>
    </xf>
    <xf numFmtId="171" fontId="3" fillId="0" borderId="0" xfId="0" applyNumberFormat="1" applyFont="1">
      <alignment vertical="top"/>
    </xf>
    <xf numFmtId="170" fontId="5" fillId="0" borderId="0" xfId="0" applyNumberFormat="1" applyFont="1" applyFill="1">
      <alignment vertical="top"/>
    </xf>
    <xf numFmtId="178" fontId="3" fillId="0" borderId="0" xfId="0" applyNumberFormat="1" applyFont="1" applyBorder="1">
      <alignment vertical="top"/>
    </xf>
    <xf numFmtId="168" fontId="6" fillId="0" borderId="0" xfId="4" applyFont="1">
      <alignment vertical="top"/>
    </xf>
    <xf numFmtId="167" fontId="5" fillId="39" borderId="0" xfId="0" applyFont="1" applyFill="1" applyBorder="1" applyAlignment="1">
      <alignment horizontal="left" vertical="top"/>
    </xf>
    <xf numFmtId="167" fontId="3" fillId="0" borderId="0" xfId="0" applyFont="1" applyBorder="1">
      <alignment vertical="top"/>
    </xf>
    <xf numFmtId="167" fontId="6" fillId="0" borderId="0" xfId="0" applyFont="1">
      <alignment vertical="top"/>
    </xf>
    <xf numFmtId="167" fontId="6" fillId="0" borderId="0" xfId="0" applyFont="1" applyBorder="1">
      <alignment vertical="top"/>
    </xf>
    <xf numFmtId="178" fontId="10" fillId="0" borderId="0" xfId="0" applyNumberFormat="1" applyFont="1">
      <alignment vertical="top"/>
    </xf>
    <xf numFmtId="167" fontId="10" fillId="0" borderId="0" xfId="0" applyFont="1">
      <alignment vertical="top"/>
    </xf>
    <xf numFmtId="167" fontId="3" fillId="39" borderId="0" xfId="0" applyFont="1" applyFill="1" applyBorder="1">
      <alignment vertical="top"/>
    </xf>
    <xf numFmtId="167" fontId="5" fillId="39" borderId="0" xfId="0" applyFont="1" applyFill="1" applyBorder="1">
      <alignment vertical="top"/>
    </xf>
    <xf numFmtId="168" fontId="35" fillId="0" borderId="0" xfId="4" applyFont="1" applyFill="1">
      <alignment vertical="top"/>
    </xf>
    <xf numFmtId="168" fontId="36" fillId="0" borderId="0" xfId="4" applyFont="1" applyFill="1">
      <alignment vertical="top"/>
    </xf>
    <xf numFmtId="167" fontId="33" fillId="41" borderId="0" xfId="0" applyFont="1" applyFill="1">
      <alignment vertical="top"/>
    </xf>
    <xf numFmtId="167" fontId="33" fillId="41" borderId="0" xfId="0" applyFont="1" applyFill="1" applyAlignment="1">
      <alignment wrapText="1"/>
    </xf>
    <xf numFmtId="0" fontId="37" fillId="41" borderId="0" xfId="0" applyNumberFormat="1" applyFont="1" applyFill="1" applyAlignment="1">
      <alignment horizontal="left" vertical="center" wrapText="1"/>
    </xf>
    <xf numFmtId="167" fontId="33" fillId="41" borderId="0" xfId="0" applyFont="1" applyFill="1" applyAlignment="1">
      <alignment vertical="top" wrapText="1"/>
    </xf>
    <xf numFmtId="167" fontId="38" fillId="0" borderId="0" xfId="0" applyFont="1">
      <alignment vertical="top"/>
    </xf>
    <xf numFmtId="167" fontId="38" fillId="0" borderId="0" xfId="0" applyFont="1" applyFill="1">
      <alignment vertical="top"/>
    </xf>
    <xf numFmtId="168" fontId="38" fillId="0" borderId="0" xfId="4" applyFont="1" applyFill="1">
      <alignment vertical="top"/>
    </xf>
    <xf numFmtId="174" fontId="5" fillId="0" borderId="0" xfId="4" applyNumberFormat="1" applyFont="1" applyFill="1">
      <alignment vertical="top"/>
    </xf>
    <xf numFmtId="174" fontId="5" fillId="0" borderId="0" xfId="4" applyNumberFormat="1" applyFont="1">
      <alignment vertical="top"/>
    </xf>
    <xf numFmtId="174" fontId="6" fillId="0" borderId="0" xfId="4" applyNumberFormat="1" applyFont="1" applyFill="1">
      <alignment vertical="top"/>
    </xf>
    <xf numFmtId="174" fontId="3" fillId="0" borderId="0" xfId="4" applyNumberFormat="1" applyFont="1">
      <alignment vertical="top"/>
    </xf>
    <xf numFmtId="167" fontId="34" fillId="0" borderId="0" xfId="0" applyFont="1" applyFill="1">
      <alignment vertical="top"/>
    </xf>
    <xf numFmtId="167" fontId="33" fillId="0" borderId="0" xfId="0" applyFont="1" applyAlignment="1">
      <alignment horizontal="left"/>
    </xf>
    <xf numFmtId="176" fontId="3" fillId="0" borderId="0" xfId="2" applyFont="1">
      <alignment vertical="top"/>
    </xf>
    <xf numFmtId="170" fontId="3" fillId="0" borderId="0" xfId="0" applyNumberFormat="1" applyFont="1" applyFill="1" applyBorder="1" applyAlignment="1">
      <alignment horizontal="right"/>
    </xf>
    <xf numFmtId="167" fontId="3" fillId="40" borderId="25" xfId="0" applyFont="1" applyFill="1" applyBorder="1">
      <alignment vertical="top"/>
    </xf>
    <xf numFmtId="167" fontId="3" fillId="39" borderId="25" xfId="0" applyFont="1" applyFill="1" applyBorder="1">
      <alignment vertical="top"/>
    </xf>
    <xf numFmtId="167" fontId="3" fillId="41" borderId="25" xfId="0" applyFont="1" applyFill="1" applyBorder="1">
      <alignment vertical="top"/>
    </xf>
    <xf numFmtId="169" fontId="36" fillId="0" borderId="0" xfId="5" applyFont="1">
      <alignment vertical="top"/>
    </xf>
    <xf numFmtId="176" fontId="10" fillId="0" borderId="0" xfId="2" applyFont="1">
      <alignment vertical="top"/>
    </xf>
    <xf numFmtId="178" fontId="3" fillId="0" borderId="0" xfId="0" applyNumberFormat="1" applyFont="1" applyFill="1" applyAlignment="1">
      <alignment horizontal="right" vertical="top"/>
    </xf>
    <xf numFmtId="175" fontId="5" fillId="0" borderId="0" xfId="51" applyFont="1" applyFill="1" applyBorder="1">
      <alignment vertical="top"/>
    </xf>
    <xf numFmtId="175" fontId="6" fillId="0" borderId="0" xfId="51" applyFont="1" applyFill="1" applyBorder="1">
      <alignment vertical="top"/>
    </xf>
    <xf numFmtId="175" fontId="3" fillId="0" borderId="0" xfId="51" applyFont="1" applyFill="1" applyBorder="1">
      <alignment vertical="top"/>
    </xf>
    <xf numFmtId="175" fontId="0" fillId="0" borderId="0" xfId="51" applyFont="1">
      <alignment vertical="top"/>
    </xf>
    <xf numFmtId="167" fontId="39" fillId="41" borderId="6" xfId="0" applyFont="1" applyFill="1" applyBorder="1" applyAlignment="1">
      <alignment horizontal="center" vertical="center"/>
    </xf>
    <xf numFmtId="173" fontId="10" fillId="0" borderId="0" xfId="0" applyNumberFormat="1" applyFont="1">
      <alignment vertical="top"/>
    </xf>
    <xf numFmtId="169" fontId="3" fillId="0" borderId="0" xfId="5" applyFont="1" applyFill="1" applyBorder="1">
      <alignment vertical="top"/>
    </xf>
    <xf numFmtId="178" fontId="35" fillId="0" borderId="0" xfId="0" applyNumberFormat="1" applyFont="1" applyFill="1">
      <alignment vertical="top"/>
    </xf>
    <xf numFmtId="178" fontId="36" fillId="0" borderId="0" xfId="0" applyNumberFormat="1" applyFont="1" applyFill="1">
      <alignment vertical="top"/>
    </xf>
    <xf numFmtId="178" fontId="34" fillId="0" borderId="0" xfId="0" applyNumberFormat="1" applyFont="1" applyFill="1">
      <alignment vertical="top"/>
    </xf>
    <xf numFmtId="178" fontId="38" fillId="0" borderId="0" xfId="0" applyNumberFormat="1" applyFont="1" applyFill="1">
      <alignment vertical="top"/>
    </xf>
    <xf numFmtId="169" fontId="3" fillId="0" borderId="0" xfId="0" applyNumberFormat="1" applyFont="1" applyFill="1">
      <alignment vertical="top"/>
    </xf>
    <xf numFmtId="167" fontId="35" fillId="0" borderId="0" xfId="0" applyFont="1" applyFill="1" applyBorder="1">
      <alignment vertical="top"/>
    </xf>
    <xf numFmtId="167" fontId="36" fillId="0" borderId="0" xfId="0" applyFont="1" applyFill="1" applyBorder="1">
      <alignment vertical="top"/>
    </xf>
    <xf numFmtId="167" fontId="34" fillId="0" borderId="0" xfId="0" applyFont="1" applyFill="1" applyBorder="1">
      <alignment vertical="top"/>
    </xf>
    <xf numFmtId="167" fontId="40" fillId="0" borderId="0" xfId="0" applyFont="1">
      <alignment vertical="top"/>
    </xf>
    <xf numFmtId="170" fontId="34" fillId="0" borderId="0" xfId="53" applyFont="1" applyFill="1" applyBorder="1">
      <alignment vertical="top"/>
    </xf>
    <xf numFmtId="180" fontId="3" fillId="0" borderId="0" xfId="4" applyNumberFormat="1" applyFont="1">
      <alignment vertical="top"/>
    </xf>
    <xf numFmtId="171" fontId="3" fillId="0" borderId="0" xfId="0" applyNumberFormat="1" applyFont="1" applyFill="1" applyBorder="1">
      <alignment vertical="top"/>
    </xf>
    <xf numFmtId="167" fontId="3" fillId="44" borderId="0" xfId="0" applyFont="1" applyFill="1" applyBorder="1">
      <alignment vertical="top"/>
    </xf>
    <xf numFmtId="167" fontId="3" fillId="0" borderId="0" xfId="0" applyFont="1" applyFill="1" applyAlignment="1">
      <alignment horizontal="right" vertical="top"/>
    </xf>
    <xf numFmtId="167" fontId="5" fillId="0" borderId="0" xfId="0" applyFont="1" applyBorder="1">
      <alignment vertical="top"/>
    </xf>
    <xf numFmtId="167" fontId="3" fillId="0" borderId="0" xfId="0" applyFont="1" applyBorder="1" applyAlignment="1">
      <alignment horizontal="right" vertical="top"/>
    </xf>
    <xf numFmtId="170" fontId="36" fillId="0" borderId="0" xfId="53" applyFont="1" applyFill="1">
      <alignment vertical="top"/>
    </xf>
    <xf numFmtId="170" fontId="34" fillId="0" borderId="0" xfId="53" applyFont="1" applyAlignment="1">
      <alignment horizontal="right" vertical="top"/>
    </xf>
    <xf numFmtId="170" fontId="34" fillId="0" borderId="0" xfId="53" applyFont="1">
      <alignment vertical="top"/>
    </xf>
    <xf numFmtId="180" fontId="34" fillId="0" borderId="0" xfId="53" applyNumberFormat="1" applyFont="1">
      <alignment vertical="top"/>
    </xf>
    <xf numFmtId="167" fontId="35" fillId="0" borderId="0" xfId="0" applyFont="1" applyFill="1">
      <alignment vertical="top"/>
    </xf>
    <xf numFmtId="167" fontId="36" fillId="0" borderId="0" xfId="0" applyFont="1" applyFill="1">
      <alignment vertical="top"/>
    </xf>
    <xf numFmtId="170" fontId="35" fillId="0" borderId="0" xfId="53" applyFont="1">
      <alignment vertical="top"/>
    </xf>
    <xf numFmtId="180" fontId="3" fillId="0" borderId="0" xfId="0" applyNumberFormat="1" applyFont="1">
      <alignment vertical="top"/>
    </xf>
    <xf numFmtId="178" fontId="10" fillId="0" borderId="0" xfId="4" applyNumberFormat="1" applyFont="1">
      <alignment vertical="top"/>
    </xf>
    <xf numFmtId="178" fontId="10" fillId="0" borderId="0" xfId="4" applyNumberFormat="1" applyFont="1" applyBorder="1">
      <alignment vertical="top"/>
    </xf>
    <xf numFmtId="174" fontId="0" fillId="0" borderId="0" xfId="4" applyNumberFormat="1" applyFont="1" applyFill="1">
      <alignment vertical="top"/>
    </xf>
    <xf numFmtId="174" fontId="34" fillId="0" borderId="0" xfId="4" applyNumberFormat="1" applyFont="1" applyFill="1">
      <alignment vertical="top"/>
    </xf>
    <xf numFmtId="167" fontId="0" fillId="0" borderId="0" xfId="0" applyFont="1" applyFill="1">
      <alignment vertical="top"/>
    </xf>
    <xf numFmtId="167" fontId="0" fillId="0" borderId="0" xfId="0" applyFill="1" applyBorder="1">
      <alignment vertical="top"/>
    </xf>
    <xf numFmtId="167" fontId="41" fillId="0" borderId="0" xfId="0" applyFont="1">
      <alignment vertical="top"/>
    </xf>
    <xf numFmtId="176" fontId="34" fillId="0" borderId="0" xfId="2" applyFont="1">
      <alignment vertical="top"/>
    </xf>
    <xf numFmtId="175" fontId="34" fillId="0" borderId="0" xfId="51" applyFont="1">
      <alignment vertical="top"/>
    </xf>
    <xf numFmtId="167" fontId="30" fillId="0" borderId="0" xfId="0" applyFont="1" applyAlignment="1">
      <alignment horizontal="right" vertical="top"/>
    </xf>
    <xf numFmtId="167" fontId="36" fillId="0" borderId="0" xfId="0" applyFont="1" applyBorder="1">
      <alignment vertical="top"/>
    </xf>
    <xf numFmtId="167" fontId="34" fillId="0" borderId="0" xfId="0" applyFont="1" applyBorder="1" applyAlignment="1">
      <alignment horizontal="right" vertical="top"/>
    </xf>
    <xf numFmtId="178" fontId="34" fillId="0" borderId="0" xfId="4" applyNumberFormat="1" applyFont="1" applyBorder="1">
      <alignment vertical="top"/>
    </xf>
    <xf numFmtId="178" fontId="5" fillId="0" borderId="0" xfId="0" applyNumberFormat="1" applyFont="1" applyFill="1" applyBorder="1">
      <alignment vertical="top"/>
    </xf>
    <xf numFmtId="178" fontId="6" fillId="0" borderId="0" xfId="0" applyNumberFormat="1" applyFont="1" applyFill="1" applyBorder="1">
      <alignment vertical="top"/>
    </xf>
    <xf numFmtId="180" fontId="34" fillId="0" borderId="0" xfId="53" applyNumberFormat="1" applyFont="1" applyFill="1">
      <alignment vertical="top"/>
    </xf>
    <xf numFmtId="178" fontId="30" fillId="0" borderId="0" xfId="0" applyNumberFormat="1" applyFont="1" applyFill="1" applyBorder="1">
      <alignment vertical="top"/>
    </xf>
    <xf numFmtId="167" fontId="3" fillId="44" borderId="0" xfId="0" applyFont="1" applyFill="1" applyAlignment="1">
      <alignment horizontal="right" vertical="top"/>
    </xf>
    <xf numFmtId="167" fontId="33" fillId="46" borderId="0" xfId="0" applyFont="1" applyFill="1">
      <alignment vertical="top"/>
    </xf>
    <xf numFmtId="167" fontId="33" fillId="46" borderId="0" xfId="0" applyFont="1" applyFill="1" applyAlignment="1">
      <alignment wrapText="1"/>
    </xf>
    <xf numFmtId="0" fontId="37" fillId="46" borderId="0" xfId="0" applyNumberFormat="1" applyFont="1" applyFill="1" applyAlignment="1">
      <alignment horizontal="left" vertical="center" wrapText="1"/>
    </xf>
    <xf numFmtId="167" fontId="33" fillId="46" borderId="0" xfId="0" applyFont="1" applyFill="1" applyAlignment="1">
      <alignment vertical="top" wrapText="1"/>
    </xf>
    <xf numFmtId="180" fontId="10" fillId="0" borderId="0" xfId="53" applyNumberFormat="1" applyFont="1" applyFill="1">
      <alignment vertical="top"/>
    </xf>
    <xf numFmtId="180" fontId="3" fillId="0" borderId="0" xfId="53" applyNumberFormat="1" applyFont="1" applyFill="1">
      <alignment vertical="top"/>
    </xf>
    <xf numFmtId="181" fontId="30" fillId="0" borderId="0" xfId="5" applyNumberFormat="1" applyFont="1" applyFill="1">
      <alignment vertical="top"/>
    </xf>
    <xf numFmtId="181" fontId="0" fillId="0" borderId="0" xfId="5" applyNumberFormat="1" applyFont="1">
      <alignment vertical="top"/>
    </xf>
    <xf numFmtId="181" fontId="5" fillId="0" borderId="0" xfId="5" applyNumberFormat="1" applyFont="1">
      <alignment vertical="top"/>
    </xf>
    <xf numFmtId="181" fontId="6" fillId="0" borderId="0" xfId="5" applyNumberFormat="1" applyFont="1">
      <alignment vertical="top"/>
    </xf>
    <xf numFmtId="181" fontId="3" fillId="0" borderId="0" xfId="5" applyNumberFormat="1" applyFont="1">
      <alignment vertical="top"/>
    </xf>
    <xf numFmtId="181" fontId="31" fillId="0" borderId="0" xfId="5" applyNumberFormat="1" applyFont="1" applyFill="1">
      <alignment vertical="top"/>
    </xf>
    <xf numFmtId="181" fontId="32" fillId="0" borderId="0" xfId="5" applyNumberFormat="1" applyFont="1" applyFill="1">
      <alignment vertical="top"/>
    </xf>
    <xf numFmtId="180" fontId="3" fillId="0" borderId="0" xfId="53" applyNumberFormat="1" applyFont="1">
      <alignment vertical="top"/>
    </xf>
    <xf numFmtId="167" fontId="35" fillId="0" borderId="0" xfId="0" applyFont="1" applyBorder="1">
      <alignment vertical="top"/>
    </xf>
    <xf numFmtId="178" fontId="10" fillId="0" borderId="0" xfId="0" applyNumberFormat="1" applyFont="1" applyFill="1" applyBorder="1">
      <alignment vertical="top"/>
    </xf>
    <xf numFmtId="171" fontId="10" fillId="0" borderId="0" xfId="0" applyNumberFormat="1" applyFont="1" applyFill="1">
      <alignment vertical="top"/>
    </xf>
    <xf numFmtId="174" fontId="3" fillId="0" borderId="0" xfId="4" applyNumberFormat="1" applyFont="1" applyFill="1">
      <alignment vertical="top"/>
    </xf>
    <xf numFmtId="180" fontId="3" fillId="0" borderId="0" xfId="4" applyNumberFormat="1" applyFont="1" applyFill="1">
      <alignment vertical="top"/>
    </xf>
    <xf numFmtId="175" fontId="10" fillId="0" borderId="0" xfId="51" applyFont="1" applyFill="1">
      <alignment vertical="top"/>
    </xf>
    <xf numFmtId="180" fontId="0" fillId="0" borderId="0" xfId="53" applyNumberFormat="1" applyFont="1" applyFill="1">
      <alignment vertical="top"/>
    </xf>
    <xf numFmtId="176" fontId="34" fillId="0" borderId="0" xfId="2" applyFont="1" applyFill="1">
      <alignment vertical="top"/>
    </xf>
    <xf numFmtId="178" fontId="34" fillId="0" borderId="0" xfId="4" applyNumberFormat="1" applyFont="1" applyFill="1" applyBorder="1">
      <alignment vertical="top"/>
    </xf>
    <xf numFmtId="174" fontId="3" fillId="0" borderId="0" xfId="4" applyNumberFormat="1" applyFont="1" applyFill="1" applyBorder="1">
      <alignment vertical="top"/>
    </xf>
    <xf numFmtId="175" fontId="0" fillId="0" borderId="0" xfId="51" applyFont="1" applyFill="1">
      <alignment vertical="top"/>
    </xf>
    <xf numFmtId="167" fontId="44" fillId="47" borderId="0" xfId="0" applyFont="1" applyFill="1" applyBorder="1">
      <alignment vertical="top"/>
    </xf>
    <xf numFmtId="169" fontId="0" fillId="0" borderId="0" xfId="5" applyFont="1" applyFill="1" applyBorder="1">
      <alignment vertical="top"/>
    </xf>
    <xf numFmtId="168" fontId="0" fillId="0" borderId="0" xfId="4" applyFont="1" applyFill="1" applyBorder="1">
      <alignment vertical="top"/>
    </xf>
    <xf numFmtId="167" fontId="34" fillId="0" borderId="27" xfId="0" applyFont="1" applyBorder="1">
      <alignment vertical="top"/>
    </xf>
    <xf numFmtId="178" fontId="34" fillId="0" borderId="27" xfId="0" applyNumberFormat="1" applyFont="1" applyBorder="1">
      <alignment vertical="top"/>
    </xf>
    <xf numFmtId="178" fontId="34" fillId="0" borderId="27" xfId="4" applyNumberFormat="1" applyFont="1" applyBorder="1">
      <alignment vertical="top"/>
    </xf>
    <xf numFmtId="167" fontId="34" fillId="0" borderId="27" xfId="0" applyFont="1" applyFill="1" applyBorder="1">
      <alignment vertical="top"/>
    </xf>
    <xf numFmtId="170" fontId="34" fillId="0" borderId="27" xfId="53" applyFont="1" applyBorder="1">
      <alignment vertical="top"/>
    </xf>
    <xf numFmtId="180" fontId="34" fillId="0" borderId="27" xfId="53" applyNumberFormat="1" applyFont="1" applyBorder="1">
      <alignment vertical="top"/>
    </xf>
    <xf numFmtId="180" fontId="34" fillId="0" borderId="27" xfId="53" applyNumberFormat="1" applyFont="1" applyFill="1" applyBorder="1">
      <alignment vertical="top"/>
    </xf>
    <xf numFmtId="167" fontId="3" fillId="0" borderId="27" xfId="0" applyFont="1" applyFill="1" applyBorder="1">
      <alignment vertical="top"/>
    </xf>
    <xf numFmtId="178" fontId="3" fillId="0" borderId="0" xfId="4" applyNumberFormat="1" applyFont="1" applyBorder="1">
      <alignment vertical="top"/>
    </xf>
    <xf numFmtId="178" fontId="34" fillId="0" borderId="27" xfId="4" applyNumberFormat="1" applyFont="1" applyFill="1" applyBorder="1">
      <alignment vertical="top"/>
    </xf>
    <xf numFmtId="180" fontId="34" fillId="0" borderId="0" xfId="53" applyNumberFormat="1" applyFont="1" applyBorder="1">
      <alignment vertical="top"/>
    </xf>
    <xf numFmtId="178" fontId="10" fillId="0" borderId="0" xfId="4" applyNumberFormat="1" applyFont="1" applyFill="1">
      <alignment vertical="top"/>
    </xf>
    <xf numFmtId="170" fontId="30" fillId="0" borderId="0" xfId="4" applyNumberFormat="1" applyFont="1" applyFill="1">
      <alignment vertical="top"/>
    </xf>
    <xf numFmtId="178" fontId="30" fillId="0" borderId="0" xfId="4" applyNumberFormat="1" applyFont="1">
      <alignment vertical="top"/>
    </xf>
    <xf numFmtId="170" fontId="30" fillId="0" borderId="0" xfId="53" applyFont="1" applyFill="1">
      <alignment vertical="top"/>
    </xf>
    <xf numFmtId="180" fontId="30" fillId="0" borderId="0" xfId="53" applyNumberFormat="1" applyFont="1" applyFill="1">
      <alignment vertical="top"/>
    </xf>
    <xf numFmtId="178" fontId="3" fillId="0" borderId="0" xfId="4" applyNumberFormat="1" applyFont="1" applyFill="1" applyBorder="1">
      <alignment vertical="top"/>
    </xf>
    <xf numFmtId="167" fontId="5" fillId="0" borderId="19" xfId="0" applyFont="1" applyFill="1" applyBorder="1">
      <alignment vertical="top"/>
    </xf>
    <xf numFmtId="167" fontId="3" fillId="0" borderId="19" xfId="0" applyFont="1" applyFill="1" applyBorder="1">
      <alignment vertical="top"/>
    </xf>
    <xf numFmtId="169" fontId="3" fillId="0" borderId="0" xfId="5" applyFont="1" applyBorder="1">
      <alignment vertical="top"/>
    </xf>
    <xf numFmtId="178" fontId="3" fillId="48" borderId="0" xfId="4" applyNumberFormat="1" applyFont="1" applyFill="1" applyBorder="1">
      <alignment vertical="top"/>
    </xf>
    <xf numFmtId="167" fontId="0" fillId="48" borderId="0" xfId="0" applyFill="1">
      <alignment vertical="top"/>
    </xf>
    <xf numFmtId="167" fontId="6" fillId="48" borderId="0" xfId="55" applyFont="1" applyFill="1">
      <alignment vertical="top"/>
    </xf>
    <xf numFmtId="167" fontId="3" fillId="48" borderId="0" xfId="55" applyFont="1" applyFill="1">
      <alignment vertical="top"/>
    </xf>
    <xf numFmtId="168" fontId="0" fillId="48" borderId="0" xfId="4" applyFont="1" applyFill="1">
      <alignment vertical="top"/>
    </xf>
    <xf numFmtId="169" fontId="0" fillId="48" borderId="0" xfId="5" applyFont="1" applyFill="1">
      <alignment vertical="top"/>
    </xf>
    <xf numFmtId="167" fontId="5" fillId="49" borderId="0" xfId="55" applyFont="1" applyFill="1">
      <alignment vertical="top"/>
    </xf>
    <xf numFmtId="167" fontId="6" fillId="49" borderId="0" xfId="55" applyFont="1" applyFill="1">
      <alignment vertical="top"/>
    </xf>
    <xf numFmtId="167" fontId="3" fillId="49" borderId="0" xfId="55" applyFont="1" applyFill="1" applyAlignment="1">
      <alignment horizontal="right" vertical="top"/>
    </xf>
    <xf numFmtId="167" fontId="3" fillId="49" borderId="0" xfId="55" applyFont="1" applyFill="1">
      <alignment vertical="top"/>
    </xf>
    <xf numFmtId="167" fontId="10" fillId="44" borderId="0" xfId="0" applyFont="1" applyFill="1" applyAlignment="1">
      <alignment horizontal="right" vertical="top"/>
    </xf>
    <xf numFmtId="167" fontId="35" fillId="50" borderId="0" xfId="0" applyFont="1" applyFill="1" applyBorder="1">
      <alignment vertical="top"/>
    </xf>
    <xf numFmtId="167" fontId="36" fillId="50" borderId="0" xfId="0" applyFont="1" applyFill="1" applyBorder="1">
      <alignment vertical="top"/>
    </xf>
    <xf numFmtId="167" fontId="34" fillId="50" borderId="0" xfId="0" applyFont="1" applyFill="1" applyBorder="1" applyAlignment="1">
      <alignment horizontal="right" vertical="top"/>
    </xf>
    <xf numFmtId="167" fontId="34" fillId="50" borderId="0" xfId="0" applyFont="1" applyFill="1" applyBorder="1">
      <alignment vertical="top"/>
    </xf>
    <xf numFmtId="178" fontId="34" fillId="50" borderId="0" xfId="4" applyNumberFormat="1" applyFont="1" applyFill="1" applyBorder="1">
      <alignment vertical="top"/>
    </xf>
    <xf numFmtId="179" fontId="3" fillId="0" borderId="0" xfId="51" applyNumberFormat="1" applyFont="1" applyFill="1" applyBorder="1">
      <alignment vertical="top"/>
    </xf>
    <xf numFmtId="167" fontId="5" fillId="50" borderId="0" xfId="0" applyFont="1" applyFill="1">
      <alignment vertical="top"/>
    </xf>
    <xf numFmtId="167" fontId="6" fillId="50" borderId="0" xfId="0" applyFont="1" applyFill="1">
      <alignment vertical="top"/>
    </xf>
    <xf numFmtId="167" fontId="3" fillId="50" borderId="0" xfId="0" applyFont="1" applyFill="1" applyAlignment="1">
      <alignment horizontal="right" vertical="top"/>
    </xf>
    <xf numFmtId="167" fontId="3" fillId="50" borderId="0" xfId="0" applyFont="1" applyFill="1" applyBorder="1">
      <alignment vertical="top"/>
    </xf>
    <xf numFmtId="178" fontId="3" fillId="50" borderId="0" xfId="0" applyNumberFormat="1" applyFont="1" applyFill="1" applyBorder="1">
      <alignment vertical="top"/>
    </xf>
    <xf numFmtId="179" fontId="3" fillId="50" borderId="0" xfId="51" applyNumberFormat="1" applyFont="1" applyFill="1" applyBorder="1">
      <alignment vertical="top"/>
    </xf>
    <xf numFmtId="167" fontId="0" fillId="50" borderId="0" xfId="0" applyFill="1">
      <alignment vertical="top"/>
    </xf>
    <xf numFmtId="180" fontId="34" fillId="0" borderId="0" xfId="53" applyNumberFormat="1" applyFont="1" applyFill="1" applyBorder="1">
      <alignment vertical="top"/>
    </xf>
    <xf numFmtId="178" fontId="3" fillId="50" borderId="0" xfId="4" applyNumberFormat="1" applyFont="1" applyFill="1" applyBorder="1">
      <alignment vertical="top"/>
    </xf>
    <xf numFmtId="167" fontId="5" fillId="41" borderId="0" xfId="0" applyFont="1" applyFill="1">
      <alignment vertical="top"/>
    </xf>
    <xf numFmtId="167" fontId="6" fillId="41" borderId="0" xfId="0" applyFont="1" applyFill="1">
      <alignment vertical="top"/>
    </xf>
    <xf numFmtId="167" fontId="3" fillId="41" borderId="0" xfId="0" applyFont="1" applyFill="1">
      <alignment vertical="top"/>
    </xf>
    <xf numFmtId="167" fontId="35" fillId="41" borderId="0" xfId="0" applyFont="1" applyFill="1" applyBorder="1">
      <alignment vertical="top"/>
    </xf>
    <xf numFmtId="167" fontId="36" fillId="41" borderId="0" xfId="0" applyFont="1" applyFill="1" applyBorder="1">
      <alignment vertical="top"/>
    </xf>
    <xf numFmtId="167" fontId="34" fillId="41" borderId="0" xfId="0" applyFont="1" applyFill="1" applyBorder="1" applyAlignment="1">
      <alignment horizontal="right" vertical="top"/>
    </xf>
    <xf numFmtId="167" fontId="34" fillId="41" borderId="0" xfId="0" applyFont="1" applyFill="1" applyBorder="1">
      <alignment vertical="top"/>
    </xf>
    <xf numFmtId="178" fontId="3" fillId="41" borderId="27" xfId="0" applyNumberFormat="1" applyFont="1" applyFill="1" applyBorder="1">
      <alignment vertical="top"/>
    </xf>
    <xf numFmtId="167" fontId="46" fillId="0" borderId="0" xfId="0" applyFont="1" applyFill="1">
      <alignment vertical="top"/>
    </xf>
    <xf numFmtId="167" fontId="47" fillId="0" borderId="0" xfId="0" applyFont="1" applyFill="1">
      <alignment vertical="top"/>
    </xf>
    <xf numFmtId="167" fontId="10" fillId="0" borderId="0" xfId="0" applyFont="1" applyFill="1" applyAlignment="1">
      <alignment horizontal="right" vertical="top"/>
    </xf>
    <xf numFmtId="167" fontId="10" fillId="0" borderId="0" xfId="0" applyFont="1" applyFill="1" applyBorder="1">
      <alignment vertical="top"/>
    </xf>
    <xf numFmtId="167" fontId="49" fillId="0" borderId="0" xfId="0" applyFont="1" applyFill="1">
      <alignment vertical="top"/>
    </xf>
    <xf numFmtId="178" fontId="34" fillId="0" borderId="0" xfId="0" applyNumberFormat="1" applyFont="1" applyFill="1" applyBorder="1">
      <alignment vertical="top"/>
    </xf>
    <xf numFmtId="167" fontId="40" fillId="0" borderId="0" xfId="0" applyFont="1" applyFill="1">
      <alignment vertical="top"/>
    </xf>
    <xf numFmtId="167" fontId="34" fillId="0" borderId="0" xfId="0" applyFont="1" applyFill="1" applyBorder="1" applyAlignment="1">
      <alignment horizontal="right" vertical="top"/>
    </xf>
    <xf numFmtId="170" fontId="35" fillId="0" borderId="0" xfId="53" applyFont="1" applyFill="1">
      <alignment vertical="top"/>
    </xf>
    <xf numFmtId="170" fontId="34" fillId="0" borderId="0" xfId="53" applyFont="1" applyFill="1" applyAlignment="1">
      <alignment horizontal="right" vertical="top"/>
    </xf>
    <xf numFmtId="178" fontId="34" fillId="0" borderId="27" xfId="0" applyNumberFormat="1" applyFont="1" applyFill="1" applyBorder="1">
      <alignment vertical="top"/>
    </xf>
    <xf numFmtId="180" fontId="0" fillId="0" borderId="0" xfId="53" applyNumberFormat="1" applyFont="1" applyFill="1" applyBorder="1">
      <alignment vertical="top"/>
    </xf>
    <xf numFmtId="173" fontId="10" fillId="0" borderId="0" xfId="0" applyNumberFormat="1" applyFont="1" applyFill="1">
      <alignment vertical="top"/>
    </xf>
    <xf numFmtId="175" fontId="5" fillId="0" borderId="0" xfId="51" applyFont="1" applyFill="1">
      <alignment vertical="top"/>
    </xf>
    <xf numFmtId="175" fontId="6" fillId="0" borderId="0" xfId="51" applyFont="1" applyFill="1">
      <alignment vertical="top"/>
    </xf>
    <xf numFmtId="175" fontId="3" fillId="0" borderId="0" xfId="51" applyFont="1" applyFill="1">
      <alignment vertical="top"/>
    </xf>
    <xf numFmtId="178" fontId="3" fillId="0" borderId="27" xfId="0" applyNumberFormat="1" applyFont="1" applyFill="1" applyBorder="1">
      <alignment vertical="top"/>
    </xf>
    <xf numFmtId="179" fontId="3" fillId="0" borderId="27" xfId="51" applyNumberFormat="1" applyFont="1" applyFill="1" applyBorder="1">
      <alignment vertical="top"/>
    </xf>
    <xf numFmtId="169" fontId="10" fillId="0" borderId="0" xfId="5" applyFont="1" applyFill="1" applyBorder="1">
      <alignment vertical="top"/>
    </xf>
    <xf numFmtId="169" fontId="34" fillId="0" borderId="0" xfId="5" applyFont="1" applyFill="1" applyBorder="1">
      <alignment vertical="top"/>
    </xf>
    <xf numFmtId="167" fontId="48" fillId="0" borderId="0" xfId="0" applyFont="1" applyFill="1">
      <alignment vertical="top"/>
    </xf>
    <xf numFmtId="167" fontId="10" fillId="0" borderId="0" xfId="4" applyNumberFormat="1" applyFont="1" applyFill="1">
      <alignment vertical="top"/>
    </xf>
    <xf numFmtId="167" fontId="3" fillId="0" borderId="0" xfId="0" applyFont="1" applyFill="1" applyBorder="1" applyAlignment="1">
      <alignment horizontal="right" vertical="top"/>
    </xf>
    <xf numFmtId="178" fontId="3" fillId="41" borderId="0" xfId="4" applyNumberFormat="1" applyFont="1" applyFill="1" applyBorder="1">
      <alignment vertical="top"/>
    </xf>
    <xf numFmtId="167" fontId="30" fillId="0" borderId="0" xfId="0" applyFont="1" applyFill="1" applyBorder="1">
      <alignment vertical="top"/>
    </xf>
    <xf numFmtId="180" fontId="3" fillId="0" borderId="0" xfId="0" applyNumberFormat="1" applyFont="1" applyFill="1">
      <alignment vertical="top"/>
    </xf>
    <xf numFmtId="167" fontId="31" fillId="0" borderId="0" xfId="0" applyFont="1" applyFill="1">
      <alignment vertical="top"/>
    </xf>
    <xf numFmtId="167" fontId="32" fillId="0" borderId="0" xfId="0" applyFont="1" applyFill="1">
      <alignment vertical="top"/>
    </xf>
    <xf numFmtId="167" fontId="30" fillId="0" borderId="0" xfId="0" applyFont="1" applyFill="1" applyAlignment="1">
      <alignment horizontal="right" vertical="top"/>
    </xf>
    <xf numFmtId="178" fontId="30" fillId="0" borderId="27" xfId="0" applyNumberFormat="1" applyFont="1" applyFill="1" applyBorder="1">
      <alignment vertical="top"/>
    </xf>
    <xf numFmtId="167" fontId="50" fillId="0" borderId="0" xfId="0" applyFont="1" applyFill="1">
      <alignment vertical="top"/>
    </xf>
    <xf numFmtId="168" fontId="35" fillId="50" borderId="0" xfId="4" applyFont="1" applyFill="1">
      <alignment vertical="top"/>
    </xf>
    <xf numFmtId="168" fontId="36" fillId="50" borderId="0" xfId="4" applyFont="1" applyFill="1">
      <alignment vertical="top"/>
    </xf>
    <xf numFmtId="168" fontId="34" fillId="50" borderId="0" xfId="4" applyFont="1" applyFill="1">
      <alignment vertical="top"/>
    </xf>
    <xf numFmtId="174" fontId="35" fillId="0" borderId="0" xfId="4" applyNumberFormat="1" applyFont="1" applyFill="1">
      <alignment vertical="top"/>
    </xf>
    <xf numFmtId="174" fontId="36" fillId="0" borderId="0" xfId="4" applyNumberFormat="1" applyFont="1" applyFill="1">
      <alignment vertical="top"/>
    </xf>
    <xf numFmtId="167" fontId="34" fillId="0" borderId="0" xfId="4" applyNumberFormat="1" applyFont="1" applyFill="1" applyBorder="1">
      <alignment vertical="top"/>
    </xf>
    <xf numFmtId="178" fontId="3" fillId="0" borderId="0" xfId="0" applyNumberFormat="1" applyFont="1" applyFill="1" applyBorder="1" applyAlignment="1">
      <alignment horizontal="right" vertical="top"/>
    </xf>
    <xf numFmtId="178" fontId="0" fillId="0" borderId="0" xfId="0" applyNumberFormat="1" applyFill="1" applyBorder="1">
      <alignment vertical="top"/>
    </xf>
    <xf numFmtId="176" fontId="3" fillId="42" borderId="0" xfId="2" applyFont="1" applyFill="1" applyBorder="1">
      <alignment vertical="top"/>
    </xf>
    <xf numFmtId="171" fontId="3" fillId="41" borderId="28" xfId="0" applyNumberFormat="1" applyFont="1" applyFill="1" applyBorder="1">
      <alignment vertical="top"/>
    </xf>
    <xf numFmtId="1" fontId="3" fillId="0" borderId="0" xfId="5" applyNumberFormat="1" applyFont="1" applyFill="1" applyBorder="1" applyAlignment="1" applyProtection="1">
      <alignment vertical="center"/>
    </xf>
    <xf numFmtId="169" fontId="3" fillId="42" borderId="0" xfId="5" applyFont="1" applyFill="1" applyBorder="1">
      <alignment vertical="top"/>
    </xf>
    <xf numFmtId="169" fontId="3" fillId="0" borderId="0" xfId="0" applyNumberFormat="1" applyFont="1" applyFill="1" applyBorder="1">
      <alignment vertical="top"/>
    </xf>
    <xf numFmtId="169" fontId="3" fillId="0" borderId="0" xfId="4" applyNumberFormat="1" applyFont="1" applyFill="1" applyBorder="1">
      <alignment vertical="top"/>
    </xf>
    <xf numFmtId="178" fontId="3" fillId="0" borderId="0" xfId="53" applyNumberFormat="1" applyFont="1">
      <alignment vertical="top"/>
    </xf>
    <xf numFmtId="180" fontId="3" fillId="0" borderId="0" xfId="5" applyNumberFormat="1" applyFont="1">
      <alignment vertical="top"/>
    </xf>
    <xf numFmtId="178" fontId="3" fillId="0" borderId="0" xfId="5" applyNumberFormat="1" applyFont="1">
      <alignment vertical="top"/>
    </xf>
    <xf numFmtId="178" fontId="3" fillId="0" borderId="0" xfId="53" applyNumberFormat="1" applyFont="1" applyFill="1">
      <alignment vertical="top"/>
    </xf>
    <xf numFmtId="167" fontId="10" fillId="0" borderId="0" xfId="4" applyNumberFormat="1" applyFont="1" applyBorder="1">
      <alignment vertical="top"/>
    </xf>
    <xf numFmtId="178" fontId="3" fillId="0" borderId="0" xfId="0" applyNumberFormat="1" applyFont="1" applyAlignment="1">
      <alignment horizontal="right"/>
    </xf>
    <xf numFmtId="178" fontId="10" fillId="0" borderId="0" xfId="5" applyNumberFormat="1" applyFont="1" applyFill="1">
      <alignment vertical="top"/>
    </xf>
    <xf numFmtId="176" fontId="10" fillId="0" borderId="0" xfId="5" applyNumberFormat="1" applyFont="1" applyFill="1">
      <alignment vertical="top"/>
    </xf>
    <xf numFmtId="181" fontId="10" fillId="0" borderId="0" xfId="0" applyNumberFormat="1" applyFont="1" applyFill="1">
      <alignment vertical="top"/>
    </xf>
    <xf numFmtId="181" fontId="10" fillId="0" borderId="0" xfId="5" applyNumberFormat="1" applyFont="1" applyFill="1">
      <alignment vertical="top"/>
    </xf>
    <xf numFmtId="169" fontId="34" fillId="42" borderId="0" xfId="5" applyFont="1" applyFill="1" applyBorder="1">
      <alignment vertical="top"/>
    </xf>
    <xf numFmtId="178" fontId="34" fillId="0" borderId="0" xfId="0" applyNumberFormat="1" applyFont="1" applyBorder="1">
      <alignment vertical="top"/>
    </xf>
    <xf numFmtId="182" fontId="34" fillId="0" borderId="0" xfId="5" applyNumberFormat="1" applyFont="1" applyBorder="1">
      <alignment vertical="top"/>
    </xf>
    <xf numFmtId="182" fontId="34" fillId="42" borderId="0" xfId="5" applyNumberFormat="1" applyFont="1" applyFill="1" applyBorder="1">
      <alignment vertical="top"/>
    </xf>
    <xf numFmtId="182" fontId="34" fillId="0" borderId="0" xfId="5" applyNumberFormat="1" applyFont="1" applyFill="1" applyBorder="1">
      <alignment vertical="top"/>
    </xf>
    <xf numFmtId="167" fontId="35" fillId="39" borderId="0" xfId="0" applyFont="1" applyFill="1" applyBorder="1">
      <alignment vertical="top"/>
    </xf>
    <xf numFmtId="176" fontId="34" fillId="0" borderId="0" xfId="2" applyFont="1" applyBorder="1" applyAlignment="1">
      <alignment horizontal="left" vertical="top"/>
    </xf>
    <xf numFmtId="170" fontId="34" fillId="0" borderId="0" xfId="0" applyNumberFormat="1" applyFont="1" applyBorder="1">
      <alignment vertical="top"/>
    </xf>
    <xf numFmtId="170" fontId="34" fillId="0" borderId="0" xfId="0" applyNumberFormat="1" applyFont="1" applyFill="1" applyBorder="1">
      <alignment vertical="top"/>
    </xf>
    <xf numFmtId="176" fontId="34" fillId="0" borderId="0" xfId="2" applyFont="1" applyAlignment="1">
      <alignment horizontal="left" vertical="top"/>
    </xf>
    <xf numFmtId="167" fontId="35" fillId="41" borderId="0" xfId="0" applyFont="1" applyFill="1" applyAlignment="1">
      <alignment vertical="top" wrapText="1"/>
    </xf>
    <xf numFmtId="167" fontId="35" fillId="41" borderId="0" xfId="0" applyFont="1" applyFill="1">
      <alignment vertical="top"/>
    </xf>
    <xf numFmtId="171" fontId="3" fillId="42" borderId="0" xfId="4" applyNumberFormat="1" applyFont="1" applyFill="1" applyBorder="1">
      <alignment vertical="top"/>
    </xf>
    <xf numFmtId="171" fontId="3" fillId="0" borderId="0" xfId="4" applyNumberFormat="1" applyFont="1">
      <alignment vertical="top"/>
    </xf>
    <xf numFmtId="171" fontId="3" fillId="0" borderId="0" xfId="4" applyNumberFormat="1" applyFont="1" applyFill="1">
      <alignment vertical="top"/>
    </xf>
    <xf numFmtId="171" fontId="3" fillId="0" borderId="0" xfId="4" applyNumberFormat="1" applyFont="1" applyFill="1" applyBorder="1">
      <alignment vertical="top"/>
    </xf>
    <xf numFmtId="171" fontId="3" fillId="0" borderId="0" xfId="4" applyNumberFormat="1" applyFont="1" applyBorder="1">
      <alignment vertical="top"/>
    </xf>
    <xf numFmtId="0" fontId="1" fillId="0" borderId="0" xfId="72"/>
    <xf numFmtId="0" fontId="34" fillId="0" borderId="0" xfId="72" applyFont="1" applyAlignment="1">
      <alignment vertical="top"/>
    </xf>
    <xf numFmtId="167" fontId="33" fillId="49" borderId="0" xfId="74" applyFont="1" applyFill="1">
      <alignment vertical="top"/>
    </xf>
    <xf numFmtId="0" fontId="1" fillId="49" borderId="0" xfId="72" applyFill="1"/>
    <xf numFmtId="0" fontId="3" fillId="49" borderId="0" xfId="72" applyFont="1" applyFill="1" applyAlignment="1">
      <alignment vertical="top"/>
    </xf>
    <xf numFmtId="167" fontId="56" fillId="52" borderId="0" xfId="75" applyFont="1" applyFill="1">
      <alignment vertical="top"/>
    </xf>
    <xf numFmtId="0" fontId="3" fillId="0" borderId="0" xfId="76" applyProtection="1">
      <protection locked="0"/>
    </xf>
    <xf numFmtId="0" fontId="5" fillId="0" borderId="0" xfId="76" applyFont="1" applyAlignment="1" applyProtection="1">
      <alignment horizontal="center" vertical="top"/>
      <protection locked="0"/>
    </xf>
    <xf numFmtId="0" fontId="5" fillId="0" borderId="0" xfId="76" applyFont="1" applyAlignment="1" applyProtection="1">
      <alignment vertical="top" wrapText="1"/>
      <protection locked="0"/>
    </xf>
    <xf numFmtId="0" fontId="3" fillId="41" borderId="0" xfId="72" applyFont="1" applyFill="1" applyAlignment="1">
      <alignment vertical="top"/>
    </xf>
    <xf numFmtId="0" fontId="3" fillId="0" borderId="0" xfId="72" applyFont="1" applyAlignment="1">
      <alignment vertical="top"/>
    </xf>
    <xf numFmtId="0" fontId="3" fillId="0" borderId="0" xfId="72" applyFont="1" applyAlignment="1">
      <alignment horizontal="right" vertical="top"/>
    </xf>
    <xf numFmtId="170" fontId="59" fillId="0" borderId="0" xfId="74" applyNumberFormat="1" applyFont="1" applyFill="1">
      <alignment vertical="top"/>
    </xf>
    <xf numFmtId="170" fontId="3" fillId="0" borderId="0" xfId="74" applyNumberFormat="1" applyFont="1" applyFill="1">
      <alignment vertical="top"/>
    </xf>
    <xf numFmtId="185" fontId="3" fillId="0" borderId="0" xfId="79" applyFont="1" applyFill="1" applyAlignment="1">
      <alignment vertical="top"/>
    </xf>
    <xf numFmtId="170" fontId="3" fillId="0" borderId="0" xfId="74" applyNumberFormat="1" applyFont="1" applyFill="1" applyBorder="1" applyAlignment="1">
      <alignment horizontal="left" vertical="top"/>
    </xf>
    <xf numFmtId="170" fontId="3" fillId="0" borderId="0" xfId="74" applyNumberFormat="1" applyFont="1" applyFill="1" applyBorder="1">
      <alignment vertical="top"/>
    </xf>
    <xf numFmtId="167" fontId="0" fillId="0" borderId="0" xfId="0" applyAlignment="1"/>
    <xf numFmtId="168" fontId="3" fillId="49" borderId="0" xfId="4" applyFont="1" applyFill="1">
      <alignment vertical="top"/>
    </xf>
    <xf numFmtId="167" fontId="5" fillId="0" borderId="0" xfId="74" applyFont="1">
      <alignment vertical="top"/>
    </xf>
    <xf numFmtId="167" fontId="6" fillId="0" borderId="0" xfId="74" applyFont="1" applyFill="1">
      <alignment vertical="top"/>
    </xf>
    <xf numFmtId="167" fontId="3" fillId="0" borderId="0" xfId="74" applyFont="1" applyAlignment="1">
      <alignment horizontal="right" vertical="top"/>
    </xf>
    <xf numFmtId="185" fontId="3" fillId="0" borderId="0" xfId="79" applyFont="1" applyAlignment="1">
      <alignment vertical="top"/>
    </xf>
    <xf numFmtId="168" fontId="3" fillId="49" borderId="0" xfId="4" applyFont="1" applyFill="1" applyBorder="1" applyAlignment="1">
      <alignment horizontal="right" vertical="top"/>
    </xf>
    <xf numFmtId="167" fontId="3" fillId="0" borderId="0" xfId="74" applyFont="1">
      <alignment vertical="top"/>
    </xf>
    <xf numFmtId="0" fontId="5" fillId="39" borderId="0" xfId="72" applyFont="1" applyFill="1" applyAlignment="1">
      <alignment vertical="top"/>
    </xf>
    <xf numFmtId="0" fontId="3" fillId="39" borderId="0" xfId="72" applyFont="1" applyFill="1" applyAlignment="1">
      <alignment vertical="top"/>
    </xf>
    <xf numFmtId="0" fontId="5" fillId="39" borderId="0" xfId="72" applyFont="1" applyFill="1" applyAlignment="1">
      <alignment horizontal="left" vertical="top"/>
    </xf>
    <xf numFmtId="0" fontId="5" fillId="0" borderId="0" xfId="72" applyFont="1" applyAlignment="1">
      <alignment vertical="top"/>
    </xf>
    <xf numFmtId="0" fontId="6" fillId="0" borderId="0" xfId="72" applyFont="1" applyAlignment="1">
      <alignment vertical="top"/>
    </xf>
    <xf numFmtId="0" fontId="3" fillId="42" borderId="0" xfId="72" applyFont="1" applyFill="1" applyAlignment="1">
      <alignment horizontal="left" vertical="top"/>
    </xf>
    <xf numFmtId="0" fontId="3" fillId="0" borderId="0" xfId="72" applyFont="1" applyAlignment="1">
      <alignment horizontal="left" vertical="top"/>
    </xf>
    <xf numFmtId="0" fontId="3" fillId="41" borderId="0" xfId="72" applyFont="1" applyFill="1" applyAlignment="1">
      <alignment horizontal="left" vertical="top"/>
    </xf>
    <xf numFmtId="0" fontId="3" fillId="2" borderId="0" xfId="72" applyFont="1" applyFill="1" applyAlignment="1">
      <alignment horizontal="left" vertical="top"/>
    </xf>
    <xf numFmtId="0" fontId="3" fillId="5" borderId="0" xfId="72" applyFont="1" applyFill="1" applyAlignment="1">
      <alignment horizontal="left" vertical="top"/>
    </xf>
    <xf numFmtId="0" fontId="3" fillId="4" borderId="0" xfId="72" applyFont="1" applyFill="1" applyAlignment="1">
      <alignment horizontal="left" vertical="top"/>
    </xf>
    <xf numFmtId="0" fontId="3" fillId="53" borderId="0" xfId="72" applyFont="1" applyFill="1" applyAlignment="1">
      <alignment vertical="top"/>
    </xf>
    <xf numFmtId="0" fontId="7" fillId="0" borderId="0" xfId="72" applyFont="1" applyAlignment="1">
      <alignment vertical="top"/>
    </xf>
    <xf numFmtId="0" fontId="9" fillId="0" borderId="0" xfId="72" applyFont="1" applyAlignment="1">
      <alignment vertical="top"/>
    </xf>
    <xf numFmtId="0" fontId="3" fillId="42" borderId="0" xfId="72" applyFont="1" applyFill="1" applyAlignment="1">
      <alignment vertical="top"/>
    </xf>
    <xf numFmtId="0" fontId="7" fillId="41" borderId="0" xfId="72" applyFont="1" applyFill="1" applyAlignment="1">
      <alignment vertical="top"/>
    </xf>
    <xf numFmtId="0" fontId="3" fillId="2" borderId="0" xfId="72" applyFont="1" applyFill="1" applyAlignment="1">
      <alignment vertical="top"/>
    </xf>
    <xf numFmtId="0" fontId="3" fillId="5" borderId="0" xfId="72" applyFont="1" applyFill="1" applyAlignment="1">
      <alignment vertical="top"/>
    </xf>
    <xf numFmtId="0" fontId="3" fillId="6" borderId="0" xfId="72" applyFont="1" applyFill="1" applyAlignment="1">
      <alignment vertical="top"/>
    </xf>
    <xf numFmtId="0" fontId="3" fillId="4" borderId="0" xfId="72" applyFont="1" applyFill="1" applyAlignment="1">
      <alignment vertical="top"/>
    </xf>
    <xf numFmtId="0" fontId="3" fillId="43" borderId="0" xfId="72" applyFont="1" applyFill="1" applyAlignment="1">
      <alignment vertical="top"/>
    </xf>
    <xf numFmtId="0" fontId="3" fillId="44" borderId="0" xfId="72" applyFont="1" applyFill="1" applyAlignment="1">
      <alignment vertical="top"/>
    </xf>
    <xf numFmtId="0" fontId="3" fillId="7" borderId="0" xfId="72" applyFont="1" applyFill="1" applyAlignment="1">
      <alignment vertical="top"/>
    </xf>
    <xf numFmtId="0" fontId="3" fillId="3" borderId="0" xfId="72" applyFont="1" applyFill="1" applyAlignment="1">
      <alignment vertical="top"/>
    </xf>
    <xf numFmtId="167" fontId="56" fillId="52" borderId="0" xfId="80" applyNumberFormat="1" applyFont="1" applyFill="1" applyAlignment="1">
      <alignment vertical="top"/>
    </xf>
    <xf numFmtId="0" fontId="58" fillId="52" borderId="0" xfId="80" applyFont="1" applyFill="1"/>
    <xf numFmtId="0" fontId="58" fillId="0" borderId="0" xfId="80" applyFont="1"/>
    <xf numFmtId="0" fontId="43" fillId="0" borderId="0" xfId="80"/>
    <xf numFmtId="0" fontId="33" fillId="0" borderId="0" xfId="80" applyFont="1"/>
    <xf numFmtId="0" fontId="57" fillId="0" borderId="0" xfId="80" applyFont="1"/>
    <xf numFmtId="0" fontId="43" fillId="0" borderId="1" xfId="80" applyBorder="1"/>
    <xf numFmtId="0" fontId="43" fillId="0" borderId="2" xfId="80" applyBorder="1"/>
    <xf numFmtId="0" fontId="43" fillId="0" borderId="3" xfId="80" applyBorder="1"/>
    <xf numFmtId="0" fontId="43" fillId="0" borderId="22" xfId="80" applyBorder="1"/>
    <xf numFmtId="0" fontId="43" fillId="0" borderId="23" xfId="80" applyBorder="1"/>
    <xf numFmtId="0" fontId="43" fillId="0" borderId="24" xfId="80" applyBorder="1"/>
    <xf numFmtId="0" fontId="43" fillId="0" borderId="4" xfId="80" applyBorder="1"/>
    <xf numFmtId="167" fontId="60" fillId="54" borderId="31" xfId="80" applyNumberFormat="1" applyFont="1" applyFill="1" applyBorder="1" applyAlignment="1">
      <alignment horizontal="center" vertical="center"/>
    </xf>
    <xf numFmtId="0" fontId="43" fillId="0" borderId="5" xfId="80" applyBorder="1"/>
    <xf numFmtId="0" fontId="43" fillId="55" borderId="31" xfId="80" applyFill="1" applyBorder="1"/>
    <xf numFmtId="0" fontId="10" fillId="39" borderId="31" xfId="80" applyFont="1" applyFill="1" applyBorder="1"/>
    <xf numFmtId="0" fontId="43" fillId="0" borderId="20" xfId="80" applyBorder="1"/>
    <xf numFmtId="0" fontId="43" fillId="0" borderId="21" xfId="80" applyBorder="1"/>
    <xf numFmtId="0" fontId="43" fillId="0" borderId="7" xfId="80" applyBorder="1"/>
    <xf numFmtId="0" fontId="43" fillId="0" borderId="9" xfId="80" applyBorder="1"/>
    <xf numFmtId="0" fontId="43" fillId="0" borderId="8" xfId="80" applyBorder="1"/>
    <xf numFmtId="0" fontId="43" fillId="49" borderId="0" xfId="80" applyFill="1"/>
    <xf numFmtId="0" fontId="33" fillId="56" borderId="0" xfId="80" applyFont="1" applyFill="1"/>
    <xf numFmtId="0" fontId="43" fillId="56" borderId="0" xfId="80" applyFill="1"/>
    <xf numFmtId="0" fontId="43" fillId="0" borderId="0" xfId="80" applyAlignment="1">
      <alignment wrapText="1"/>
    </xf>
    <xf numFmtId="0" fontId="7" fillId="0" borderId="0" xfId="80" applyFont="1" applyAlignment="1">
      <alignment vertical="top"/>
    </xf>
    <xf numFmtId="0" fontId="3" fillId="0" borderId="0" xfId="80" applyFont="1" applyAlignment="1">
      <alignment horizontal="left" vertical="top" wrapText="1"/>
    </xf>
    <xf numFmtId="0" fontId="43" fillId="0" borderId="0" xfId="80" applyAlignment="1">
      <alignment horizontal="center"/>
    </xf>
    <xf numFmtId="0" fontId="43" fillId="0" borderId="32" xfId="80" applyBorder="1"/>
    <xf numFmtId="0" fontId="43" fillId="0" borderId="33" xfId="80" applyBorder="1"/>
    <xf numFmtId="167" fontId="10" fillId="56" borderId="29" xfId="80" applyNumberFormat="1" applyFont="1" applyFill="1" applyBorder="1"/>
    <xf numFmtId="0" fontId="43" fillId="0" borderId="34" xfId="80" applyBorder="1"/>
    <xf numFmtId="0" fontId="43" fillId="0" borderId="35" xfId="80" applyBorder="1"/>
    <xf numFmtId="0" fontId="10" fillId="57" borderId="31" xfId="80" applyFont="1" applyFill="1" applyBorder="1"/>
    <xf numFmtId="178" fontId="3" fillId="48" borderId="0" xfId="0" applyNumberFormat="1" applyFont="1" applyFill="1">
      <alignment vertical="top"/>
    </xf>
    <xf numFmtId="180" fontId="34" fillId="48" borderId="27" xfId="53" applyNumberFormat="1" applyFont="1" applyFill="1" applyBorder="1">
      <alignment vertical="top"/>
    </xf>
    <xf numFmtId="167" fontId="46" fillId="56" borderId="31" xfId="80" applyNumberFormat="1" applyFont="1" applyFill="1" applyBorder="1" applyAlignment="1">
      <alignment horizontal="center"/>
    </xf>
    <xf numFmtId="170" fontId="34" fillId="0" borderId="0" xfId="0" applyNumberFormat="1" applyFont="1" applyFill="1" applyBorder="1" applyAlignment="1">
      <alignment horizontal="left" vertical="top"/>
    </xf>
    <xf numFmtId="167" fontId="61" fillId="0" borderId="0" xfId="0" applyFont="1" applyFill="1">
      <alignment vertical="top"/>
    </xf>
    <xf numFmtId="167" fontId="43" fillId="0" borderId="0" xfId="0" applyFont="1" applyFill="1" applyAlignment="1">
      <alignment horizontal="right" vertical="top"/>
    </xf>
    <xf numFmtId="178" fontId="43" fillId="0" borderId="0" xfId="0" applyNumberFormat="1" applyFont="1" applyFill="1">
      <alignment vertical="top"/>
    </xf>
    <xf numFmtId="167" fontId="43" fillId="0" borderId="0" xfId="0" applyFont="1" applyFill="1">
      <alignment vertical="top"/>
    </xf>
    <xf numFmtId="180" fontId="43" fillId="0" borderId="0" xfId="53" applyNumberFormat="1" applyFont="1" applyBorder="1">
      <alignment vertical="top"/>
    </xf>
    <xf numFmtId="170" fontId="33" fillId="0" borderId="0" xfId="53" applyFont="1">
      <alignment vertical="top"/>
    </xf>
    <xf numFmtId="170" fontId="61" fillId="0" borderId="0" xfId="53" applyFont="1" applyFill="1">
      <alignment vertical="top"/>
    </xf>
    <xf numFmtId="170" fontId="43" fillId="0" borderId="0" xfId="53" applyFont="1" applyAlignment="1">
      <alignment horizontal="right" vertical="top"/>
    </xf>
    <xf numFmtId="170" fontId="43" fillId="0" borderId="0" xfId="53" applyFont="1" applyBorder="1">
      <alignment vertical="top"/>
    </xf>
    <xf numFmtId="170" fontId="43" fillId="0" borderId="0" xfId="53" applyFont="1" applyFill="1" applyBorder="1">
      <alignment vertical="top"/>
    </xf>
    <xf numFmtId="167" fontId="62" fillId="0" borderId="0" xfId="0" applyFont="1">
      <alignment vertical="top"/>
    </xf>
    <xf numFmtId="167" fontId="63" fillId="0" borderId="0" xfId="0" applyFont="1" applyAlignment="1"/>
    <xf numFmtId="167" fontId="64" fillId="0" borderId="0" xfId="0" applyFont="1" applyAlignment="1"/>
    <xf numFmtId="170" fontId="65" fillId="0" borderId="0" xfId="53" applyFont="1" applyFill="1" applyBorder="1">
      <alignment vertical="top"/>
    </xf>
    <xf numFmtId="180" fontId="65" fillId="0" borderId="0" xfId="53" applyNumberFormat="1" applyFont="1" applyBorder="1">
      <alignment vertical="top"/>
    </xf>
    <xf numFmtId="170" fontId="65" fillId="0" borderId="0" xfId="53" applyFont="1" applyBorder="1">
      <alignment vertical="top"/>
    </xf>
    <xf numFmtId="184" fontId="65" fillId="0" borderId="0" xfId="53" applyNumberFormat="1" applyFont="1" applyBorder="1" applyAlignment="1">
      <alignment horizontal="right"/>
    </xf>
    <xf numFmtId="167" fontId="65" fillId="0" borderId="0" xfId="0" applyFont="1" applyFill="1" applyBorder="1">
      <alignment vertical="top"/>
    </xf>
    <xf numFmtId="167" fontId="66" fillId="0" borderId="36" xfId="0" applyFont="1" applyFill="1" applyBorder="1">
      <alignment vertical="top"/>
    </xf>
    <xf numFmtId="167" fontId="3" fillId="0" borderId="30" xfId="0" applyFont="1" applyFill="1" applyBorder="1">
      <alignment vertical="top"/>
    </xf>
    <xf numFmtId="167" fontId="44" fillId="47" borderId="0" xfId="0" applyFont="1" applyFill="1">
      <alignment vertical="top"/>
    </xf>
    <xf numFmtId="167" fontId="3" fillId="44" borderId="0" xfId="0" applyFont="1" applyFill="1">
      <alignment vertical="top"/>
    </xf>
    <xf numFmtId="167" fontId="8" fillId="0" borderId="0" xfId="0" applyFont="1" applyAlignment="1">
      <alignment horizontal="left" vertical="top"/>
    </xf>
    <xf numFmtId="167" fontId="5" fillId="0" borderId="0" xfId="0" applyFont="1" applyAlignment="1">
      <alignment horizontal="right" vertical="top"/>
    </xf>
    <xf numFmtId="167" fontId="5" fillId="39" borderId="0" xfId="0" applyFont="1" applyFill="1">
      <alignment vertical="top"/>
    </xf>
    <xf numFmtId="167" fontId="0" fillId="0" borderId="0" xfId="0" applyAlignment="1">
      <alignment horizontal="right"/>
    </xf>
    <xf numFmtId="167" fontId="3" fillId="42" borderId="0" xfId="0" applyFont="1" applyFill="1" applyAlignment="1" applyProtection="1">
      <alignment horizontal="center" vertical="center"/>
      <protection locked="0"/>
    </xf>
    <xf numFmtId="167" fontId="3" fillId="42" borderId="31" xfId="0" applyFont="1" applyFill="1" applyBorder="1">
      <alignment vertical="top"/>
    </xf>
    <xf numFmtId="178" fontId="34" fillId="42" borderId="0" xfId="0" applyNumberFormat="1" applyFont="1" applyFill="1">
      <alignment vertical="top"/>
    </xf>
    <xf numFmtId="167" fontId="35" fillId="39" borderId="0" xfId="0" applyFont="1" applyFill="1">
      <alignment vertical="top"/>
    </xf>
    <xf numFmtId="170" fontId="34" fillId="0" borderId="0" xfId="0" applyNumberFormat="1" applyFont="1">
      <alignment vertical="top"/>
    </xf>
    <xf numFmtId="170" fontId="34" fillId="0" borderId="0" xfId="0" applyNumberFormat="1" applyFont="1" applyAlignment="1">
      <alignment horizontal="right"/>
    </xf>
    <xf numFmtId="178" fontId="0" fillId="0" borderId="0" xfId="0" applyNumberFormat="1">
      <alignment vertical="top"/>
    </xf>
    <xf numFmtId="0" fontId="0" fillId="0" borderId="0" xfId="0" applyNumberFormat="1" applyAlignment="1"/>
    <xf numFmtId="186" fontId="0" fillId="0" borderId="0" xfId="0" applyNumberFormat="1" applyAlignment="1"/>
    <xf numFmtId="174" fontId="34" fillId="0" borderId="0" xfId="0" applyNumberFormat="1" applyFont="1" applyFill="1" applyBorder="1">
      <alignment vertical="top"/>
    </xf>
    <xf numFmtId="174" fontId="35" fillId="58" borderId="27" xfId="53" applyNumberFormat="1" applyFont="1" applyFill="1" applyBorder="1">
      <alignment vertical="top"/>
    </xf>
    <xf numFmtId="174" fontId="10" fillId="0" borderId="0" xfId="0" applyNumberFormat="1" applyFont="1" applyFill="1">
      <alignment vertical="top"/>
    </xf>
    <xf numFmtId="0" fontId="3" fillId="42" borderId="0" xfId="0" applyNumberFormat="1" applyFont="1" applyFill="1" applyBorder="1" applyAlignment="1" applyProtection="1">
      <alignment vertical="center"/>
      <protection locked="0"/>
    </xf>
    <xf numFmtId="178" fontId="34" fillId="42" borderId="0" xfId="0" applyNumberFormat="1" applyFont="1" applyFill="1" applyBorder="1">
      <alignment vertical="top"/>
    </xf>
    <xf numFmtId="167" fontId="34" fillId="44" borderId="0" xfId="0" applyFont="1" applyFill="1" applyBorder="1" applyAlignment="1">
      <alignment horizontal="right" vertical="top"/>
    </xf>
    <xf numFmtId="172" fontId="3" fillId="42" borderId="0" xfId="0" applyNumberFormat="1" applyFont="1" applyFill="1" applyBorder="1">
      <alignment vertical="top"/>
    </xf>
    <xf numFmtId="167" fontId="3" fillId="42" borderId="0" xfId="0" applyFont="1" applyFill="1" applyBorder="1">
      <alignment vertical="top"/>
    </xf>
    <xf numFmtId="167" fontId="3" fillId="0" borderId="0" xfId="0" applyFont="1" applyBorder="1" applyAlignment="1">
      <alignment horizontal="right"/>
    </xf>
    <xf numFmtId="14" fontId="3" fillId="42" borderId="0" xfId="0" applyNumberFormat="1" applyFont="1" applyFill="1" applyBorder="1">
      <alignment vertical="top"/>
    </xf>
    <xf numFmtId="9" fontId="3" fillId="42" borderId="0" xfId="0" applyNumberFormat="1" applyFont="1" applyFill="1" applyBorder="1" applyAlignment="1" applyProtection="1">
      <alignment vertical="center"/>
      <protection locked="0"/>
    </xf>
    <xf numFmtId="170" fontId="34" fillId="0" borderId="0" xfId="0" applyNumberFormat="1" applyFont="1" applyFill="1" applyBorder="1" applyAlignment="1">
      <alignment horizontal="right"/>
    </xf>
    <xf numFmtId="174" fontId="10" fillId="0" borderId="0" xfId="4" applyNumberFormat="1" applyFont="1" applyBorder="1">
      <alignment vertical="top"/>
    </xf>
    <xf numFmtId="174" fontId="0" fillId="0" borderId="0" xfId="0" applyNumberFormat="1">
      <alignment vertical="top"/>
    </xf>
    <xf numFmtId="174" fontId="10" fillId="0" borderId="0" xfId="4" applyNumberFormat="1" applyFont="1">
      <alignment vertical="top"/>
    </xf>
    <xf numFmtId="167" fontId="68" fillId="59" borderId="0" xfId="81" applyFont="1" applyFill="1">
      <alignment vertical="top"/>
    </xf>
    <xf numFmtId="167" fontId="70" fillId="59" borderId="0" xfId="82" applyFont="1" applyFill="1">
      <alignment vertical="top"/>
    </xf>
    <xf numFmtId="167" fontId="70" fillId="0" borderId="0" xfId="82" applyFont="1" applyFill="1">
      <alignment vertical="top"/>
    </xf>
    <xf numFmtId="167" fontId="71" fillId="0" borderId="0" xfId="82" applyFont="1" applyFill="1">
      <alignment vertical="top"/>
    </xf>
    <xf numFmtId="167" fontId="72" fillId="0" borderId="0" xfId="82" applyFont="1" applyFill="1">
      <alignment vertical="top"/>
    </xf>
    <xf numFmtId="171" fontId="70" fillId="0" borderId="0" xfId="82" applyNumberFormat="1" applyFont="1" applyFill="1" applyAlignment="1">
      <alignment horizontal="left" vertical="top"/>
    </xf>
    <xf numFmtId="167" fontId="70" fillId="0" borderId="0" xfId="82" applyFont="1" applyFill="1" applyAlignment="1">
      <alignment horizontal="left" vertical="center"/>
    </xf>
    <xf numFmtId="187" fontId="70" fillId="0" borderId="0" xfId="83" applyNumberFormat="1" applyFont="1" applyFill="1" applyAlignment="1">
      <alignment horizontal="left" vertical="top"/>
    </xf>
    <xf numFmtId="167" fontId="73" fillId="0" borderId="0" xfId="84" applyNumberFormat="1" applyFill="1" applyAlignment="1">
      <alignment vertical="top"/>
    </xf>
    <xf numFmtId="167" fontId="74" fillId="0" borderId="0" xfId="81" applyFont="1" applyAlignment="1"/>
  </cellXfs>
  <cellStyles count="85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2" xfId="33" builtinId="36" customBuiltin="1"/>
    <cellStyle name="60% - Accent3" xfId="37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5" builtinId="27" customBuiltin="1"/>
    <cellStyle name="BM Input" xfId="54" xr:uid="{00000000-0005-0000-0000-000019000000}"/>
    <cellStyle name="Calculation" xfId="19" builtinId="22" customBuiltin="1"/>
    <cellStyle name="Check Cell" xfId="21" builtinId="23" customBuiltin="1"/>
    <cellStyle name="Column 1" xfId="61" xr:uid="{00000000-0005-0000-0000-00001C000000}"/>
    <cellStyle name="Column 2 + 3" xfId="62" xr:uid="{00000000-0005-0000-0000-00001D000000}"/>
    <cellStyle name="Column 4" xfId="63" xr:uid="{00000000-0005-0000-0000-00001E000000}"/>
    <cellStyle name="Comma" xfId="52" builtinId="3" hidden="1"/>
    <cellStyle name="Comma" xfId="1" builtinId="3" hidden="1" customBuiltin="1"/>
    <cellStyle name="Comma" xfId="53" builtinId="3"/>
    <cellStyle name="Comma [0]" xfId="6" builtinId="6" hidden="1" customBuiltin="1"/>
    <cellStyle name="Comma 2" xfId="56" xr:uid="{00000000-0005-0000-0000-000023000000}"/>
    <cellStyle name="Comma 4" xfId="79" xr:uid="{00000000-0005-0000-0000-000024000000}"/>
    <cellStyle name="Currency" xfId="7" builtinId="4" hidden="1" customBuiltin="1"/>
    <cellStyle name="Currency [0]" xfId="8" builtinId="7" hidden="1" customBuiltin="1"/>
    <cellStyle name="DateLong" xfId="2" xr:uid="{00000000-0005-0000-0000-000027000000}"/>
    <cellStyle name="DateLong 2" xfId="59" xr:uid="{00000000-0005-0000-0000-000028000000}"/>
    <cellStyle name="DateShort" xfId="3" xr:uid="{00000000-0005-0000-0000-000029000000}"/>
    <cellStyle name="End of sheet" xfId="71" xr:uid="{00000000-0005-0000-0000-00002A000000}"/>
    <cellStyle name="Explanatory Text" xfId="24" builtinId="53" customBuiltin="1"/>
    <cellStyle name="Factor" xfId="4" xr:uid="{00000000-0005-0000-0000-00002C000000}"/>
    <cellStyle name="Factor 2" xfId="58" xr:uid="{00000000-0005-0000-0000-00002D000000}"/>
    <cellStyle name="Good" xfId="14" builtinId="26" customBuiltin="1"/>
    <cellStyle name="Heading 1" xfId="10" builtinId="16" customBuiltin="1"/>
    <cellStyle name="Heading 1 3" xfId="70" xr:uid="{00000000-0005-0000-0000-000030000000}"/>
    <cellStyle name="Heading 2" xfId="11" builtinId="17" customBuiltin="1"/>
    <cellStyle name="Heading 3" xfId="12" builtinId="18" customBuiltin="1"/>
    <cellStyle name="Heading 4" xfId="13" builtinId="19" customBuiltin="1"/>
    <cellStyle name="Hyperlink" xfId="50" builtinId="8" customBuiltin="1"/>
    <cellStyle name="Hyperlink 2" xfId="65" xr:uid="{00000000-0005-0000-0000-000035000000}"/>
    <cellStyle name="Hyperlink 2 2" xfId="73" xr:uid="{00000000-0005-0000-0000-000036000000}"/>
    <cellStyle name="Hyperlink 3" xfId="84" xr:uid="{F3C28A33-846F-4918-AB22-9C7AE9F3B875}"/>
    <cellStyle name="Hyperlink 4" xfId="69" xr:uid="{00000000-0005-0000-0000-000037000000}"/>
    <cellStyle name="Import" xfId="64" xr:uid="{00000000-0005-0000-0000-000038000000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 customBuiltin="1"/>
    <cellStyle name="Normal 2" xfId="55" xr:uid="{00000000-0005-0000-0000-00003D000000}"/>
    <cellStyle name="Normal 2 2" xfId="75" xr:uid="{00000000-0005-0000-0000-00003E000000}"/>
    <cellStyle name="Normal 2 2 2" xfId="76" xr:uid="{00000000-0005-0000-0000-00003F000000}"/>
    <cellStyle name="Normal 2 3" xfId="82" xr:uid="{E7DE4D9A-F0B3-4E62-8363-AF15E266CFB6}"/>
    <cellStyle name="Normal 3" xfId="72" xr:uid="{00000000-0005-0000-0000-000040000000}"/>
    <cellStyle name="Normal 3 2" xfId="81" xr:uid="{D181283A-FAE1-4B03-825C-E38F8A184513}"/>
    <cellStyle name="Normal 4" xfId="68" xr:uid="{00000000-0005-0000-0000-000041000000}"/>
    <cellStyle name="Normal 4 2" xfId="74" xr:uid="{00000000-0005-0000-0000-000042000000}"/>
    <cellStyle name="Normal 5" xfId="67" xr:uid="{00000000-0005-0000-0000-000043000000}"/>
    <cellStyle name="Normal 6" xfId="77" xr:uid="{00000000-0005-0000-0000-000044000000}"/>
    <cellStyle name="Normal 9" xfId="80" xr:uid="{00000000-0005-0000-0000-000045000000}"/>
    <cellStyle name="Note" xfId="23" builtinId="10" customBuiltin="1"/>
    <cellStyle name="Output" xfId="18" builtinId="21" customBuiltin="1"/>
    <cellStyle name="Per cent" xfId="5" builtinId="5" customBuiltin="1"/>
    <cellStyle name="Percent 2" xfId="57" xr:uid="{00000000-0005-0000-0000-000049000000}"/>
    <cellStyle name="Percent 3" xfId="78" xr:uid="{00000000-0005-0000-0000-00004A000000}"/>
    <cellStyle name="Title" xfId="9" builtinId="15" customBuiltin="1"/>
    <cellStyle name="Title 3" xfId="66" xr:uid="{00000000-0005-0000-0000-00004C000000}"/>
    <cellStyle name="Total" xfId="25" builtinId="25" customBuiltin="1"/>
    <cellStyle name="Warning Text" xfId="22" builtinId="11" customBuiltin="1"/>
    <cellStyle name="Year" xfId="51" xr:uid="{00000000-0005-0000-0000-00004F000000}"/>
    <cellStyle name="Year 2" xfId="60" xr:uid="{00000000-0005-0000-0000-000050000000}"/>
    <cellStyle name="Year 3" xfId="83" xr:uid="{6ABA0F2C-91D8-4D35-8B91-DA6F923343D1}"/>
  </cellStyles>
  <dxfs count="113"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AF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FFF00"/>
      <color rgb="FF99FF99"/>
      <color rgb="FFCCFFFF"/>
      <color rgb="FF0000FF"/>
      <color rgb="FFC0C0C0"/>
      <color rgb="FF99CCFF"/>
      <color rgb="FFD9D9D9"/>
      <color rgb="FFFFCC99"/>
      <color rgb="FFE26B0A"/>
      <color rgb="FF0086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12</xdr:row>
      <xdr:rowOff>228600</xdr:rowOff>
    </xdr:from>
    <xdr:to>
      <xdr:col>8</xdr:col>
      <xdr:colOff>561975</xdr:colOff>
      <xdr:row>26</xdr:row>
      <xdr:rowOff>133350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591259B3-AB2C-467B-B83D-37E5DFECB85F}"/>
            </a:ext>
          </a:extLst>
        </xdr:cNvPr>
        <xdr:cNvSpPr txBox="1"/>
      </xdr:nvSpPr>
      <xdr:spPr>
        <a:xfrm>
          <a:off x="838200" y="3867150"/>
          <a:ext cx="8772525" cy="3505200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This</a:t>
          </a:r>
          <a:r>
            <a:rPr lang="en-US" sz="1000" baseline="0">
              <a:latin typeface="+mn-lt"/>
              <a:ea typeface="+mn-lt"/>
              <a:cs typeface="+mn-lt"/>
            </a:rPr>
            <a:t> is the Revenue Forecasting Incentive model for the 2020-2025 period.</a:t>
          </a:r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GB" sz="1000" i="0"/>
            <a:t>This model is part of our final determinations setting out the price, service, and incentive package for water companies for the period 2025-30. It should be read together with the other documents and information that we have now published</a:t>
          </a:r>
          <a:endParaRPr lang="en-US" sz="1000" i="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Copied inputs into correct template (July 2024, version 1.1) </a:t>
          </a:r>
          <a:r>
            <a:rPr lang="en-GB" sz="1000"/>
            <a:t> </a:t>
          </a:r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 </a:t>
          </a:r>
          <a:br>
            <a:rPr lang="en-GB" sz="1100" b="0" i="0" u="none" strike="noStrike">
              <a:effectLst/>
              <a:latin typeface="+mn-lt"/>
              <a:ea typeface="+mn-ea"/>
              <a:cs typeface="+mn-cs"/>
            </a:rPr>
          </a:br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Updated the 2023/24 revenue from forecast to actual.  </a:t>
          </a:r>
          <a:r>
            <a:rPr lang="en-GB" sz="1000"/>
            <a:t> </a:t>
          </a:r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 </a:t>
          </a:r>
          <a:br>
            <a:rPr lang="en-GB" sz="1100" b="0" i="0" u="none" strike="noStrike">
              <a:effectLst/>
              <a:latin typeface="+mn-lt"/>
              <a:ea typeface="+mn-ea"/>
              <a:cs typeface="+mn-cs"/>
            </a:rPr>
          </a:br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Adjusted model to exclude 3rd party rechargeable work.  </a:t>
          </a:r>
          <a:r>
            <a:rPr lang="en-GB" sz="1000"/>
            <a:t> </a:t>
          </a:r>
          <a:endParaRPr lang="en-US" sz="1000" b="0">
            <a:solidFill>
              <a:srgbClr val="000000"/>
            </a:solidFill>
            <a:latin typeface="+mn-lt"/>
            <a:ea typeface="+mn-lt"/>
            <a:cs typeface="+mn-lt"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0F6E0D91-7074-44BB-86C0-8973E529A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1" y="609599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7</xdr:row>
      <xdr:rowOff>9525</xdr:rowOff>
    </xdr:from>
    <xdr:to>
      <xdr:col>8</xdr:col>
      <xdr:colOff>402166</xdr:colOff>
      <xdr:row>8</xdr:row>
      <xdr:rowOff>2381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35415EC3-9FBF-4205-B22F-D8F473BC4E42}"/>
            </a:ext>
          </a:extLst>
        </xdr:cNvPr>
        <xdr:cNvSpPr>
          <a:spLocks noChangeArrowheads="1"/>
        </xdr:cNvSpPr>
      </xdr:nvSpPr>
      <xdr:spPr bwMode="auto">
        <a:xfrm rot="10800000">
          <a:off x="4298950" y="1298575"/>
          <a:ext cx="306916" cy="157956"/>
        </a:xfrm>
        <a:prstGeom prst="leftArrow">
          <a:avLst>
            <a:gd name="adj1" fmla="val 50000"/>
            <a:gd name="adj2" fmla="val 50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7</xdr:row>
      <xdr:rowOff>9525</xdr:rowOff>
    </xdr:from>
    <xdr:to>
      <xdr:col>12</xdr:col>
      <xdr:colOff>383116</xdr:colOff>
      <xdr:row>8</xdr:row>
      <xdr:rowOff>2381</xdr:rowOff>
    </xdr:to>
    <xdr:sp macro="" textlink="">
      <xdr:nvSpPr>
        <xdr:cNvPr id="3" name="AutoShape 38">
          <a:extLst>
            <a:ext uri="{FF2B5EF4-FFF2-40B4-BE49-F238E27FC236}">
              <a16:creationId xmlns:a16="http://schemas.microsoft.com/office/drawing/2014/main" id="{BC019E1F-68D9-4DAA-B2EB-A11B4F0EE6F0}"/>
            </a:ext>
          </a:extLst>
        </xdr:cNvPr>
        <xdr:cNvSpPr>
          <a:spLocks noChangeArrowheads="1"/>
        </xdr:cNvSpPr>
      </xdr:nvSpPr>
      <xdr:spPr bwMode="auto">
        <a:xfrm rot="10800000">
          <a:off x="6496050" y="1298575"/>
          <a:ext cx="306916" cy="157956"/>
        </a:xfrm>
        <a:prstGeom prst="leftArrow">
          <a:avLst>
            <a:gd name="adj1" fmla="val 50000"/>
            <a:gd name="adj2" fmla="val 50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C0000" mc:Ignorable="a14" a14:legacySpreadsheetColorIndex="44">
            <a:alpha val="30196"/>
          </a:srgbClr>
        </a:solidFill>
        <a:ln w="19050" cap="flat" cmpd="sng" algn="ctr">
          <a:solidFill>
            <a:srgbClr xmlns:mc="http://schemas.openxmlformats.org/markup-compatibility/2006" xmlns:a14="http://schemas.microsoft.com/office/drawing/2010/main" val="2C0000" mc:Ignorable="a14" a14:legacySpreadsheetColorIndex="4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C0000" mc:Ignorable="a14" a14:legacySpreadsheetColorIndex="44">
            <a:alpha val="30196"/>
          </a:srgbClr>
        </a:solidFill>
        <a:ln w="19050" cap="flat" cmpd="sng" algn="ctr">
          <a:solidFill>
            <a:srgbClr xmlns:mc="http://schemas.openxmlformats.org/markup-compatibility/2006" xmlns:a14="http://schemas.microsoft.com/office/drawing/2010/main" val="2C0000" mc:Ignorable="a14" a14:legacySpreadsheetColorIndex="4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/>
  </sheetViews>
  <sheetFormatPr defaultRowHeight="12.75"/>
  <sheetData>
    <row r="1" spans="1:2">
      <c r="A1" s="461" t="s">
        <v>0</v>
      </c>
      <c r="B1" s="461" t="s">
        <v>1</v>
      </c>
    </row>
    <row r="2" spans="1:2">
      <c r="A2" s="461" t="s">
        <v>2</v>
      </c>
      <c r="B2" s="462">
        <v>5810</v>
      </c>
    </row>
    <row r="3" spans="1:2">
      <c r="A3" s="461" t="s">
        <v>3</v>
      </c>
      <c r="B3" s="461" t="s">
        <v>4</v>
      </c>
    </row>
    <row r="4" spans="1:2">
      <c r="A4" s="461" t="s">
        <v>5</v>
      </c>
      <c r="B4" s="461" t="s">
        <v>6</v>
      </c>
    </row>
    <row r="5" spans="1:2">
      <c r="A5" s="461" t="s">
        <v>7</v>
      </c>
      <c r="B5" s="461" t="s">
        <v>8</v>
      </c>
    </row>
    <row r="6" spans="1:2">
      <c r="A6" s="461" t="s">
        <v>9</v>
      </c>
      <c r="B6" s="462">
        <v>30</v>
      </c>
    </row>
    <row r="7" spans="1:2">
      <c r="A7" s="461" t="s">
        <v>10</v>
      </c>
      <c r="B7" s="461" t="s">
        <v>11</v>
      </c>
    </row>
    <row r="8" spans="1:2">
      <c r="A8" s="461" t="s">
        <v>12</v>
      </c>
      <c r="B8" s="462">
        <v>25255</v>
      </c>
    </row>
    <row r="9" spans="1:2">
      <c r="A9" s="461" t="s">
        <v>13</v>
      </c>
      <c r="B9" s="461" t="s">
        <v>14</v>
      </c>
    </row>
    <row r="10" spans="1:2">
      <c r="A10" s="461" t="s">
        <v>15</v>
      </c>
      <c r="B10" s="461" t="s">
        <v>16</v>
      </c>
    </row>
    <row r="11" spans="1:2">
      <c r="A11" s="461" t="s">
        <v>17</v>
      </c>
      <c r="B11" s="461" t="s">
        <v>18</v>
      </c>
    </row>
    <row r="12" spans="1:2">
      <c r="A12" s="461" t="s">
        <v>19</v>
      </c>
      <c r="B12" s="462">
        <v>197</v>
      </c>
    </row>
    <row r="13" spans="1:2">
      <c r="A13" s="461" t="s">
        <v>20</v>
      </c>
      <c r="B13" s="461" t="s">
        <v>21</v>
      </c>
    </row>
    <row r="14" spans="1:2">
      <c r="A14" s="461" t="s">
        <v>22</v>
      </c>
      <c r="B14" s="461" t="s">
        <v>23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6584-D677-4C1E-B1C1-D65618B1D323}">
  <sheetPr codeName="Sheet22">
    <outlinePr summaryBelow="0" summaryRight="0"/>
    <pageSetUpPr fitToPage="1"/>
  </sheetPr>
  <dimension ref="A1:W247"/>
  <sheetViews>
    <sheetView showGridLines="0" zoomScale="80" zoomScaleNormal="80" workbookViewId="0">
      <pane xSplit="9" ySplit="5" topLeftCell="J59" activePane="bottomRight" state="frozen"/>
      <selection pane="topRight" activeCell="C22" sqref="C22"/>
      <selection pane="bottomLeft" activeCell="C22" sqref="C22"/>
      <selection pane="bottomRight" activeCell="C22" sqref="C22"/>
    </sheetView>
  </sheetViews>
  <sheetFormatPr defaultColWidth="0" defaultRowHeight="12.75" customHeight="1" zeroHeight="1" outlineLevelRow="1"/>
  <cols>
    <col min="1" max="1" width="1.3984375" style="62" customWidth="1"/>
    <col min="2" max="2" width="1.3984375" style="61" customWidth="1"/>
    <col min="3" max="3" width="1.3984375" style="60" customWidth="1"/>
    <col min="4" max="4" width="1.3984375" style="59" customWidth="1"/>
    <col min="5" max="5" width="76.3984375" style="55" bestFit="1" customWidth="1"/>
    <col min="6" max="6" width="12.59765625" style="55" customWidth="1"/>
    <col min="7" max="7" width="11.59765625" style="55" customWidth="1"/>
    <col min="8" max="8" width="15.59765625" style="55" customWidth="1"/>
    <col min="9" max="9" width="2.59765625" style="99" customWidth="1"/>
    <col min="10" max="21" width="12.59765625" style="55" customWidth="1"/>
    <col min="22" max="23" width="12.59765625" customWidth="1"/>
    <col min="24" max="16384" width="9" style="5" hidden="1"/>
  </cols>
  <sheetData>
    <row r="1" spans="1:23" ht="29.65">
      <c r="A1" s="211" t="str">
        <f ca="1" xml:space="preserve"> RIGHT(CELL("filename", $A$1), LEN(CELL("filename", $A$1)) - SEARCH("]", CELL("filename", $A$1)))</f>
        <v>Wastewater TTT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3.15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3.15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2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ht="13.15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3.15">
      <c r="A5" s="88"/>
      <c r="B5" s="88"/>
      <c r="C5" s="89"/>
      <c r="D5" s="56"/>
      <c r="E5" s="56" t="str">
        <f xml:space="preserve"> Time!E$10</f>
        <v>Model column counter</v>
      </c>
      <c r="F5" s="48" t="s">
        <v>116</v>
      </c>
      <c r="G5" s="158" t="s">
        <v>117</v>
      </c>
      <c r="H5" s="48" t="s">
        <v>118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 ht="13.15">
      <c r="A6" s="88"/>
      <c r="B6" s="88"/>
      <c r="C6" s="89"/>
      <c r="D6" s="159"/>
      <c r="E6" s="107"/>
      <c r="F6" s="54"/>
      <c r="G6" s="109"/>
      <c r="H6" s="54"/>
      <c r="I6" s="5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 ht="13.15">
      <c r="A7" s="113" t="s">
        <v>284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ht="13.15">
      <c r="A8" s="61"/>
      <c r="C8" s="108"/>
      <c r="E8" s="111"/>
      <c r="V8" s="55"/>
      <c r="W8" s="55"/>
    </row>
    <row r="9" spans="1:23" s="127" customFormat="1" ht="13.15" outlineLevel="1">
      <c r="A9" s="64"/>
      <c r="B9" s="64" t="s">
        <v>395</v>
      </c>
      <c r="C9" s="71"/>
      <c r="D9" s="69"/>
      <c r="E9" s="72"/>
      <c r="F9" s="72"/>
      <c r="G9" s="72"/>
      <c r="H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7" customFormat="1" ht="13.15" outlineLevel="1">
      <c r="A10" s="64"/>
      <c r="B10" s="64"/>
      <c r="C10" s="71"/>
      <c r="D10" s="69"/>
      <c r="E10" s="72"/>
      <c r="F10" s="72"/>
      <c r="G10" s="72"/>
      <c r="H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7" customFormat="1" ht="13.15" outlineLevel="1">
      <c r="A11" s="64"/>
      <c r="B11" s="64"/>
      <c r="C11" s="71"/>
      <c r="D11" s="69"/>
      <c r="E11" s="110" t="str">
        <f xml:space="preserve"> Inputs!E$138</f>
        <v>Allowed revenue - WW-TTT (base year 2019/2020)</v>
      </c>
      <c r="F11" s="110">
        <f xml:space="preserve"> Inputs!F$138</f>
        <v>0</v>
      </c>
      <c r="G11" s="110" t="str">
        <f xml:space="preserve"> Inputs!G$138</f>
        <v>£m</v>
      </c>
      <c r="H11" s="110">
        <f xml:space="preserve"> Inputs!H$138</f>
        <v>0</v>
      </c>
      <c r="I11" s="110">
        <f xml:space="preserve"> Inputs!I$138</f>
        <v>0</v>
      </c>
      <c r="J11" s="110">
        <f xml:space="preserve"> Inputs!J$138</f>
        <v>0</v>
      </c>
      <c r="K11" s="110">
        <f xml:space="preserve"> Inputs!K$138</f>
        <v>0</v>
      </c>
      <c r="L11" s="110">
        <f xml:space="preserve"> Inputs!L$138</f>
        <v>0</v>
      </c>
      <c r="M11" s="110">
        <f xml:space="preserve"> Inputs!M$138</f>
        <v>0</v>
      </c>
      <c r="N11" s="110">
        <f xml:space="preserve"> Inputs!N$138</f>
        <v>0</v>
      </c>
      <c r="O11" s="110">
        <f xml:space="preserve"> Inputs!O$138</f>
        <v>0</v>
      </c>
      <c r="P11" s="110">
        <f xml:space="preserve"> Inputs!P$138</f>
        <v>0</v>
      </c>
      <c r="Q11" s="110">
        <f xml:space="preserve"> Inputs!Q$138</f>
        <v>0</v>
      </c>
      <c r="R11" s="110">
        <f xml:space="preserve"> Inputs!R$138</f>
        <v>0</v>
      </c>
      <c r="S11" s="110">
        <f xml:space="preserve"> Inputs!S$138</f>
        <v>0</v>
      </c>
      <c r="T11" s="110">
        <f xml:space="preserve"> Inputs!T$138</f>
        <v>0</v>
      </c>
      <c r="U11" s="110">
        <f xml:space="preserve"> Inputs!U$138</f>
        <v>0</v>
      </c>
      <c r="V11" s="110">
        <f xml:space="preserve"> Inputs!V$138</f>
        <v>0</v>
      </c>
      <c r="W11" s="110">
        <f xml:space="preserve"> Inputs!W$138</f>
        <v>0</v>
      </c>
    </row>
    <row r="12" spans="1:23" s="83" customFormat="1" ht="13.15" outlineLevel="1">
      <c r="A12" s="114"/>
      <c r="B12" s="114"/>
      <c r="C12" s="115"/>
      <c r="E12" s="79" t="str">
        <f xml:space="preserve"> 'Indices and K factor'!E$74</f>
        <v>Revenue indexation - WW-TTT</v>
      </c>
      <c r="F12" s="79">
        <f xml:space="preserve"> 'Indices and K factor'!F$74</f>
        <v>0</v>
      </c>
      <c r="G12" s="79" t="str">
        <f xml:space="preserve"> 'Indices and K factor'!G$74</f>
        <v>factor</v>
      </c>
      <c r="H12" s="79">
        <f xml:space="preserve"> 'Indices and K factor'!H$74</f>
        <v>0</v>
      </c>
      <c r="I12" s="79">
        <f xml:space="preserve"> 'Indices and K factor'!I$74</f>
        <v>0</v>
      </c>
      <c r="J12" s="225">
        <f xml:space="preserve"> 'Indices and K factor'!J$74</f>
        <v>0</v>
      </c>
      <c r="K12" s="225">
        <f xml:space="preserve"> 'Indices and K factor'!K$74</f>
        <v>0</v>
      </c>
      <c r="L12" s="225">
        <f xml:space="preserve"> 'Indices and K factor'!L$74</f>
        <v>0</v>
      </c>
      <c r="M12" s="225">
        <f xml:space="preserve"> 'Indices and K factor'!M$74</f>
        <v>0</v>
      </c>
      <c r="N12" s="225">
        <f xml:space="preserve"> 'Indices and K factor'!N$74</f>
        <v>0</v>
      </c>
      <c r="O12" s="225">
        <f xml:space="preserve"> 'Indices and K factor'!O$74</f>
        <v>0</v>
      </c>
      <c r="P12" s="225">
        <f xml:space="preserve"> 'Indices and K factor'!P$74</f>
        <v>1.0149672591206735</v>
      </c>
      <c r="Q12" s="225">
        <f xml:space="preserve"> 'Indices and K factor'!Q$74</f>
        <v>1.0055299539170506</v>
      </c>
      <c r="R12" s="225">
        <f xml:space="preserve"> 'Indices and K factor'!R$74</f>
        <v>1.0458295142071494</v>
      </c>
      <c r="S12" s="225">
        <f xml:space="preserve"> 'Indices and K factor'!S$74</f>
        <v>1.0937773882559159</v>
      </c>
      <c r="T12" s="225">
        <f xml:space="preserve"> 'Indices and K factor'!T$74</f>
        <v>1.0416666666666667</v>
      </c>
      <c r="U12" s="225">
        <f xml:space="preserve"> 'Indices and K factor'!U$74</f>
        <v>0</v>
      </c>
      <c r="V12" s="225">
        <f xml:space="preserve"> 'Indices and K factor'!V$74</f>
        <v>0</v>
      </c>
      <c r="W12" s="225">
        <f xml:space="preserve"> 'Indices and K factor'!W$74</f>
        <v>0</v>
      </c>
    </row>
    <row r="13" spans="1:23" s="121" customFormat="1" ht="12.75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t="13.15" outlineLevel="1">
      <c r="A14" s="302"/>
      <c r="B14" s="302"/>
      <c r="C14" s="303"/>
      <c r="E14" s="203" t="s">
        <v>205</v>
      </c>
      <c r="F14" s="304"/>
      <c r="G14" s="304" t="s">
        <v>77</v>
      </c>
      <c r="H14" s="208">
        <f xml:space="preserve"> SUM(J14:W14)</f>
        <v>0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xml:space="preserve"> IF(P13 = 1, $F11 * P12, O14 * P12 )</f>
        <v>0</v>
      </c>
      <c r="Q14" s="208">
        <f t="shared" si="0"/>
        <v>0</v>
      </c>
      <c r="R14" s="208">
        <f t="shared" si="0"/>
        <v>0</v>
      </c>
      <c r="S14" s="208">
        <f t="shared" si="0"/>
        <v>0</v>
      </c>
      <c r="T14" s="208">
        <f t="shared" si="0"/>
        <v>0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t="13.15" outlineLevel="1">
      <c r="A15" s="61"/>
      <c r="C15" s="108"/>
      <c r="E15" s="111"/>
      <c r="V15" s="55"/>
      <c r="W15" s="55"/>
    </row>
    <row r="16" spans="1:23" ht="13.15">
      <c r="A16" s="113" t="s">
        <v>293</v>
      </c>
      <c r="B16" s="113"/>
      <c r="C16" s="112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pans="1:23" ht="13.15">
      <c r="A17" s="61"/>
      <c r="C17" s="108"/>
      <c r="E17" s="111"/>
      <c r="V17" s="55"/>
      <c r="W17" s="55"/>
    </row>
    <row r="18" spans="1:23" s="127" customFormat="1" ht="13.15" outlineLevel="1">
      <c r="A18" s="64"/>
      <c r="B18" s="64" t="s">
        <v>184</v>
      </c>
      <c r="C18" s="71"/>
      <c r="D18" s="69"/>
      <c r="E18" s="72"/>
      <c r="F18" s="72"/>
      <c r="G18" s="72"/>
      <c r="H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127" customFormat="1" ht="13.15" outlineLevel="1">
      <c r="A19" s="64"/>
      <c r="B19" s="64"/>
      <c r="C19" s="71"/>
      <c r="D19" s="69"/>
      <c r="E19" s="72"/>
      <c r="F19" s="72"/>
      <c r="G19" s="72"/>
      <c r="H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127" customFormat="1" ht="13.15" outlineLevel="1">
      <c r="A20" s="64"/>
      <c r="B20" s="64"/>
      <c r="C20" s="71"/>
      <c r="D20" s="69"/>
      <c r="E20" s="110" t="str">
        <f xml:space="preserve"> Inputs!E$146</f>
        <v>Total blind year adjustment - WW-TTT (base year 2019/2020)</v>
      </c>
      <c r="F20" s="110">
        <f xml:space="preserve"> Inputs!F$146</f>
        <v>0</v>
      </c>
      <c r="G20" s="110" t="str">
        <f xml:space="preserve"> Inputs!G$146</f>
        <v>£m</v>
      </c>
      <c r="H20" s="110">
        <f xml:space="preserve"> Inputs!H$146</f>
        <v>0</v>
      </c>
      <c r="I20" s="110">
        <f xml:space="preserve"> Inputs!I$146</f>
        <v>0</v>
      </c>
      <c r="J20" s="110">
        <f xml:space="preserve"> Inputs!J$146</f>
        <v>0</v>
      </c>
      <c r="K20" s="110">
        <f xml:space="preserve"> Inputs!K$146</f>
        <v>0</v>
      </c>
      <c r="L20" s="110">
        <f xml:space="preserve"> Inputs!L$146</f>
        <v>0</v>
      </c>
      <c r="M20" s="110">
        <f xml:space="preserve"> Inputs!M$146</f>
        <v>0</v>
      </c>
      <c r="N20" s="110">
        <f xml:space="preserve"> Inputs!N$146</f>
        <v>0</v>
      </c>
      <c r="O20" s="110">
        <f xml:space="preserve"> Inputs!O$146</f>
        <v>0</v>
      </c>
      <c r="P20" s="110">
        <f xml:space="preserve"> Inputs!P$146</f>
        <v>0</v>
      </c>
      <c r="Q20" s="110">
        <f xml:space="preserve"> Inputs!Q$146</f>
        <v>0</v>
      </c>
      <c r="R20" s="110">
        <f xml:space="preserve"> Inputs!R$146</f>
        <v>0</v>
      </c>
      <c r="S20" s="110">
        <f xml:space="preserve"> Inputs!S$146</f>
        <v>0</v>
      </c>
      <c r="T20" s="110">
        <f xml:space="preserve"> Inputs!T$146</f>
        <v>0</v>
      </c>
      <c r="U20" s="110">
        <f xml:space="preserve"> Inputs!U$146</f>
        <v>0</v>
      </c>
      <c r="V20" s="110">
        <f xml:space="preserve"> Inputs!V$146</f>
        <v>0</v>
      </c>
      <c r="W20" s="110">
        <f xml:space="preserve"> Inputs!W$146</f>
        <v>0</v>
      </c>
    </row>
    <row r="21" spans="1:23" s="127" customFormat="1" ht="13.15" outlineLevel="1">
      <c r="A21" s="64"/>
      <c r="B21" s="64"/>
      <c r="C21" s="71"/>
      <c r="D21" s="69"/>
      <c r="E21" s="110" t="str">
        <f xml:space="preserve"> Inputs!E$148</f>
        <v xml:space="preserve">Blind year profiling factor - WW-TTT </v>
      </c>
      <c r="F21" s="110">
        <f xml:space="preserve"> Inputs!F$148</f>
        <v>0</v>
      </c>
      <c r="G21" s="110" t="str">
        <f xml:space="preserve"> Inputs!G$148</f>
        <v>%</v>
      </c>
      <c r="H21" s="34">
        <f xml:space="preserve"> Inputs!H$148</f>
        <v>0</v>
      </c>
      <c r="I21" s="34">
        <f xml:space="preserve"> Inputs!I$148</f>
        <v>0</v>
      </c>
      <c r="J21" s="34">
        <f xml:space="preserve"> Inputs!J$148</f>
        <v>0</v>
      </c>
      <c r="K21" s="34">
        <f xml:space="preserve"> Inputs!K$148</f>
        <v>0</v>
      </c>
      <c r="L21" s="34">
        <f xml:space="preserve"> Inputs!L$148</f>
        <v>0</v>
      </c>
      <c r="M21" s="34">
        <f xml:space="preserve"> Inputs!M$148</f>
        <v>0</v>
      </c>
      <c r="N21" s="34">
        <f xml:space="preserve"> Inputs!N$148</f>
        <v>0</v>
      </c>
      <c r="O21" s="34">
        <f xml:space="preserve"> Inputs!O$148</f>
        <v>0</v>
      </c>
      <c r="P21" s="34">
        <f xml:space="preserve"> Inputs!P$148</f>
        <v>0</v>
      </c>
      <c r="Q21" s="34">
        <f xml:space="preserve"> Inputs!Q$148</f>
        <v>0</v>
      </c>
      <c r="R21" s="34">
        <f xml:space="preserve"> Inputs!R$148</f>
        <v>0</v>
      </c>
      <c r="S21" s="34">
        <f xml:space="preserve"> Inputs!S$148</f>
        <v>0</v>
      </c>
      <c r="T21" s="34">
        <f xml:space="preserve"> Inputs!T$148</f>
        <v>0</v>
      </c>
      <c r="U21" s="34">
        <f xml:space="preserve"> Inputs!U$148</f>
        <v>0</v>
      </c>
      <c r="V21" s="34">
        <f xml:space="preserve"> Inputs!V$148</f>
        <v>0</v>
      </c>
      <c r="W21" s="34">
        <f xml:space="preserve"> Inputs!W$148</f>
        <v>0</v>
      </c>
    </row>
    <row r="22" spans="1:23" s="127" customFormat="1" ht="13.15" outlineLevel="1">
      <c r="A22" s="64"/>
      <c r="B22" s="64"/>
      <c r="C22" s="341" t="s">
        <v>26</v>
      </c>
      <c r="D22" s="69"/>
      <c r="E22" s="127" t="s">
        <v>396</v>
      </c>
      <c r="F22" s="110"/>
      <c r="G22" s="68" t="s">
        <v>77</v>
      </c>
      <c r="H22" s="81">
        <f xml:space="preserve"> SUM(J22:W22)</f>
        <v>0</v>
      </c>
      <c r="I22" s="84"/>
      <c r="J22" s="81">
        <f xml:space="preserve"> J21 * $F$20</f>
        <v>0</v>
      </c>
      <c r="K22" s="81">
        <f t="shared" ref="K22:W22" si="1" xml:space="preserve"> K21 * $F$20</f>
        <v>0</v>
      </c>
      <c r="L22" s="81">
        <f t="shared" si="1"/>
        <v>0</v>
      </c>
      <c r="M22" s="81">
        <f t="shared" si="1"/>
        <v>0</v>
      </c>
      <c r="N22" s="81">
        <f t="shared" si="1"/>
        <v>0</v>
      </c>
      <c r="O22" s="81">
        <f t="shared" si="1"/>
        <v>0</v>
      </c>
      <c r="P22" s="81">
        <f xml:space="preserve"> P21 * $F$20</f>
        <v>0</v>
      </c>
      <c r="Q22" s="81">
        <f t="shared" si="1"/>
        <v>0</v>
      </c>
      <c r="R22" s="81">
        <f t="shared" si="1"/>
        <v>0</v>
      </c>
      <c r="S22" s="81">
        <f t="shared" si="1"/>
        <v>0</v>
      </c>
      <c r="T22" s="81">
        <f t="shared" si="1"/>
        <v>0</v>
      </c>
      <c r="U22" s="81">
        <f t="shared" si="1"/>
        <v>0</v>
      </c>
      <c r="V22" s="81">
        <f t="shared" si="1"/>
        <v>0</v>
      </c>
      <c r="W22" s="81">
        <f t="shared" si="1"/>
        <v>0</v>
      </c>
    </row>
    <row r="23" spans="1:23" s="127" customFormat="1" ht="13.15" outlineLevel="1">
      <c r="A23" s="64"/>
      <c r="B23" s="64"/>
      <c r="C23" s="71"/>
      <c r="D23" s="69"/>
      <c r="F23" s="110"/>
      <c r="G23" s="110"/>
      <c r="H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s="127" customFormat="1" ht="13.15" outlineLevel="1">
      <c r="A24" s="164"/>
      <c r="B24" s="164"/>
      <c r="C24" s="165"/>
      <c r="D24" s="73"/>
      <c r="E24" s="41" t="str">
        <f xml:space="preserve"> Inputs!E$63</f>
        <v>Discount rate</v>
      </c>
      <c r="F24" s="41">
        <f xml:space="preserve"> Inputs!F$63</f>
        <v>2.92E-2</v>
      </c>
      <c r="G24" s="41" t="str">
        <f xml:space="preserve"> Inputs!G$63</f>
        <v>%</v>
      </c>
      <c r="H24" s="41">
        <f xml:space="preserve"> Inputs!H$63</f>
        <v>0</v>
      </c>
      <c r="I24" s="41">
        <f xml:space="preserve"> Inputs!I$63</f>
        <v>0</v>
      </c>
      <c r="J24" s="41">
        <f xml:space="preserve"> Inputs!J$63</f>
        <v>0</v>
      </c>
      <c r="K24" s="41">
        <f xml:space="preserve"> Inputs!K$63</f>
        <v>0</v>
      </c>
      <c r="L24" s="41">
        <f xml:space="preserve"> Inputs!L$63</f>
        <v>0</v>
      </c>
      <c r="M24" s="41">
        <f xml:space="preserve"> Inputs!M$63</f>
        <v>0</v>
      </c>
      <c r="N24" s="41">
        <f xml:space="preserve"> Inputs!N$63</f>
        <v>0</v>
      </c>
      <c r="O24" s="41">
        <f xml:space="preserve"> Inputs!O$63</f>
        <v>0</v>
      </c>
      <c r="P24" s="41">
        <f xml:space="preserve"> Inputs!P$63</f>
        <v>0</v>
      </c>
      <c r="Q24" s="41">
        <f xml:space="preserve"> Inputs!Q$63</f>
        <v>0</v>
      </c>
      <c r="R24" s="41">
        <f xml:space="preserve"> Inputs!R$63</f>
        <v>0</v>
      </c>
      <c r="S24" s="41">
        <f xml:space="preserve"> Inputs!S$63</f>
        <v>0</v>
      </c>
      <c r="T24" s="41">
        <f xml:space="preserve"> Inputs!T$63</f>
        <v>0</v>
      </c>
      <c r="U24" s="41">
        <f xml:space="preserve"> Inputs!U$63</f>
        <v>0</v>
      </c>
      <c r="V24" s="41">
        <f xml:space="preserve"> Inputs!V$63</f>
        <v>0</v>
      </c>
      <c r="W24" s="41">
        <f xml:space="preserve"> Inputs!W$63</f>
        <v>0</v>
      </c>
    </row>
    <row r="25" spans="1:23" s="127" customFormat="1" ht="13.15" outlineLevel="1">
      <c r="A25" s="64"/>
      <c r="B25" s="64"/>
      <c r="C25" s="71"/>
      <c r="D25" s="69"/>
      <c r="E25" s="127" t="str">
        <f xml:space="preserve"> E$22</f>
        <v>Blind year adjustment (profiled) - WW-TTT (base year 2019/20)</v>
      </c>
      <c r="F25" s="127">
        <f t="shared" ref="F25:W25" si="2" xml:space="preserve"> F$22</f>
        <v>0</v>
      </c>
      <c r="G25" s="127" t="str">
        <f t="shared" si="2"/>
        <v>£m</v>
      </c>
      <c r="H25" s="146">
        <f t="shared" si="2"/>
        <v>0</v>
      </c>
      <c r="I25" s="146">
        <f t="shared" si="2"/>
        <v>0</v>
      </c>
      <c r="J25" s="146">
        <f t="shared" si="2"/>
        <v>0</v>
      </c>
      <c r="K25" s="146">
        <f t="shared" si="2"/>
        <v>0</v>
      </c>
      <c r="L25" s="146">
        <f t="shared" si="2"/>
        <v>0</v>
      </c>
      <c r="M25" s="146">
        <f t="shared" si="2"/>
        <v>0</v>
      </c>
      <c r="N25" s="146">
        <f t="shared" si="2"/>
        <v>0</v>
      </c>
      <c r="O25" s="146">
        <f t="shared" si="2"/>
        <v>0</v>
      </c>
      <c r="P25" s="146">
        <f t="shared" si="2"/>
        <v>0</v>
      </c>
      <c r="Q25" s="146">
        <f t="shared" si="2"/>
        <v>0</v>
      </c>
      <c r="R25" s="146">
        <f t="shared" si="2"/>
        <v>0</v>
      </c>
      <c r="S25" s="146">
        <f t="shared" si="2"/>
        <v>0</v>
      </c>
      <c r="T25" s="146">
        <f t="shared" si="2"/>
        <v>0</v>
      </c>
      <c r="U25" s="146">
        <f t="shared" si="2"/>
        <v>0</v>
      </c>
      <c r="V25" s="146">
        <f t="shared" si="2"/>
        <v>0</v>
      </c>
      <c r="W25" s="146">
        <f t="shared" si="2"/>
        <v>0</v>
      </c>
    </row>
    <row r="26" spans="1:23" customFormat="1" ht="12.75" customHeight="1" outlineLevel="1">
      <c r="A26" s="62"/>
      <c r="B26" s="61"/>
      <c r="C26" s="60"/>
      <c r="D26" s="59"/>
      <c r="E26" s="43" t="str">
        <f xml:space="preserve"> Time!E$63</f>
        <v>Forecast period counter</v>
      </c>
      <c r="F26" s="43">
        <f xml:space="preserve"> Time!F$63</f>
        <v>0</v>
      </c>
      <c r="G26" s="43" t="str">
        <f xml:space="preserve"> Time!G$63</f>
        <v>counter</v>
      </c>
      <c r="H26" s="43">
        <f xml:space="preserve"> Time!H$63</f>
        <v>0</v>
      </c>
      <c r="I26" s="43">
        <f xml:space="preserve"> Time!I$63</f>
        <v>0</v>
      </c>
      <c r="J26" s="43">
        <f xml:space="preserve"> Time!J$63</f>
        <v>0</v>
      </c>
      <c r="K26" s="43">
        <f xml:space="preserve"> Time!K$63</f>
        <v>0</v>
      </c>
      <c r="L26" s="43">
        <f xml:space="preserve"> Time!L$63</f>
        <v>0</v>
      </c>
      <c r="M26" s="43">
        <f xml:space="preserve"> Time!M$63</f>
        <v>0</v>
      </c>
      <c r="N26" s="43">
        <f xml:space="preserve"> Time!N$63</f>
        <v>0</v>
      </c>
      <c r="O26" s="43">
        <f xml:space="preserve"> Time!O$63</f>
        <v>0</v>
      </c>
      <c r="P26" s="43">
        <f xml:space="preserve"> Time!P$63</f>
        <v>1</v>
      </c>
      <c r="Q26" s="43">
        <f xml:space="preserve"> Time!Q$63</f>
        <v>2</v>
      </c>
      <c r="R26" s="43">
        <f xml:space="preserve"> Time!R$63</f>
        <v>3</v>
      </c>
      <c r="S26" s="43">
        <f xml:space="preserve"> Time!S$63</f>
        <v>4</v>
      </c>
      <c r="T26" s="43">
        <f xml:space="preserve"> Time!T$63</f>
        <v>5</v>
      </c>
      <c r="U26" s="43">
        <f xml:space="preserve"> Time!U$63</f>
        <v>0</v>
      </c>
      <c r="V26" s="43">
        <f xml:space="preserve"> Time!V$63</f>
        <v>0</v>
      </c>
      <c r="W26" s="43">
        <f xml:space="preserve"> Time!W$63</f>
        <v>0</v>
      </c>
    </row>
    <row r="27" spans="1:23" customFormat="1" ht="12.75" customHeight="1" outlineLevel="1">
      <c r="A27" s="62"/>
      <c r="B27" s="62"/>
      <c r="C27" s="60"/>
      <c r="D27" s="59"/>
      <c r="E27" s="127" t="s">
        <v>397</v>
      </c>
      <c r="F27" s="17"/>
      <c r="G27" s="72" t="s">
        <v>77</v>
      </c>
      <c r="H27" s="68">
        <f xml:space="preserve"> SUM( J27:W27 )</f>
        <v>0</v>
      </c>
      <c r="I27" s="202"/>
      <c r="J27" s="68">
        <f xml:space="preserve"> J25 * ( 1 + $F$24 ) ^ J26</f>
        <v>0</v>
      </c>
      <c r="K27" s="68">
        <f t="shared" ref="K27:W27" si="3" xml:space="preserve"> K25 * ( 1 + $F$24 ) ^ K26</f>
        <v>0</v>
      </c>
      <c r="L27" s="68">
        <f t="shared" si="3"/>
        <v>0</v>
      </c>
      <c r="M27" s="68">
        <f t="shared" si="3"/>
        <v>0</v>
      </c>
      <c r="N27" s="68">
        <f t="shared" si="3"/>
        <v>0</v>
      </c>
      <c r="O27" s="68">
        <f t="shared" si="3"/>
        <v>0</v>
      </c>
      <c r="P27" s="68">
        <f t="shared" si="3"/>
        <v>0</v>
      </c>
      <c r="Q27" s="68">
        <f t="shared" si="3"/>
        <v>0</v>
      </c>
      <c r="R27" s="68">
        <f t="shared" si="3"/>
        <v>0</v>
      </c>
      <c r="S27" s="68">
        <f t="shared" si="3"/>
        <v>0</v>
      </c>
      <c r="T27" s="68">
        <f t="shared" si="3"/>
        <v>0</v>
      </c>
      <c r="U27" s="68">
        <f t="shared" si="3"/>
        <v>0</v>
      </c>
      <c r="V27" s="68">
        <f t="shared" si="3"/>
        <v>0</v>
      </c>
      <c r="W27" s="68">
        <f t="shared" si="3"/>
        <v>0</v>
      </c>
    </row>
    <row r="28" spans="1:23" customFormat="1" ht="12.75" customHeight="1" outlineLevel="1">
      <c r="A28" s="62"/>
      <c r="B28" s="62"/>
      <c r="C28" s="60"/>
      <c r="D28" s="59"/>
      <c r="E28" s="127"/>
      <c r="F28" s="17"/>
      <c r="G28" s="72"/>
      <c r="H28" s="17"/>
      <c r="I28" s="202"/>
      <c r="J28" s="17"/>
      <c r="K28" s="17"/>
      <c r="L28" s="17"/>
      <c r="M28" s="110"/>
      <c r="N28" s="110"/>
      <c r="O28" s="110"/>
      <c r="P28" s="110"/>
      <c r="Q28" s="110"/>
      <c r="R28" s="110"/>
      <c r="S28" s="110"/>
      <c r="T28" s="110"/>
      <c r="U28" s="110"/>
      <c r="V28" s="17"/>
      <c r="W28" s="17"/>
    </row>
    <row r="29" spans="1:23" ht="13.15" outlineLevel="1">
      <c r="B29" s="62"/>
      <c r="E29" s="41" t="str">
        <f xml:space="preserve"> 'Indices and K factor'!E$22</f>
        <v>CPIH: Nov - Nov index (prior year) inflating from 2019/20</v>
      </c>
      <c r="F29" s="41">
        <f xml:space="preserve"> 'Indices and K factor'!F$22</f>
        <v>0</v>
      </c>
      <c r="G29" s="41" t="str">
        <f xml:space="preserve"> 'Indices and K factor'!G$22</f>
        <v>index</v>
      </c>
      <c r="H29" s="41">
        <f xml:space="preserve"> 'Indices and K factor'!H$22</f>
        <v>0</v>
      </c>
      <c r="I29" s="41">
        <f xml:space="preserve"> 'Indices and K factor'!I$22</f>
        <v>0</v>
      </c>
      <c r="J29" s="41">
        <f xml:space="preserve"> 'Indices and K factor'!J$22</f>
        <v>0</v>
      </c>
      <c r="K29" s="41">
        <f xml:space="preserve"> 'Indices and K factor'!K$22</f>
        <v>0</v>
      </c>
      <c r="L29" s="41">
        <f xml:space="preserve"> 'Indices and K factor'!L$22</f>
        <v>0</v>
      </c>
      <c r="M29" s="41">
        <f xml:space="preserve"> 'Indices and K factor'!M$22</f>
        <v>0</v>
      </c>
      <c r="N29" s="41">
        <f xml:space="preserve"> 'Indices and K factor'!N$22</f>
        <v>0</v>
      </c>
      <c r="O29" s="41">
        <f xml:space="preserve"> 'Indices and K factor'!O$22</f>
        <v>0</v>
      </c>
      <c r="P29" s="41">
        <f xml:space="preserve"> 'Indices and K factor'!P$22</f>
        <v>1.0149672591206735</v>
      </c>
      <c r="Q29" s="41">
        <f xml:space="preserve"> 'Indices and K factor'!Q$22</f>
        <v>1.020579981290926</v>
      </c>
      <c r="R29" s="41">
        <f xml:space="preserve"> 'Indices and K factor'!R$22</f>
        <v>1.0673526660430308</v>
      </c>
      <c r="S29" s="41">
        <f xml:space="preserve"> 'Indices and K factor'!S$22</f>
        <v>1.167446211412535</v>
      </c>
      <c r="T29" s="41">
        <f xml:space="preserve"> 'Indices and K factor'!T$22</f>
        <v>1.2160898035547241</v>
      </c>
      <c r="U29" s="41">
        <f xml:space="preserve"> 'Indices and K factor'!U$22</f>
        <v>0</v>
      </c>
      <c r="V29" s="41">
        <f xml:space="preserve"> 'Indices and K factor'!V$22</f>
        <v>0</v>
      </c>
      <c r="W29" s="41">
        <f xml:space="preserve"> 'Indices and K factor'!W$22</f>
        <v>0</v>
      </c>
    </row>
    <row r="30" spans="1:23" s="32" customFormat="1" ht="13.15" outlineLevel="1">
      <c r="A30" s="52"/>
      <c r="B30" s="52"/>
      <c r="C30" s="50"/>
      <c r="D30" s="92"/>
      <c r="E30" s="99" t="str">
        <f xml:space="preserve"> E$27</f>
        <v>Blind year adjustment inc. financing rate adjustment - WW-TTT (base year 2019/2020)</v>
      </c>
      <c r="F30" s="99">
        <f t="shared" ref="F30:W30" si="4" xml:space="preserve"> F$27</f>
        <v>0</v>
      </c>
      <c r="G30" s="99" t="str">
        <f t="shared" si="4"/>
        <v>£m</v>
      </c>
      <c r="H30" s="91">
        <f t="shared" si="4"/>
        <v>0</v>
      </c>
      <c r="I30" s="91">
        <f t="shared" si="4"/>
        <v>0</v>
      </c>
      <c r="J30" s="91">
        <f t="shared" si="4"/>
        <v>0</v>
      </c>
      <c r="K30" s="91">
        <f t="shared" si="4"/>
        <v>0</v>
      </c>
      <c r="L30" s="91">
        <f t="shared" si="4"/>
        <v>0</v>
      </c>
      <c r="M30" s="91">
        <f t="shared" si="4"/>
        <v>0</v>
      </c>
      <c r="N30" s="91">
        <f t="shared" si="4"/>
        <v>0</v>
      </c>
      <c r="O30" s="91">
        <f t="shared" si="4"/>
        <v>0</v>
      </c>
      <c r="P30" s="91">
        <f t="shared" si="4"/>
        <v>0</v>
      </c>
      <c r="Q30" s="91">
        <f t="shared" si="4"/>
        <v>0</v>
      </c>
      <c r="R30" s="91">
        <f t="shared" si="4"/>
        <v>0</v>
      </c>
      <c r="S30" s="91">
        <f t="shared" si="4"/>
        <v>0</v>
      </c>
      <c r="T30" s="91">
        <f t="shared" si="4"/>
        <v>0</v>
      </c>
      <c r="U30" s="91">
        <f t="shared" si="4"/>
        <v>0</v>
      </c>
      <c r="V30" s="91">
        <f t="shared" si="4"/>
        <v>0</v>
      </c>
      <c r="W30" s="91">
        <f t="shared" si="4"/>
        <v>0</v>
      </c>
    </row>
    <row r="31" spans="1:23" s="127" customFormat="1" ht="13.15" outlineLevel="1">
      <c r="A31" s="164"/>
      <c r="B31" s="164"/>
      <c r="C31" s="165"/>
      <c r="D31" s="73"/>
      <c r="E31" s="151" t="s">
        <v>398</v>
      </c>
      <c r="F31" s="151"/>
      <c r="G31" s="151" t="s">
        <v>77</v>
      </c>
      <c r="H31" s="273">
        <f xml:space="preserve"> SUM( J31:W31 )</f>
        <v>0</v>
      </c>
      <c r="I31" s="151"/>
      <c r="J31" s="273">
        <f xml:space="preserve"> J29 * J30</f>
        <v>0</v>
      </c>
      <c r="K31" s="273">
        <f t="shared" ref="K31:T31" si="5" xml:space="preserve"> K29 * K30</f>
        <v>0</v>
      </c>
      <c r="L31" s="273">
        <f xml:space="preserve"> L29 * L30</f>
        <v>0</v>
      </c>
      <c r="M31" s="273">
        <f t="shared" si="5"/>
        <v>0</v>
      </c>
      <c r="N31" s="273">
        <f t="shared" si="5"/>
        <v>0</v>
      </c>
      <c r="O31" s="273">
        <f t="shared" si="5"/>
        <v>0</v>
      </c>
      <c r="P31" s="273">
        <f xml:space="preserve"> P29 * P30</f>
        <v>0</v>
      </c>
      <c r="Q31" s="273">
        <f t="shared" si="5"/>
        <v>0</v>
      </c>
      <c r="R31" s="273">
        <f t="shared" si="5"/>
        <v>0</v>
      </c>
      <c r="S31" s="273">
        <f t="shared" si="5"/>
        <v>0</v>
      </c>
      <c r="T31" s="273">
        <f t="shared" si="5"/>
        <v>0</v>
      </c>
      <c r="U31" s="273">
        <f xml:space="preserve"> U29 * U30</f>
        <v>0</v>
      </c>
      <c r="V31" s="273">
        <f xml:space="preserve"> V29 * V30</f>
        <v>0</v>
      </c>
      <c r="W31" s="273">
        <f xml:space="preserve"> W29 * W30</f>
        <v>0</v>
      </c>
    </row>
    <row r="32" spans="1:23" s="127" customFormat="1" ht="13.15" outlineLevel="1">
      <c r="A32" s="164"/>
      <c r="B32" s="64"/>
      <c r="C32" s="165"/>
      <c r="D32" s="69"/>
      <c r="E32" s="72"/>
      <c r="F32" s="72"/>
      <c r="G32" s="72"/>
      <c r="H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3" customFormat="1" ht="12.75" customHeight="1">
      <c r="A33" s="113" t="s">
        <v>302</v>
      </c>
      <c r="B33" s="113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</row>
    <row r="34" spans="1:23" ht="13.15"/>
    <row r="35" spans="1:23" s="127" customFormat="1" ht="13.15" outlineLevel="1">
      <c r="A35" s="64"/>
      <c r="B35" s="64" t="s">
        <v>371</v>
      </c>
      <c r="C35" s="71"/>
      <c r="D35" s="69"/>
      <c r="E35" s="72"/>
      <c r="F35" s="72"/>
      <c r="G35" s="72"/>
      <c r="H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s="127" customFormat="1" ht="13.15" outlineLevel="1">
      <c r="A36" s="64"/>
      <c r="B36" s="64"/>
      <c r="C36" s="71"/>
      <c r="D36" s="69"/>
      <c r="E36" s="72"/>
      <c r="F36" s="72"/>
      <c r="G36" s="72"/>
      <c r="H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s="127" customFormat="1" ht="13.15" outlineLevel="1">
      <c r="A37" s="64"/>
      <c r="B37" s="64"/>
      <c r="C37" s="71"/>
      <c r="D37" s="69"/>
      <c r="E37" s="126" t="str">
        <f t="shared" ref="E37:W37" si="6" xml:space="preserve"> E$14</f>
        <v>Allowed revenue - WW-TTT (base year 2019/2020)</v>
      </c>
      <c r="F37" s="126">
        <f t="shared" si="6"/>
        <v>0</v>
      </c>
      <c r="G37" s="126" t="str">
        <f t="shared" si="6"/>
        <v>£m</v>
      </c>
      <c r="H37" s="33">
        <f t="shared" si="6"/>
        <v>0</v>
      </c>
      <c r="I37" s="33">
        <f t="shared" si="6"/>
        <v>0</v>
      </c>
      <c r="J37" s="33">
        <f t="shared" si="6"/>
        <v>0</v>
      </c>
      <c r="K37" s="33">
        <f t="shared" si="6"/>
        <v>0</v>
      </c>
      <c r="L37" s="33">
        <f t="shared" si="6"/>
        <v>0</v>
      </c>
      <c r="M37" s="33">
        <f t="shared" si="6"/>
        <v>0</v>
      </c>
      <c r="N37" s="33">
        <f t="shared" si="6"/>
        <v>0</v>
      </c>
      <c r="O37" s="33">
        <f t="shared" si="6"/>
        <v>0</v>
      </c>
      <c r="P37" s="33">
        <f t="shared" si="6"/>
        <v>0</v>
      </c>
      <c r="Q37" s="33">
        <f t="shared" si="6"/>
        <v>0</v>
      </c>
      <c r="R37" s="33">
        <f t="shared" si="6"/>
        <v>0</v>
      </c>
      <c r="S37" s="33">
        <f t="shared" si="6"/>
        <v>0</v>
      </c>
      <c r="T37" s="33">
        <f t="shared" si="6"/>
        <v>0</v>
      </c>
      <c r="U37" s="33">
        <f t="shared" si="6"/>
        <v>0</v>
      </c>
      <c r="V37" s="33">
        <f t="shared" si="6"/>
        <v>0</v>
      </c>
      <c r="W37" s="33">
        <f t="shared" si="6"/>
        <v>0</v>
      </c>
    </row>
    <row r="38" spans="1:23" s="127" customFormat="1" ht="13.15" outlineLevel="1">
      <c r="A38" s="64"/>
      <c r="B38" s="64"/>
      <c r="C38" s="71"/>
      <c r="D38" s="69"/>
      <c r="E38" s="33" t="str">
        <f t="shared" ref="E38:W38" si="7" xml:space="preserve"> E$31</f>
        <v>Blind year adjustment inc. financing rate and inflation adjustment (BYA) - WW-TTT</v>
      </c>
      <c r="F38" s="33">
        <f t="shared" si="7"/>
        <v>0</v>
      </c>
      <c r="G38" s="33" t="str">
        <f t="shared" si="7"/>
        <v>£m</v>
      </c>
      <c r="H38" s="33">
        <f t="shared" si="7"/>
        <v>0</v>
      </c>
      <c r="I38" s="33">
        <f t="shared" si="7"/>
        <v>0</v>
      </c>
      <c r="J38" s="33">
        <f xml:space="preserve"> J$31</f>
        <v>0</v>
      </c>
      <c r="K38" s="33">
        <f t="shared" si="7"/>
        <v>0</v>
      </c>
      <c r="L38" s="33">
        <f t="shared" si="7"/>
        <v>0</v>
      </c>
      <c r="M38" s="33">
        <f t="shared" si="7"/>
        <v>0</v>
      </c>
      <c r="N38" s="33">
        <f t="shared" si="7"/>
        <v>0</v>
      </c>
      <c r="O38" s="33">
        <f t="shared" si="7"/>
        <v>0</v>
      </c>
      <c r="P38" s="33">
        <f t="shared" si="7"/>
        <v>0</v>
      </c>
      <c r="Q38" s="33">
        <f t="shared" si="7"/>
        <v>0</v>
      </c>
      <c r="R38" s="33">
        <f t="shared" si="7"/>
        <v>0</v>
      </c>
      <c r="S38" s="33">
        <f t="shared" si="7"/>
        <v>0</v>
      </c>
      <c r="T38" s="33">
        <f t="shared" si="7"/>
        <v>0</v>
      </c>
      <c r="U38" s="33">
        <f t="shared" si="7"/>
        <v>0</v>
      </c>
      <c r="V38" s="33">
        <f t="shared" si="7"/>
        <v>0</v>
      </c>
      <c r="W38" s="33">
        <f t="shared" si="7"/>
        <v>0</v>
      </c>
    </row>
    <row r="39" spans="1:23" s="127" customFormat="1" ht="13.15" outlineLevel="1">
      <c r="A39" s="164"/>
      <c r="B39" s="164"/>
      <c r="C39" s="165"/>
      <c r="D39" s="73"/>
      <c r="E39" s="63" t="str">
        <f t="shared" ref="E39:W39" si="8" xml:space="preserve"> E$108</f>
        <v>RFI - WW-TTT</v>
      </c>
      <c r="F39" s="63" t="str">
        <f xml:space="preserve"> F$108</f>
        <v>2 PD LK BCK</v>
      </c>
      <c r="G39" s="63" t="str">
        <f t="shared" si="8"/>
        <v>£m</v>
      </c>
      <c r="H39" s="63">
        <f t="shared" si="8"/>
        <v>0</v>
      </c>
      <c r="I39" s="63">
        <f t="shared" si="8"/>
        <v>0</v>
      </c>
      <c r="J39" s="63">
        <f t="shared" si="8"/>
        <v>0</v>
      </c>
      <c r="K39" s="63">
        <f t="shared" si="8"/>
        <v>0</v>
      </c>
      <c r="L39" s="63">
        <f t="shared" si="8"/>
        <v>0</v>
      </c>
      <c r="M39" s="63">
        <f t="shared" si="8"/>
        <v>0</v>
      </c>
      <c r="N39" s="63">
        <f t="shared" si="8"/>
        <v>0</v>
      </c>
      <c r="O39" s="63">
        <f t="shared" si="8"/>
        <v>0</v>
      </c>
      <c r="P39" s="63">
        <f t="shared" si="8"/>
        <v>0</v>
      </c>
      <c r="Q39" s="63">
        <f t="shared" si="8"/>
        <v>0</v>
      </c>
      <c r="R39" s="63">
        <f t="shared" si="8"/>
        <v>0</v>
      </c>
      <c r="S39" s="63">
        <f t="shared" si="8"/>
        <v>0</v>
      </c>
      <c r="T39" s="63">
        <f t="shared" si="8"/>
        <v>0</v>
      </c>
      <c r="U39" s="63">
        <f t="shared" si="8"/>
        <v>0</v>
      </c>
      <c r="V39" s="63">
        <f t="shared" si="8"/>
        <v>0</v>
      </c>
      <c r="W39" s="63">
        <f t="shared" si="8"/>
        <v>0</v>
      </c>
    </row>
    <row r="40" spans="1:23" s="151" customFormat="1" ht="13.15" outlineLevel="1" thickBot="1">
      <c r="A40" s="80"/>
      <c r="B40" s="80"/>
      <c r="C40" s="178"/>
      <c r="D40" s="179"/>
      <c r="E40" s="214" t="s">
        <v>399</v>
      </c>
      <c r="F40" s="214"/>
      <c r="G40" s="214" t="s">
        <v>77</v>
      </c>
      <c r="H40" s="215">
        <f xml:space="preserve"> SUM(J40:W40)</f>
        <v>0</v>
      </c>
      <c r="I40" s="215"/>
      <c r="J40" s="216">
        <f xml:space="preserve"> SUM(J37:J39)</f>
        <v>0</v>
      </c>
      <c r="K40" s="216">
        <f xml:space="preserve"> SUM(K37:K39)</f>
        <v>0</v>
      </c>
      <c r="L40" s="216">
        <f t="shared" ref="L40:W40" si="9" xml:space="preserve"> SUM(L37:L39)</f>
        <v>0</v>
      </c>
      <c r="M40" s="216">
        <f t="shared" si="9"/>
        <v>0</v>
      </c>
      <c r="N40" s="216">
        <f t="shared" si="9"/>
        <v>0</v>
      </c>
      <c r="O40" s="216">
        <f t="shared" si="9"/>
        <v>0</v>
      </c>
      <c r="P40" s="216">
        <f t="shared" si="9"/>
        <v>0</v>
      </c>
      <c r="Q40" s="216">
        <f t="shared" si="9"/>
        <v>0</v>
      </c>
      <c r="R40" s="216">
        <f t="shared" si="9"/>
        <v>0</v>
      </c>
      <c r="S40" s="216">
        <f t="shared" si="9"/>
        <v>0</v>
      </c>
      <c r="T40" s="216">
        <f t="shared" si="9"/>
        <v>0</v>
      </c>
      <c r="U40" s="216">
        <f t="shared" si="9"/>
        <v>0</v>
      </c>
      <c r="V40" s="216">
        <f t="shared" si="9"/>
        <v>0</v>
      </c>
      <c r="W40" s="216">
        <f t="shared" si="9"/>
        <v>0</v>
      </c>
    </row>
    <row r="41" spans="1:23" ht="13.5" outlineLevel="1" thickTop="1"/>
    <row r="42" spans="1:23" ht="13.15" outlineLevel="1">
      <c r="E42" s="126" t="str">
        <f t="shared" ref="E42:W42" si="10" xml:space="preserve"> E$40</f>
        <v>Adjusted allowed revenue - WW-TTT</v>
      </c>
      <c r="F42" s="126">
        <f t="shared" si="10"/>
        <v>0</v>
      </c>
      <c r="G42" s="126" t="str">
        <f t="shared" si="10"/>
        <v>£m</v>
      </c>
      <c r="H42" s="126">
        <f t="shared" si="10"/>
        <v>0</v>
      </c>
      <c r="I42" s="126">
        <f t="shared" si="10"/>
        <v>0</v>
      </c>
      <c r="J42" s="126">
        <f t="shared" si="10"/>
        <v>0</v>
      </c>
      <c r="K42" s="126">
        <f t="shared" si="10"/>
        <v>0</v>
      </c>
      <c r="L42" s="126">
        <f t="shared" si="10"/>
        <v>0</v>
      </c>
      <c r="M42" s="126">
        <f t="shared" si="10"/>
        <v>0</v>
      </c>
      <c r="N42" s="126">
        <f t="shared" si="10"/>
        <v>0</v>
      </c>
      <c r="O42" s="126">
        <f t="shared" si="10"/>
        <v>0</v>
      </c>
      <c r="P42" s="33">
        <f t="shared" si="10"/>
        <v>0</v>
      </c>
      <c r="Q42" s="33">
        <f t="shared" si="10"/>
        <v>0</v>
      </c>
      <c r="R42" s="33">
        <f t="shared" si="10"/>
        <v>0</v>
      </c>
      <c r="S42" s="33">
        <f t="shared" si="10"/>
        <v>0</v>
      </c>
      <c r="T42" s="33">
        <f t="shared" si="10"/>
        <v>0</v>
      </c>
      <c r="U42" s="126">
        <f t="shared" si="10"/>
        <v>0</v>
      </c>
      <c r="V42" s="126">
        <f t="shared" si="10"/>
        <v>0</v>
      </c>
      <c r="W42" s="126">
        <f t="shared" si="10"/>
        <v>0</v>
      </c>
    </row>
    <row r="43" spans="1:23" ht="13.15" outlineLevel="1">
      <c r="A43" s="61"/>
      <c r="C43" s="108"/>
      <c r="D43" s="59" t="s">
        <v>305</v>
      </c>
      <c r="E43" s="94" t="str">
        <f xml:space="preserve"> Inputs!E$142</f>
        <v xml:space="preserve">Actual Revenue  - WW-TTT </v>
      </c>
      <c r="F43" s="94">
        <f xml:space="preserve"> Inputs!F$142</f>
        <v>0</v>
      </c>
      <c r="G43" s="94" t="str">
        <f xml:space="preserve"> Inputs!G$142</f>
        <v>£m</v>
      </c>
      <c r="H43" s="94">
        <f xml:space="preserve"> Inputs!H$142</f>
        <v>0</v>
      </c>
      <c r="I43" s="94">
        <f xml:space="preserve"> Inputs!I$142</f>
        <v>0</v>
      </c>
      <c r="J43" s="94">
        <f xml:space="preserve"> Inputs!J$142</f>
        <v>0</v>
      </c>
      <c r="K43" s="94">
        <f xml:space="preserve"> Inputs!K$142</f>
        <v>0</v>
      </c>
      <c r="L43" s="94">
        <f xml:space="preserve"> Inputs!L$142</f>
        <v>0</v>
      </c>
      <c r="M43" s="94">
        <f xml:space="preserve"> Inputs!M$142</f>
        <v>0</v>
      </c>
      <c r="N43" s="94">
        <f xml:space="preserve"> Inputs!N$142</f>
        <v>0</v>
      </c>
      <c r="O43" s="94">
        <f xml:space="preserve"> Inputs!O$142</f>
        <v>0</v>
      </c>
      <c r="P43" s="94">
        <f xml:space="preserve"> Inputs!P$142</f>
        <v>0</v>
      </c>
      <c r="Q43" s="94">
        <f xml:space="preserve"> Inputs!Q$142</f>
        <v>0</v>
      </c>
      <c r="R43" s="94">
        <f xml:space="preserve"> Inputs!R$142</f>
        <v>0</v>
      </c>
      <c r="S43" s="94">
        <f xml:space="preserve"> Inputs!S$142</f>
        <v>0</v>
      </c>
      <c r="T43" s="94">
        <f xml:space="preserve"> Inputs!T$142</f>
        <v>0</v>
      </c>
      <c r="U43" s="94">
        <f xml:space="preserve"> Inputs!U$142</f>
        <v>0</v>
      </c>
      <c r="V43" s="94">
        <f xml:space="preserve"> Inputs!V$142</f>
        <v>0</v>
      </c>
      <c r="W43" s="94">
        <f xml:space="preserve"> Inputs!W$142</f>
        <v>0</v>
      </c>
    </row>
    <row r="44" spans="1:23" s="153" customFormat="1" ht="13.5" outlineLevel="1" thickBot="1">
      <c r="A44" s="166"/>
      <c r="B44" s="166"/>
      <c r="C44" s="160"/>
      <c r="D44" s="161"/>
      <c r="E44" s="218" t="s">
        <v>400</v>
      </c>
      <c r="F44" s="214"/>
      <c r="G44" s="214" t="s">
        <v>77</v>
      </c>
      <c r="H44" s="216">
        <f xml:space="preserve"> SUM(J44:W44)</f>
        <v>0</v>
      </c>
      <c r="I44" s="220"/>
      <c r="J44" s="219">
        <f>J42-J43</f>
        <v>0</v>
      </c>
      <c r="K44" s="219">
        <f t="shared" ref="K44:W44" si="11">K42-K43</f>
        <v>0</v>
      </c>
      <c r="L44" s="219">
        <f t="shared" si="11"/>
        <v>0</v>
      </c>
      <c r="M44" s="219">
        <f t="shared" si="11"/>
        <v>0</v>
      </c>
      <c r="N44" s="219">
        <f t="shared" si="11"/>
        <v>0</v>
      </c>
      <c r="O44" s="219">
        <f t="shared" si="11"/>
        <v>0</v>
      </c>
      <c r="P44" s="219">
        <f t="shared" si="11"/>
        <v>0</v>
      </c>
      <c r="Q44" s="219">
        <f t="shared" si="11"/>
        <v>0</v>
      </c>
      <c r="R44" s="219">
        <f t="shared" si="11"/>
        <v>0</v>
      </c>
      <c r="S44" s="219">
        <f t="shared" si="11"/>
        <v>0</v>
      </c>
      <c r="T44" s="219">
        <f t="shared" si="11"/>
        <v>0</v>
      </c>
      <c r="U44" s="219">
        <f t="shared" si="11"/>
        <v>0</v>
      </c>
      <c r="V44" s="219">
        <f t="shared" si="11"/>
        <v>0</v>
      </c>
      <c r="W44" s="219">
        <f t="shared" si="11"/>
        <v>0</v>
      </c>
    </row>
    <row r="45" spans="1:23" ht="13.5" outlineLevel="1" thickTop="1">
      <c r="A45" s="61"/>
      <c r="C45" s="108"/>
      <c r="E45" s="7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ht="13.15" outlineLevel="1">
      <c r="A46" s="61"/>
      <c r="B46" s="61" t="s">
        <v>374</v>
      </c>
      <c r="C46" s="108"/>
      <c r="E46" s="72"/>
      <c r="V46" s="55"/>
      <c r="W46" s="55"/>
    </row>
    <row r="47" spans="1:23" ht="13.15" outlineLevel="1">
      <c r="A47" s="61"/>
      <c r="C47" s="108"/>
      <c r="E47" s="72"/>
      <c r="V47" s="55"/>
      <c r="W47" s="55"/>
    </row>
    <row r="48" spans="1:23" ht="13.15" outlineLevel="1">
      <c r="E48" s="111" t="str">
        <f xml:space="preserve"> Inputs!E$69</f>
        <v>Timing delay</v>
      </c>
      <c r="F48" s="111">
        <f xml:space="preserve"> Inputs!F$69</f>
        <v>2</v>
      </c>
      <c r="G48" s="111" t="str">
        <f xml:space="preserve"> Inputs!G$69</f>
        <v>years</v>
      </c>
      <c r="H48" s="111">
        <f xml:space="preserve"> Inputs!H$69</f>
        <v>0</v>
      </c>
      <c r="I48" s="111">
        <f xml:space="preserve"> Inputs!I$69</f>
        <v>0</v>
      </c>
      <c r="J48" s="111">
        <f xml:space="preserve"> Inputs!J$69</f>
        <v>0</v>
      </c>
      <c r="K48" s="111">
        <f xml:space="preserve"> Inputs!K$69</f>
        <v>0</v>
      </c>
      <c r="L48" s="111">
        <f xml:space="preserve"> Inputs!L$69</f>
        <v>0</v>
      </c>
      <c r="M48" s="111">
        <f xml:space="preserve"> Inputs!M$69</f>
        <v>0</v>
      </c>
      <c r="N48" s="111">
        <f xml:space="preserve"> Inputs!N$69</f>
        <v>0</v>
      </c>
      <c r="O48" s="111">
        <f xml:space="preserve"> Inputs!O$69</f>
        <v>0</v>
      </c>
      <c r="P48" s="111">
        <f xml:space="preserve"> Inputs!P$69</f>
        <v>0</v>
      </c>
      <c r="Q48" s="111">
        <f xml:space="preserve"> Inputs!Q$69</f>
        <v>0</v>
      </c>
      <c r="R48" s="111">
        <f xml:space="preserve"> Inputs!R$69</f>
        <v>0</v>
      </c>
      <c r="S48" s="111">
        <f xml:space="preserve"> Inputs!S$69</f>
        <v>0</v>
      </c>
      <c r="T48" s="111">
        <f xml:space="preserve"> Inputs!T$69</f>
        <v>0</v>
      </c>
      <c r="U48" s="111">
        <f xml:space="preserve"> Inputs!U$69</f>
        <v>0</v>
      </c>
      <c r="V48" s="111">
        <f xml:space="preserve"> Inputs!V$69</f>
        <v>0</v>
      </c>
      <c r="W48" s="111">
        <f xml:space="preserve"> Inputs!W$69</f>
        <v>0</v>
      </c>
    </row>
    <row r="49" spans="1:23" ht="13.15" outlineLevel="1">
      <c r="B49" s="62"/>
      <c r="D49" s="157"/>
      <c r="E49" s="41" t="str">
        <f xml:space="preserve"> Inputs!E$63</f>
        <v>Discount rate</v>
      </c>
      <c r="F49" s="41">
        <f xml:space="preserve"> Inputs!F$63</f>
        <v>2.92E-2</v>
      </c>
      <c r="G49" s="41" t="str">
        <f xml:space="preserve"> Inputs!G$63</f>
        <v>%</v>
      </c>
      <c r="H49" s="41">
        <f xml:space="preserve"> Inputs!H$63</f>
        <v>0</v>
      </c>
      <c r="I49" s="41">
        <f xml:space="preserve"> Inputs!I$63</f>
        <v>0</v>
      </c>
      <c r="J49" s="41">
        <f xml:space="preserve"> Inputs!J$63</f>
        <v>0</v>
      </c>
      <c r="K49" s="41">
        <f xml:space="preserve"> Inputs!K$63</f>
        <v>0</v>
      </c>
      <c r="L49" s="41">
        <f xml:space="preserve"> Inputs!L$63</f>
        <v>0</v>
      </c>
      <c r="M49" s="41">
        <f xml:space="preserve"> Inputs!M$63</f>
        <v>0</v>
      </c>
      <c r="N49" s="41">
        <f xml:space="preserve"> Inputs!N$63</f>
        <v>0</v>
      </c>
      <c r="O49" s="41">
        <f xml:space="preserve"> Inputs!O$63</f>
        <v>0</v>
      </c>
      <c r="P49" s="41">
        <f xml:space="preserve"> Inputs!P$63</f>
        <v>0</v>
      </c>
      <c r="Q49" s="41">
        <f xml:space="preserve"> Inputs!Q$63</f>
        <v>0</v>
      </c>
      <c r="R49" s="41">
        <f xml:space="preserve"> Inputs!R$63</f>
        <v>0</v>
      </c>
      <c r="S49" s="41">
        <f xml:space="preserve"> Inputs!S$63</f>
        <v>0</v>
      </c>
      <c r="T49" s="41">
        <f xml:space="preserve"> Inputs!T$63</f>
        <v>0</v>
      </c>
      <c r="U49" s="41">
        <f xml:space="preserve"> Inputs!U$63</f>
        <v>0</v>
      </c>
      <c r="V49" s="41">
        <f xml:space="preserve"> Inputs!V$63</f>
        <v>0</v>
      </c>
      <c r="W49" s="41">
        <f xml:space="preserve"> Inputs!W$63</f>
        <v>0</v>
      </c>
    </row>
    <row r="50" spans="1:23" s="170" customFormat="1" ht="13.15" outlineLevel="1">
      <c r="A50" s="124"/>
      <c r="B50" s="124"/>
      <c r="C50" s="125"/>
      <c r="D50" s="126"/>
      <c r="E50" s="204" t="str">
        <f>E$44</f>
        <v>Revenue Imbalance  - WW-TTT</v>
      </c>
      <c r="F50" s="204">
        <f t="shared" ref="F50:W50" si="12">F$44</f>
        <v>0</v>
      </c>
      <c r="G50" s="204" t="str">
        <f t="shared" si="12"/>
        <v>£m</v>
      </c>
      <c r="H50" s="204">
        <f t="shared" si="12"/>
        <v>0</v>
      </c>
      <c r="I50" s="204">
        <f t="shared" si="12"/>
        <v>0</v>
      </c>
      <c r="J50" s="204">
        <f>J$44</f>
        <v>0</v>
      </c>
      <c r="K50" s="204">
        <f t="shared" si="12"/>
        <v>0</v>
      </c>
      <c r="L50" s="204">
        <f t="shared" si="12"/>
        <v>0</v>
      </c>
      <c r="M50" s="204">
        <f t="shared" si="12"/>
        <v>0</v>
      </c>
      <c r="N50" s="204">
        <f t="shared" si="12"/>
        <v>0</v>
      </c>
      <c r="O50" s="204">
        <f t="shared" si="12"/>
        <v>0</v>
      </c>
      <c r="P50" s="204">
        <f t="shared" si="12"/>
        <v>0</v>
      </c>
      <c r="Q50" s="204">
        <f>Q$44</f>
        <v>0</v>
      </c>
      <c r="R50" s="204">
        <f t="shared" si="12"/>
        <v>0</v>
      </c>
      <c r="S50" s="204">
        <f t="shared" si="12"/>
        <v>0</v>
      </c>
      <c r="T50" s="204">
        <f t="shared" si="12"/>
        <v>0</v>
      </c>
      <c r="U50" s="204">
        <f t="shared" si="12"/>
        <v>0</v>
      </c>
      <c r="V50" s="204">
        <f t="shared" si="12"/>
        <v>0</v>
      </c>
      <c r="W50" s="204">
        <f t="shared" si="12"/>
        <v>0</v>
      </c>
    </row>
    <row r="51" spans="1:23" s="170" customFormat="1" ht="13.15" outlineLevel="1">
      <c r="A51" s="123"/>
      <c r="B51" s="124"/>
      <c r="C51" s="125"/>
      <c r="D51" s="126"/>
      <c r="E51" s="96" t="str">
        <f xml:space="preserve"> Time!E$63</f>
        <v>Forecast period counter</v>
      </c>
      <c r="F51" s="96">
        <f xml:space="preserve"> Time!F$63</f>
        <v>0</v>
      </c>
      <c r="G51" s="96" t="str">
        <f xml:space="preserve"> Time!G$63</f>
        <v>counter</v>
      </c>
      <c r="H51" s="96">
        <f xml:space="preserve"> Time!H$63</f>
        <v>0</v>
      </c>
      <c r="I51" s="96">
        <f xml:space="preserve"> Time!I$63</f>
        <v>0</v>
      </c>
      <c r="J51" s="96">
        <f xml:space="preserve"> Time!J$63</f>
        <v>0</v>
      </c>
      <c r="K51" s="96">
        <f xml:space="preserve"> Time!K$63</f>
        <v>0</v>
      </c>
      <c r="L51" s="96">
        <f xml:space="preserve"> Time!L$63</f>
        <v>0</v>
      </c>
      <c r="M51" s="96">
        <f xml:space="preserve"> Time!M$63</f>
        <v>0</v>
      </c>
      <c r="N51" s="96">
        <f xml:space="preserve"> Time!N$63</f>
        <v>0</v>
      </c>
      <c r="O51" s="96">
        <f xml:space="preserve"> Time!O$63</f>
        <v>0</v>
      </c>
      <c r="P51" s="96">
        <f xml:space="preserve"> Time!P$63</f>
        <v>1</v>
      </c>
      <c r="Q51" s="96">
        <f xml:space="preserve"> Time!Q$63</f>
        <v>2</v>
      </c>
      <c r="R51" s="96">
        <f xml:space="preserve"> Time!R$63</f>
        <v>3</v>
      </c>
      <c r="S51" s="96">
        <f xml:space="preserve"> Time!S$63</f>
        <v>4</v>
      </c>
      <c r="T51" s="96">
        <f xml:space="preserve"> Time!T$63</f>
        <v>5</v>
      </c>
      <c r="U51" s="96">
        <f xml:space="preserve"> Time!U$63</f>
        <v>0</v>
      </c>
      <c r="V51" s="96">
        <f xml:space="preserve"> Time!V$63</f>
        <v>0</v>
      </c>
      <c r="W51" s="96">
        <f xml:space="preserve"> Time!W$63</f>
        <v>0</v>
      </c>
    </row>
    <row r="52" spans="1:23" ht="13.15" outlineLevel="1">
      <c r="A52" s="61"/>
      <c r="E52" s="72" t="s">
        <v>401</v>
      </c>
      <c r="G52" s="55" t="s">
        <v>77</v>
      </c>
      <c r="H52" s="92">
        <f xml:space="preserve"> SUM(J52:W52)</f>
        <v>0</v>
      </c>
      <c r="J52" s="92">
        <f xml:space="preserve"> IF( J51 &lt;= $F$48 + 1,  J50 * (1 + $F49) * (1 + $F49), 0 )</f>
        <v>0</v>
      </c>
      <c r="K52" s="92">
        <f t="shared" ref="K52:W52" si="13" xml:space="preserve"> IF( K51 &lt;= $F$48 + 1,  K50 * (1 + $F49) * (1 + $F49), 0 )</f>
        <v>0</v>
      </c>
      <c r="L52" s="92">
        <f t="shared" si="13"/>
        <v>0</v>
      </c>
      <c r="M52" s="92">
        <f t="shared" si="13"/>
        <v>0</v>
      </c>
      <c r="N52" s="92">
        <f t="shared" si="13"/>
        <v>0</v>
      </c>
      <c r="O52" s="92">
        <f t="shared" si="13"/>
        <v>0</v>
      </c>
      <c r="P52" s="92">
        <f t="shared" si="13"/>
        <v>0</v>
      </c>
      <c r="Q52" s="92">
        <f t="shared" si="13"/>
        <v>0</v>
      </c>
      <c r="R52" s="92">
        <f t="shared" si="13"/>
        <v>0</v>
      </c>
      <c r="S52" s="92">
        <f t="shared" si="13"/>
        <v>0</v>
      </c>
      <c r="T52" s="92">
        <f t="shared" si="13"/>
        <v>0</v>
      </c>
      <c r="U52" s="92">
        <f t="shared" si="13"/>
        <v>0</v>
      </c>
      <c r="V52" s="92">
        <f t="shared" si="13"/>
        <v>0</v>
      </c>
      <c r="W52" s="92">
        <f t="shared" si="13"/>
        <v>0</v>
      </c>
    </row>
    <row r="53" spans="1:23" ht="13.15" outlineLevel="1">
      <c r="A53" s="61"/>
      <c r="C53" s="108"/>
      <c r="E53" s="72"/>
      <c r="V53" s="55"/>
      <c r="W53" s="55"/>
    </row>
    <row r="54" spans="1:23" ht="13.15" outlineLevel="1">
      <c r="B54" s="62"/>
      <c r="D54" s="157"/>
      <c r="E54" s="34" t="str">
        <f xml:space="preserve"> 'Indices and K factor'!E$11</f>
        <v>CPIH: Nov % increase (prior year) - CALC</v>
      </c>
      <c r="F54" s="34">
        <f xml:space="preserve"> 'Indices and K factor'!F$11</f>
        <v>0</v>
      </c>
      <c r="G54" s="34" t="str">
        <f xml:space="preserve"> 'Indices and K factor'!G$11</f>
        <v>%</v>
      </c>
      <c r="H54" s="34">
        <f xml:space="preserve"> 'Indices and K factor'!H$11</f>
        <v>0</v>
      </c>
      <c r="I54" s="34">
        <f xml:space="preserve"> 'Indices and K factor'!I$11</f>
        <v>0</v>
      </c>
      <c r="J54" s="34">
        <f xml:space="preserve"> 'Indices and K factor'!J$11</f>
        <v>0</v>
      </c>
      <c r="K54" s="34">
        <f xml:space="preserve"> 'Indices and K factor'!K$11</f>
        <v>0</v>
      </c>
      <c r="L54" s="34">
        <f xml:space="preserve"> 'Indices and K factor'!L$11</f>
        <v>1.0040040040040039</v>
      </c>
      <c r="M54" s="34">
        <f xml:space="preserve"> 'Indices and K factor'!M$11</f>
        <v>1.0149551345962113</v>
      </c>
      <c r="N54" s="34">
        <f xml:space="preserve"> 'Indices and K factor'!N$11</f>
        <v>1.0284872298624754</v>
      </c>
      <c r="O54" s="34">
        <f xml:space="preserve"> 'Indices and K factor'!O$11</f>
        <v>1.0210124164278893</v>
      </c>
      <c r="P54" s="34">
        <f xml:space="preserve"> 'Indices and K factor'!P$11</f>
        <v>1.0149672591206735</v>
      </c>
      <c r="Q54" s="34">
        <f xml:space="preserve"> 'Indices and K factor'!Q$11</f>
        <v>1.0055299539170506</v>
      </c>
      <c r="R54" s="34">
        <f xml:space="preserve"> 'Indices and K factor'!R$11</f>
        <v>1.0458295142071494</v>
      </c>
      <c r="S54" s="34">
        <f xml:space="preserve"> 'Indices and K factor'!S$11</f>
        <v>1.0937773882559159</v>
      </c>
      <c r="T54" s="34">
        <f xml:space="preserve"> 'Indices and K factor'!T$11</f>
        <v>1.0416666666666667</v>
      </c>
      <c r="U54" s="34">
        <f xml:space="preserve"> 'Indices and K factor'!U$11</f>
        <v>1.0253846153846156</v>
      </c>
      <c r="V54" s="34">
        <f xml:space="preserve"> 'Indices and K factor'!V$11</f>
        <v>1.02</v>
      </c>
      <c r="W54" s="34">
        <f xml:space="preserve"> 'Indices and K factor'!W$11</f>
        <v>1.02</v>
      </c>
    </row>
    <row r="55" spans="1:23" ht="13.15" outlineLevel="1">
      <c r="B55" s="62"/>
      <c r="D55" s="157"/>
      <c r="E55" s="33" t="str">
        <f xml:space="preserve"> E$52</f>
        <v>Main revenue adjustment - with financing adjustment - WW-TTT</v>
      </c>
      <c r="F55" s="33">
        <f xml:space="preserve"> F$52</f>
        <v>0</v>
      </c>
      <c r="G55" s="33" t="str">
        <f xml:space="preserve"> G$52</f>
        <v>£m</v>
      </c>
      <c r="H55" s="33">
        <f xml:space="preserve"> H$52</f>
        <v>0</v>
      </c>
      <c r="I55" s="33">
        <f xml:space="preserve"> I$52</f>
        <v>0</v>
      </c>
      <c r="J55" s="33">
        <f t="shared" ref="J55:W55" si="14" xml:space="preserve"> J$52</f>
        <v>0</v>
      </c>
      <c r="K55" s="33">
        <f t="shared" si="14"/>
        <v>0</v>
      </c>
      <c r="L55" s="33">
        <f t="shared" si="14"/>
        <v>0</v>
      </c>
      <c r="M55" s="33">
        <f t="shared" si="14"/>
        <v>0</v>
      </c>
      <c r="N55" s="33">
        <f t="shared" si="14"/>
        <v>0</v>
      </c>
      <c r="O55" s="33">
        <f t="shared" si="14"/>
        <v>0</v>
      </c>
      <c r="P55" s="33">
        <f t="shared" si="14"/>
        <v>0</v>
      </c>
      <c r="Q55" s="33">
        <f t="shared" si="14"/>
        <v>0</v>
      </c>
      <c r="R55" s="33">
        <f t="shared" si="14"/>
        <v>0</v>
      </c>
      <c r="S55" s="33">
        <f t="shared" si="14"/>
        <v>0</v>
      </c>
      <c r="T55" s="33">
        <f t="shared" si="14"/>
        <v>0</v>
      </c>
      <c r="U55" s="33">
        <f t="shared" si="14"/>
        <v>0</v>
      </c>
      <c r="V55" s="33">
        <f t="shared" si="14"/>
        <v>0</v>
      </c>
      <c r="W55" s="33">
        <f t="shared" si="14"/>
        <v>0</v>
      </c>
    </row>
    <row r="56" spans="1:23" ht="13.5" outlineLevel="1" thickBot="1">
      <c r="B56" s="62"/>
      <c r="D56" s="157"/>
      <c r="E56" s="218" t="s">
        <v>402</v>
      </c>
      <c r="F56" s="214"/>
      <c r="G56" s="214" t="s">
        <v>77</v>
      </c>
      <c r="H56" s="216">
        <f xml:space="preserve"> SUM(J56:W56)</f>
        <v>0</v>
      </c>
      <c r="I56" s="220"/>
      <c r="J56" s="219">
        <f t="shared" ref="J56:T56" si="15" xml:space="preserve"> J55 * K54 * L54</f>
        <v>0</v>
      </c>
      <c r="K56" s="219">
        <f t="shared" si="15"/>
        <v>0</v>
      </c>
      <c r="L56" s="219">
        <f t="shared" si="15"/>
        <v>0</v>
      </c>
      <c r="M56" s="219">
        <f xml:space="preserve"> M55 * N54 * O54</f>
        <v>0</v>
      </c>
      <c r="N56" s="219">
        <f t="shared" si="15"/>
        <v>0</v>
      </c>
      <c r="O56" s="219">
        <f t="shared" si="15"/>
        <v>0</v>
      </c>
      <c r="P56" s="219">
        <f xml:space="preserve"> P55 * Q54 * R54</f>
        <v>0</v>
      </c>
      <c r="Q56" s="219">
        <f xml:space="preserve"> Q55 * R54 * S54</f>
        <v>0</v>
      </c>
      <c r="R56" s="219">
        <f t="shared" si="15"/>
        <v>0</v>
      </c>
      <c r="S56" s="219">
        <f t="shared" si="15"/>
        <v>0</v>
      </c>
      <c r="T56" s="219">
        <f t="shared" si="15"/>
        <v>0</v>
      </c>
      <c r="U56" s="219">
        <f xml:space="preserve"> U55 * V54 * W54</f>
        <v>0</v>
      </c>
      <c r="V56" s="425"/>
      <c r="W56" s="425"/>
    </row>
    <row r="57" spans="1:23" ht="13.5" outlineLevel="1" thickTop="1">
      <c r="B57" s="62"/>
      <c r="D57" s="157"/>
      <c r="E57" s="142"/>
      <c r="V57" s="55"/>
      <c r="W57" s="55"/>
    </row>
    <row r="58" spans="1:23" customFormat="1" ht="12.75" customHeight="1">
      <c r="A58" s="113" t="s">
        <v>321</v>
      </c>
      <c r="B58" s="113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</row>
    <row r="59" spans="1:23" ht="13.15">
      <c r="A59" s="61"/>
      <c r="C59" s="108"/>
      <c r="E59" s="72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ht="13.15" outlineLevel="1">
      <c r="A60" s="61"/>
      <c r="B60" s="61" t="s">
        <v>322</v>
      </c>
      <c r="C60" s="108"/>
      <c r="E60" s="128"/>
      <c r="V60" s="55"/>
      <c r="W60" s="55"/>
    </row>
    <row r="61" spans="1:23" ht="13.15" outlineLevel="1">
      <c r="A61" s="61"/>
      <c r="C61" s="108"/>
      <c r="E61" s="128"/>
      <c r="V61" s="55"/>
      <c r="W61" s="55"/>
    </row>
    <row r="62" spans="1:23" ht="13.15" outlineLevel="1">
      <c r="B62" s="62"/>
      <c r="D62" s="157"/>
      <c r="E62" s="91" t="str">
        <f xml:space="preserve"> E$44</f>
        <v>Revenue Imbalance  - WW-TTT</v>
      </c>
      <c r="F62" s="91">
        <f t="shared" ref="F62:W62" si="16" xml:space="preserve"> F$44</f>
        <v>0</v>
      </c>
      <c r="G62" s="91" t="str">
        <f t="shared" si="16"/>
        <v>£m</v>
      </c>
      <c r="H62" s="91">
        <f t="shared" si="16"/>
        <v>0</v>
      </c>
      <c r="I62" s="91">
        <f t="shared" si="16"/>
        <v>0</v>
      </c>
      <c r="J62" s="91">
        <f t="shared" si="16"/>
        <v>0</v>
      </c>
      <c r="K62" s="91">
        <f t="shared" si="16"/>
        <v>0</v>
      </c>
      <c r="L62" s="91">
        <f t="shared" si="16"/>
        <v>0</v>
      </c>
      <c r="M62" s="91">
        <f t="shared" si="16"/>
        <v>0</v>
      </c>
      <c r="N62" s="91">
        <f t="shared" si="16"/>
        <v>0</v>
      </c>
      <c r="O62" s="91">
        <f t="shared" si="16"/>
        <v>0</v>
      </c>
      <c r="P62" s="91">
        <f t="shared" si="16"/>
        <v>0</v>
      </c>
      <c r="Q62" s="91">
        <f t="shared" si="16"/>
        <v>0</v>
      </c>
      <c r="R62" s="91">
        <f t="shared" si="16"/>
        <v>0</v>
      </c>
      <c r="S62" s="91">
        <f t="shared" si="16"/>
        <v>0</v>
      </c>
      <c r="T62" s="91">
        <f t="shared" si="16"/>
        <v>0</v>
      </c>
      <c r="U62" s="91">
        <f t="shared" si="16"/>
        <v>0</v>
      </c>
      <c r="V62" s="91">
        <f t="shared" si="16"/>
        <v>0</v>
      </c>
      <c r="W62" s="91">
        <f t="shared" si="16"/>
        <v>0</v>
      </c>
    </row>
    <row r="63" spans="1:23" s="127" customFormat="1" ht="13.15" outlineLevel="1">
      <c r="A63" s="164"/>
      <c r="B63" s="164"/>
      <c r="C63" s="165"/>
      <c r="D63" s="73"/>
      <c r="E63" s="203" t="str">
        <f xml:space="preserve"> E$40</f>
        <v>Adjusted allowed revenue - WW-TTT</v>
      </c>
      <c r="F63" s="203">
        <f t="shared" ref="F63:W63" si="17" xml:space="preserve"> F$40</f>
        <v>0</v>
      </c>
      <c r="G63" s="203" t="str">
        <f t="shared" si="17"/>
        <v>£m</v>
      </c>
      <c r="H63" s="42">
        <f t="shared" si="17"/>
        <v>0</v>
      </c>
      <c r="I63" s="42">
        <f t="shared" si="17"/>
        <v>0</v>
      </c>
      <c r="J63" s="42">
        <f t="shared" si="17"/>
        <v>0</v>
      </c>
      <c r="K63" s="42">
        <f t="shared" si="17"/>
        <v>0</v>
      </c>
      <c r="L63" s="42">
        <f t="shared" si="17"/>
        <v>0</v>
      </c>
      <c r="M63" s="42">
        <f t="shared" si="17"/>
        <v>0</v>
      </c>
      <c r="N63" s="42">
        <f t="shared" si="17"/>
        <v>0</v>
      </c>
      <c r="O63" s="42">
        <f t="shared" si="17"/>
        <v>0</v>
      </c>
      <c r="P63" s="42">
        <f t="shared" si="17"/>
        <v>0</v>
      </c>
      <c r="Q63" s="42">
        <f t="shared" si="17"/>
        <v>0</v>
      </c>
      <c r="R63" s="42">
        <f t="shared" si="17"/>
        <v>0</v>
      </c>
      <c r="S63" s="42">
        <f t="shared" si="17"/>
        <v>0</v>
      </c>
      <c r="T63" s="42">
        <f t="shared" si="17"/>
        <v>0</v>
      </c>
      <c r="U63" s="42">
        <f t="shared" si="17"/>
        <v>0</v>
      </c>
      <c r="V63" s="42">
        <f t="shared" si="17"/>
        <v>0</v>
      </c>
      <c r="W63" s="42">
        <f t="shared" si="17"/>
        <v>0</v>
      </c>
    </row>
    <row r="64" spans="1:23" ht="13.15" outlineLevel="1">
      <c r="B64" s="62"/>
      <c r="D64" s="157"/>
      <c r="E64" s="99" t="s">
        <v>403</v>
      </c>
      <c r="F64" s="99"/>
      <c r="G64" s="99" t="s">
        <v>153</v>
      </c>
      <c r="H64" s="37"/>
      <c r="J64" s="37">
        <f xml:space="preserve"> IF(J63 = 0, 0, ABS( J62 / J63 ) )</f>
        <v>0</v>
      </c>
      <c r="K64" s="37">
        <f xml:space="preserve"> IF(K63 = 0, 0, ABS( K62 / K63 ) )</f>
        <v>0</v>
      </c>
      <c r="L64" s="37">
        <f t="shared" ref="L64:W64" si="18" xml:space="preserve"> IF(L63 = 0, 0, ABS( L62 / L63 ) )</f>
        <v>0</v>
      </c>
      <c r="M64" s="37">
        <f t="shared" si="18"/>
        <v>0</v>
      </c>
      <c r="N64" s="37">
        <f t="shared" si="18"/>
        <v>0</v>
      </c>
      <c r="O64" s="37">
        <f t="shared" si="18"/>
        <v>0</v>
      </c>
      <c r="P64" s="37">
        <f t="shared" si="18"/>
        <v>0</v>
      </c>
      <c r="Q64" s="37">
        <f t="shared" si="18"/>
        <v>0</v>
      </c>
      <c r="R64" s="37">
        <f t="shared" si="18"/>
        <v>0</v>
      </c>
      <c r="S64" s="37">
        <f t="shared" si="18"/>
        <v>0</v>
      </c>
      <c r="T64" s="37">
        <f t="shared" si="18"/>
        <v>0</v>
      </c>
      <c r="U64" s="37">
        <f t="shared" si="18"/>
        <v>0</v>
      </c>
      <c r="V64" s="37">
        <f t="shared" si="18"/>
        <v>0</v>
      </c>
      <c r="W64" s="37">
        <f t="shared" si="18"/>
        <v>0</v>
      </c>
    </row>
    <row r="65" spans="1:23" ht="13.15" outlineLevel="1">
      <c r="A65" s="61"/>
      <c r="C65" s="108"/>
      <c r="E65" s="72"/>
    </row>
    <row r="66" spans="1:23" ht="13.15" outlineLevel="1">
      <c r="A66" s="61"/>
      <c r="C66" s="108"/>
      <c r="E66" s="34" t="str">
        <f xml:space="preserve"> Inputs!E$57</f>
        <v>Minimum threshold</v>
      </c>
      <c r="F66" s="34">
        <f xml:space="preserve"> Inputs!F$57</f>
        <v>0.02</v>
      </c>
      <c r="G66" s="34" t="str">
        <f xml:space="preserve"> Inputs!G$57</f>
        <v>%</v>
      </c>
      <c r="H66" s="34">
        <f xml:space="preserve"> Inputs!H$57</f>
        <v>0</v>
      </c>
      <c r="I66" s="34">
        <f xml:space="preserve"> Inputs!I$57</f>
        <v>0</v>
      </c>
      <c r="J66" s="34">
        <f xml:space="preserve"> Inputs!J$57</f>
        <v>0</v>
      </c>
      <c r="K66" s="34">
        <f xml:space="preserve"> Inputs!K$57</f>
        <v>0</v>
      </c>
      <c r="L66" s="34">
        <f xml:space="preserve"> Inputs!L$57</f>
        <v>0</v>
      </c>
      <c r="M66" s="34">
        <f xml:space="preserve"> Inputs!M$57</f>
        <v>0</v>
      </c>
      <c r="N66" s="34">
        <f xml:space="preserve"> Inputs!N$57</f>
        <v>0</v>
      </c>
      <c r="O66" s="34">
        <f xml:space="preserve"> Inputs!O$57</f>
        <v>0</v>
      </c>
      <c r="P66" s="34">
        <f xml:space="preserve"> Inputs!P$57</f>
        <v>0</v>
      </c>
      <c r="Q66" s="34">
        <f xml:space="preserve"> Inputs!Q$57</f>
        <v>0</v>
      </c>
      <c r="R66" s="34">
        <f xml:space="preserve"> Inputs!R$57</f>
        <v>0</v>
      </c>
      <c r="S66" s="34">
        <f xml:space="preserve"> Inputs!S$57</f>
        <v>0</v>
      </c>
      <c r="T66" s="34">
        <f xml:space="preserve"> Inputs!T$57</f>
        <v>0</v>
      </c>
      <c r="U66" s="34">
        <f xml:space="preserve"> Inputs!U$57</f>
        <v>0</v>
      </c>
      <c r="V66" s="34">
        <f xml:space="preserve"> Inputs!V$57</f>
        <v>0</v>
      </c>
      <c r="W66" s="34">
        <f xml:space="preserve"> Inputs!W$57</f>
        <v>0</v>
      </c>
    </row>
    <row r="67" spans="1:23" ht="13.15" outlineLevel="1">
      <c r="E67" s="36" t="str">
        <f xml:space="preserve"> E$64</f>
        <v>Forecast error - WW-TTT</v>
      </c>
      <c r="F67" s="36">
        <f t="shared" ref="F67:T67" si="19" xml:space="preserve"> F$64</f>
        <v>0</v>
      </c>
      <c r="G67" s="36" t="str">
        <f t="shared" si="19"/>
        <v>%</v>
      </c>
      <c r="H67" s="36">
        <f t="shared" si="19"/>
        <v>0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0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</v>
      </c>
      <c r="S67" s="36">
        <f t="shared" si="19"/>
        <v>0</v>
      </c>
      <c r="T67" s="36">
        <f t="shared" si="19"/>
        <v>0</v>
      </c>
      <c r="U67" s="36">
        <f xml:space="preserve"> U$64</f>
        <v>0</v>
      </c>
      <c r="V67" s="36">
        <f xml:space="preserve"> V$64</f>
        <v>0</v>
      </c>
      <c r="W67" s="36">
        <f xml:space="preserve"> W$64</f>
        <v>0</v>
      </c>
    </row>
    <row r="68" spans="1:23" ht="13.15" outlineLevel="1">
      <c r="A68" s="61"/>
      <c r="C68" s="108"/>
      <c r="E68" s="72" t="s">
        <v>404</v>
      </c>
      <c r="G68" s="55" t="s">
        <v>227</v>
      </c>
      <c r="J68" s="55">
        <f xml:space="preserve"> IF(J67 &gt; $F66, 1, 0)</f>
        <v>0</v>
      </c>
      <c r="K68" s="55">
        <f t="shared" ref="K68:T68" si="20" xml:space="preserve"> IF(K67 &gt; $F66, 1, 0)</f>
        <v>0</v>
      </c>
      <c r="L68" s="55">
        <f t="shared" si="20"/>
        <v>0</v>
      </c>
      <c r="M68" s="55">
        <f t="shared" si="20"/>
        <v>0</v>
      </c>
      <c r="N68" s="55">
        <f t="shared" si="20"/>
        <v>0</v>
      </c>
      <c r="O68" s="55">
        <f t="shared" si="20"/>
        <v>0</v>
      </c>
      <c r="P68" s="55">
        <f t="shared" si="20"/>
        <v>0</v>
      </c>
      <c r="Q68" s="55">
        <f t="shared" si="20"/>
        <v>0</v>
      </c>
      <c r="R68" s="55">
        <f t="shared" si="20"/>
        <v>0</v>
      </c>
      <c r="S68" s="55">
        <f t="shared" si="20"/>
        <v>0</v>
      </c>
      <c r="T68" s="55">
        <f t="shared" si="20"/>
        <v>0</v>
      </c>
      <c r="U68" s="55">
        <f xml:space="preserve"> IF(U67 &gt; $F66, 1, 0)</f>
        <v>0</v>
      </c>
      <c r="V68" s="55">
        <f xml:space="preserve"> IF(V67 &gt; $F66, 1, 0)</f>
        <v>0</v>
      </c>
      <c r="W68" s="55">
        <f xml:space="preserve"> IF(W67 &gt; $F66, 1, 0)</f>
        <v>0</v>
      </c>
    </row>
    <row r="69" spans="1:23" ht="13.15" outlineLevel="1">
      <c r="A69" s="61"/>
      <c r="C69" s="108"/>
      <c r="E69" s="72"/>
      <c r="V69" s="55"/>
      <c r="W69" s="55"/>
    </row>
    <row r="70" spans="1:23" ht="13.15" outlineLevel="1">
      <c r="A70" s="61"/>
      <c r="C70" s="108"/>
      <c r="E70" s="34" t="str">
        <f xml:space="preserve"> Inputs!E$57</f>
        <v>Minimum threshold</v>
      </c>
      <c r="F70" s="34">
        <f xml:space="preserve"> Inputs!F$57</f>
        <v>0.02</v>
      </c>
      <c r="G70" s="34" t="str">
        <f xml:space="preserve"> Inputs!G$57</f>
        <v>%</v>
      </c>
      <c r="H70" s="34">
        <f xml:space="preserve"> Inputs!H$57</f>
        <v>0</v>
      </c>
      <c r="I70" s="34">
        <f xml:space="preserve"> Inputs!I$57</f>
        <v>0</v>
      </c>
      <c r="J70" s="34">
        <f xml:space="preserve"> Inputs!J$57</f>
        <v>0</v>
      </c>
      <c r="K70" s="34">
        <f xml:space="preserve"> Inputs!K$57</f>
        <v>0</v>
      </c>
      <c r="L70" s="34">
        <f xml:space="preserve"> Inputs!L$57</f>
        <v>0</v>
      </c>
      <c r="M70" s="34">
        <f xml:space="preserve"> Inputs!M$57</f>
        <v>0</v>
      </c>
      <c r="N70" s="34">
        <f xml:space="preserve"> Inputs!N$57</f>
        <v>0</v>
      </c>
      <c r="O70" s="34">
        <f xml:space="preserve"> Inputs!O$57</f>
        <v>0</v>
      </c>
      <c r="P70" s="34">
        <f xml:space="preserve"> Inputs!P$57</f>
        <v>0</v>
      </c>
      <c r="Q70" s="34">
        <f xml:space="preserve"> Inputs!Q$57</f>
        <v>0</v>
      </c>
      <c r="R70" s="34">
        <f xml:space="preserve"> Inputs!R$57</f>
        <v>0</v>
      </c>
      <c r="S70" s="34">
        <f xml:space="preserve"> Inputs!S$57</f>
        <v>0</v>
      </c>
      <c r="T70" s="34">
        <f xml:space="preserve"> Inputs!T$57</f>
        <v>0</v>
      </c>
      <c r="U70" s="34">
        <f xml:space="preserve"> Inputs!U$57</f>
        <v>0</v>
      </c>
      <c r="V70" s="34">
        <f xml:space="preserve"> Inputs!V$57</f>
        <v>0</v>
      </c>
      <c r="W70" s="34">
        <f xml:space="preserve"> Inputs!W$57</f>
        <v>0</v>
      </c>
    </row>
    <row r="71" spans="1:23" ht="13.15" outlineLevel="1">
      <c r="A71" s="61"/>
      <c r="C71" s="108"/>
      <c r="E71" s="34" t="str">
        <f xml:space="preserve"> Inputs!E$59</f>
        <v>Maximum threshold</v>
      </c>
      <c r="F71" s="34">
        <f xml:space="preserve"> Inputs!F$59</f>
        <v>0.03</v>
      </c>
      <c r="G71" s="34" t="str">
        <f xml:space="preserve"> Inputs!G$59</f>
        <v>%</v>
      </c>
      <c r="H71" s="34">
        <f xml:space="preserve"> Inputs!H$59</f>
        <v>0</v>
      </c>
      <c r="I71" s="34">
        <f xml:space="preserve"> Inputs!I$59</f>
        <v>0</v>
      </c>
      <c r="J71" s="34">
        <f xml:space="preserve"> Inputs!J$59</f>
        <v>0</v>
      </c>
      <c r="K71" s="34">
        <f xml:space="preserve"> Inputs!K$59</f>
        <v>0</v>
      </c>
      <c r="L71" s="34">
        <f xml:space="preserve"> Inputs!L$59</f>
        <v>0</v>
      </c>
      <c r="M71" s="34">
        <f xml:space="preserve"> Inputs!M$59</f>
        <v>0</v>
      </c>
      <c r="N71" s="34">
        <f xml:space="preserve"> Inputs!N$59</f>
        <v>0</v>
      </c>
      <c r="O71" s="34">
        <f xml:space="preserve"> Inputs!O$59</f>
        <v>0</v>
      </c>
      <c r="P71" s="34">
        <f xml:space="preserve"> Inputs!P$59</f>
        <v>0</v>
      </c>
      <c r="Q71" s="34">
        <f xml:space="preserve"> Inputs!Q$59</f>
        <v>0</v>
      </c>
      <c r="R71" s="34">
        <f xml:space="preserve"> Inputs!R$59</f>
        <v>0</v>
      </c>
      <c r="S71" s="34">
        <f xml:space="preserve"> Inputs!S$59</f>
        <v>0</v>
      </c>
      <c r="T71" s="34">
        <f xml:space="preserve"> Inputs!T$59</f>
        <v>0</v>
      </c>
      <c r="U71" s="34">
        <f xml:space="preserve"> Inputs!U$59</f>
        <v>0</v>
      </c>
      <c r="V71" s="34">
        <f xml:space="preserve"> Inputs!V$59</f>
        <v>0</v>
      </c>
      <c r="W71" s="34">
        <f xml:space="preserve"> Inputs!W$59</f>
        <v>0</v>
      </c>
    </row>
    <row r="72" spans="1:23" ht="13.15" outlineLevel="1">
      <c r="E72" s="36" t="str">
        <f t="shared" ref="E72:T72" si="21" xml:space="preserve"> E$64</f>
        <v>Forecast error - WW-TTT</v>
      </c>
      <c r="F72" s="36">
        <f t="shared" si="21"/>
        <v>0</v>
      </c>
      <c r="G72" s="36" t="str">
        <f t="shared" si="21"/>
        <v>%</v>
      </c>
      <c r="H72" s="36">
        <f t="shared" si="21"/>
        <v>0</v>
      </c>
      <c r="I72" s="36">
        <f t="shared" si="21"/>
        <v>0</v>
      </c>
      <c r="J72" s="36">
        <f xml:space="preserve"> J$64</f>
        <v>0</v>
      </c>
      <c r="K72" s="36">
        <f t="shared" si="21"/>
        <v>0</v>
      </c>
      <c r="L72" s="36">
        <f t="shared" si="21"/>
        <v>0</v>
      </c>
      <c r="M72" s="36">
        <f t="shared" si="21"/>
        <v>0</v>
      </c>
      <c r="N72" s="36">
        <f t="shared" si="21"/>
        <v>0</v>
      </c>
      <c r="O72" s="36">
        <f t="shared" si="21"/>
        <v>0</v>
      </c>
      <c r="P72" s="36">
        <f t="shared" si="21"/>
        <v>0</v>
      </c>
      <c r="Q72" s="36">
        <f t="shared" si="21"/>
        <v>0</v>
      </c>
      <c r="R72" s="36">
        <f t="shared" si="21"/>
        <v>0</v>
      </c>
      <c r="S72" s="36">
        <f t="shared" si="21"/>
        <v>0</v>
      </c>
      <c r="T72" s="36">
        <f t="shared" si="21"/>
        <v>0</v>
      </c>
      <c r="U72" s="36">
        <f xml:space="preserve"> U$64</f>
        <v>0</v>
      </c>
      <c r="V72" s="36">
        <f xml:space="preserve"> V$64</f>
        <v>0</v>
      </c>
      <c r="W72" s="36">
        <f xml:space="preserve"> W$64</f>
        <v>0</v>
      </c>
    </row>
    <row r="73" spans="1:23" ht="13.15" outlineLevel="1">
      <c r="A73" s="61"/>
      <c r="C73" s="108"/>
      <c r="E73" s="55" t="str">
        <f t="shared" ref="E73:T73" si="22" xml:space="preserve"> E$68</f>
        <v>Penalty applicable - WW-TTT</v>
      </c>
      <c r="F73" s="55">
        <f t="shared" si="22"/>
        <v>0</v>
      </c>
      <c r="G73" s="55" t="str">
        <f t="shared" si="22"/>
        <v>flag</v>
      </c>
      <c r="H73" s="55">
        <f t="shared" si="22"/>
        <v>0</v>
      </c>
      <c r="I73" s="55">
        <f t="shared" si="22"/>
        <v>0</v>
      </c>
      <c r="J73" s="55">
        <f xml:space="preserve"> J$68</f>
        <v>0</v>
      </c>
      <c r="K73" s="55">
        <f t="shared" si="22"/>
        <v>0</v>
      </c>
      <c r="L73" s="55">
        <f t="shared" si="22"/>
        <v>0</v>
      </c>
      <c r="M73" s="55">
        <f t="shared" si="22"/>
        <v>0</v>
      </c>
      <c r="N73" s="55">
        <f t="shared" si="22"/>
        <v>0</v>
      </c>
      <c r="O73" s="55">
        <f t="shared" si="22"/>
        <v>0</v>
      </c>
      <c r="P73" s="55">
        <f t="shared" si="22"/>
        <v>0</v>
      </c>
      <c r="Q73" s="55">
        <f t="shared" si="22"/>
        <v>0</v>
      </c>
      <c r="R73" s="55">
        <f t="shared" si="22"/>
        <v>0</v>
      </c>
      <c r="S73" s="55">
        <f t="shared" si="22"/>
        <v>0</v>
      </c>
      <c r="T73" s="55">
        <f t="shared" si="22"/>
        <v>0</v>
      </c>
      <c r="U73" s="55">
        <f xml:space="preserve"> U$68</f>
        <v>0</v>
      </c>
      <c r="V73" s="55">
        <f xml:space="preserve"> V$68</f>
        <v>0</v>
      </c>
      <c r="W73" s="55">
        <f xml:space="preserve"> W$68</f>
        <v>0</v>
      </c>
    </row>
    <row r="74" spans="1:23" ht="13.15" outlineLevel="1">
      <c r="A74" s="61"/>
      <c r="C74" s="108"/>
      <c r="E74" s="55" t="s">
        <v>405</v>
      </c>
      <c r="G74" s="55" t="s">
        <v>274</v>
      </c>
      <c r="J74" s="3">
        <f t="shared" ref="J74:T74" si="23" xml:space="preserve"> IF(J73 = 1, (J72 - $F70) / ($F71 - $F70), 0)</f>
        <v>0</v>
      </c>
      <c r="K74" s="3">
        <f xml:space="preserve"> IF(K73 = 1, (K72 - $F70) / ($F71 - $F70), 0)</f>
        <v>0</v>
      </c>
      <c r="L74" s="3">
        <f t="shared" si="23"/>
        <v>0</v>
      </c>
      <c r="M74" s="3">
        <f t="shared" si="23"/>
        <v>0</v>
      </c>
      <c r="N74" s="3">
        <f t="shared" si="23"/>
        <v>0</v>
      </c>
      <c r="O74" s="3">
        <f t="shared" si="23"/>
        <v>0</v>
      </c>
      <c r="P74" s="3">
        <f t="shared" si="23"/>
        <v>0</v>
      </c>
      <c r="Q74" s="3">
        <f t="shared" si="23"/>
        <v>0</v>
      </c>
      <c r="R74" s="3">
        <f t="shared" si="23"/>
        <v>0</v>
      </c>
      <c r="S74" s="3">
        <f t="shared" si="23"/>
        <v>0</v>
      </c>
      <c r="T74" s="3">
        <f t="shared" si="23"/>
        <v>0</v>
      </c>
      <c r="U74" s="3">
        <f xml:space="preserve"> IF(U73 = 1, (U72 - $F70) / ($F71 - $F70), 0)</f>
        <v>0</v>
      </c>
      <c r="V74" s="3">
        <f xml:space="preserve"> IF(V73 = 1, (V72 - $F70) / ($F71 - $F70), 0)</f>
        <v>0</v>
      </c>
      <c r="W74" s="3">
        <f xml:space="preserve"> IF(W73 = 1, (W72 - $F70) / ($F71 - $F70), 0)</f>
        <v>0</v>
      </c>
    </row>
    <row r="75" spans="1:23" ht="13.15" outlineLevel="1">
      <c r="A75" s="61"/>
      <c r="C75" s="108"/>
      <c r="E75" s="72"/>
      <c r="V75" s="55"/>
      <c r="W75" s="55"/>
    </row>
    <row r="76" spans="1:23" ht="13.15" outlineLevel="1">
      <c r="A76" s="61"/>
      <c r="C76" s="108"/>
      <c r="E76" s="34" t="str">
        <f xml:space="preserve"> Inputs!E$61</f>
        <v>Penalty level</v>
      </c>
      <c r="F76" s="34">
        <f xml:space="preserve"> Inputs!F$61</f>
        <v>0.03</v>
      </c>
      <c r="G76" s="34" t="str">
        <f xml:space="preserve"> Inputs!G$61</f>
        <v>%</v>
      </c>
      <c r="H76" s="34">
        <f xml:space="preserve"> Inputs!H$61</f>
        <v>0</v>
      </c>
      <c r="I76" s="34">
        <f xml:space="preserve"> Inputs!I$61</f>
        <v>0</v>
      </c>
      <c r="J76" s="34">
        <f xml:space="preserve"> Inputs!J$61</f>
        <v>0</v>
      </c>
      <c r="K76" s="34">
        <f xml:space="preserve"> Inputs!K$61</f>
        <v>0</v>
      </c>
      <c r="L76" s="34">
        <f xml:space="preserve"> Inputs!L$61</f>
        <v>0</v>
      </c>
      <c r="M76" s="34">
        <f xml:space="preserve"> Inputs!M$61</f>
        <v>0</v>
      </c>
      <c r="N76" s="34">
        <f xml:space="preserve"> Inputs!N$61</f>
        <v>0</v>
      </c>
      <c r="O76" s="34">
        <f xml:space="preserve"> Inputs!O$61</f>
        <v>0</v>
      </c>
      <c r="P76" s="34">
        <f xml:space="preserve"> Inputs!P$61</f>
        <v>0</v>
      </c>
      <c r="Q76" s="34">
        <f xml:space="preserve"> Inputs!Q$61</f>
        <v>0</v>
      </c>
      <c r="R76" s="34">
        <f xml:space="preserve"> Inputs!R$61</f>
        <v>0</v>
      </c>
      <c r="S76" s="34">
        <f xml:space="preserve"> Inputs!S$61</f>
        <v>0</v>
      </c>
      <c r="T76" s="34">
        <f xml:space="preserve"> Inputs!T$61</f>
        <v>0</v>
      </c>
      <c r="U76" s="34">
        <f xml:space="preserve"> Inputs!U$61</f>
        <v>0</v>
      </c>
      <c r="V76" s="34">
        <f xml:space="preserve"> Inputs!V$61</f>
        <v>0</v>
      </c>
      <c r="W76" s="34">
        <f xml:space="preserve"> Inputs!W$61</f>
        <v>0</v>
      </c>
    </row>
    <row r="77" spans="1:23" ht="13.15" outlineLevel="1">
      <c r="A77" s="61"/>
      <c r="C77" s="108"/>
      <c r="E77" s="3" t="str">
        <f t="shared" ref="E77:T77" si="24" xml:space="preserve"> E$74</f>
        <v>Error magnitude - WW-TTT</v>
      </c>
      <c r="F77" s="3">
        <f t="shared" si="24"/>
        <v>0</v>
      </c>
      <c r="G77" s="3" t="str">
        <f t="shared" si="24"/>
        <v>factor</v>
      </c>
      <c r="H77" s="3">
        <f t="shared" si="24"/>
        <v>0</v>
      </c>
      <c r="I77" s="3">
        <f t="shared" si="24"/>
        <v>0</v>
      </c>
      <c r="J77" s="3">
        <f t="shared" si="24"/>
        <v>0</v>
      </c>
      <c r="K77" s="3">
        <f t="shared" si="24"/>
        <v>0</v>
      </c>
      <c r="L77" s="3">
        <f t="shared" si="24"/>
        <v>0</v>
      </c>
      <c r="M77" s="3">
        <f t="shared" si="24"/>
        <v>0</v>
      </c>
      <c r="N77" s="3">
        <f t="shared" si="24"/>
        <v>0</v>
      </c>
      <c r="O77" s="3">
        <f t="shared" si="24"/>
        <v>0</v>
      </c>
      <c r="P77" s="3">
        <f t="shared" si="24"/>
        <v>0</v>
      </c>
      <c r="Q77" s="3">
        <f t="shared" si="24"/>
        <v>0</v>
      </c>
      <c r="R77" s="3">
        <f t="shared" si="24"/>
        <v>0</v>
      </c>
      <c r="S77" s="3">
        <f t="shared" si="24"/>
        <v>0</v>
      </c>
      <c r="T77" s="3">
        <f t="shared" si="24"/>
        <v>0</v>
      </c>
      <c r="U77" s="3">
        <f xml:space="preserve"> U$74</f>
        <v>0</v>
      </c>
      <c r="V77" s="3">
        <f xml:space="preserve"> V$74</f>
        <v>0</v>
      </c>
      <c r="W77" s="3">
        <f xml:space="preserve"> W$74</f>
        <v>0</v>
      </c>
    </row>
    <row r="78" spans="1:23" ht="13.15" outlineLevel="1">
      <c r="A78" s="61"/>
      <c r="C78" s="108"/>
      <c r="E78" s="80" t="s">
        <v>406</v>
      </c>
      <c r="F78" s="107"/>
      <c r="G78" s="107" t="s">
        <v>153</v>
      </c>
      <c r="H78" s="107"/>
      <c r="I78" s="56"/>
      <c r="J78" s="233">
        <f xml:space="preserve"> $F76 * MIN(1, J77)</f>
        <v>0</v>
      </c>
      <c r="K78" s="233">
        <f xml:space="preserve"> $F76 * MIN(1, K77)</f>
        <v>0</v>
      </c>
      <c r="L78" s="233">
        <f t="shared" ref="L78:T78" si="25" xml:space="preserve"> $F76 * MIN(1, L77)</f>
        <v>0</v>
      </c>
      <c r="M78" s="233">
        <f t="shared" si="25"/>
        <v>0</v>
      </c>
      <c r="N78" s="233">
        <f t="shared" si="25"/>
        <v>0</v>
      </c>
      <c r="O78" s="233">
        <f t="shared" si="25"/>
        <v>0</v>
      </c>
      <c r="P78" s="233">
        <f t="shared" si="25"/>
        <v>0</v>
      </c>
      <c r="Q78" s="233">
        <f t="shared" si="25"/>
        <v>0</v>
      </c>
      <c r="R78" s="233">
        <f t="shared" si="25"/>
        <v>0</v>
      </c>
      <c r="S78" s="233">
        <f t="shared" si="25"/>
        <v>0</v>
      </c>
      <c r="T78" s="233">
        <f t="shared" si="25"/>
        <v>0</v>
      </c>
      <c r="U78" s="233">
        <f xml:space="preserve"> $F76 * MIN(1, U77)</f>
        <v>0</v>
      </c>
      <c r="V78" s="233">
        <f xml:space="preserve"> $F76 * MIN(1, V77)</f>
        <v>0</v>
      </c>
      <c r="W78" s="233">
        <f xml:space="preserve"> $F76 * MIN(1, W77)</f>
        <v>0</v>
      </c>
    </row>
    <row r="79" spans="1:23" ht="13.15" outlineLevel="1">
      <c r="A79" s="61"/>
      <c r="C79" s="108"/>
      <c r="E79" s="72"/>
      <c r="V79" s="55"/>
      <c r="W79" s="55"/>
    </row>
    <row r="80" spans="1:23" s="127" customFormat="1" ht="13.15" outlineLevel="1">
      <c r="A80" s="164"/>
      <c r="B80" s="164"/>
      <c r="C80" s="165"/>
      <c r="D80" s="73"/>
      <c r="E80" s="203" t="str">
        <f xml:space="preserve"> E$44</f>
        <v>Revenue Imbalance  - WW-TTT</v>
      </c>
      <c r="F80" s="203">
        <f t="shared" ref="F80:W80" si="26" xml:space="preserve"> F$44</f>
        <v>0</v>
      </c>
      <c r="G80" s="203" t="str">
        <f t="shared" si="26"/>
        <v>£m</v>
      </c>
      <c r="H80" s="42">
        <f t="shared" si="26"/>
        <v>0</v>
      </c>
      <c r="I80" s="42">
        <f t="shared" si="26"/>
        <v>0</v>
      </c>
      <c r="J80" s="42">
        <f t="shared" si="26"/>
        <v>0</v>
      </c>
      <c r="K80" s="42">
        <f t="shared" si="26"/>
        <v>0</v>
      </c>
      <c r="L80" s="42">
        <f t="shared" si="26"/>
        <v>0</v>
      </c>
      <c r="M80" s="42">
        <f t="shared" si="26"/>
        <v>0</v>
      </c>
      <c r="N80" s="42">
        <f t="shared" si="26"/>
        <v>0</v>
      </c>
      <c r="O80" s="42">
        <f t="shared" si="26"/>
        <v>0</v>
      </c>
      <c r="P80" s="42">
        <f t="shared" si="26"/>
        <v>0</v>
      </c>
      <c r="Q80" s="42">
        <f t="shared" si="26"/>
        <v>0</v>
      </c>
      <c r="R80" s="42">
        <f t="shared" si="26"/>
        <v>0</v>
      </c>
      <c r="S80" s="42">
        <f t="shared" si="26"/>
        <v>0</v>
      </c>
      <c r="T80" s="42">
        <f t="shared" si="26"/>
        <v>0</v>
      </c>
      <c r="U80" s="42">
        <f t="shared" si="26"/>
        <v>0</v>
      </c>
      <c r="V80" s="42">
        <f t="shared" si="26"/>
        <v>0</v>
      </c>
      <c r="W80" s="42">
        <f t="shared" si="26"/>
        <v>0</v>
      </c>
    </row>
    <row r="81" spans="1:23" ht="13.15" outlineLevel="1">
      <c r="B81" s="62"/>
      <c r="D81" s="157"/>
      <c r="E81" s="37" t="str">
        <f t="shared" ref="E81:T81" si="27" xml:space="preserve"> E$78</f>
        <v>Penalty rate (PR) - WW-TTT</v>
      </c>
      <c r="F81" s="37">
        <f t="shared" si="27"/>
        <v>0</v>
      </c>
      <c r="G81" s="37" t="str">
        <f t="shared" si="27"/>
        <v>%</v>
      </c>
      <c r="H81" s="37">
        <f t="shared" si="27"/>
        <v>0</v>
      </c>
      <c r="I81" s="37">
        <f t="shared" si="27"/>
        <v>0</v>
      </c>
      <c r="J81" s="37">
        <f t="shared" si="27"/>
        <v>0</v>
      </c>
      <c r="K81" s="37">
        <f t="shared" si="27"/>
        <v>0</v>
      </c>
      <c r="L81" s="37">
        <f t="shared" si="27"/>
        <v>0</v>
      </c>
      <c r="M81" s="37">
        <f t="shared" si="27"/>
        <v>0</v>
      </c>
      <c r="N81" s="37">
        <f t="shared" si="27"/>
        <v>0</v>
      </c>
      <c r="O81" s="37">
        <f t="shared" si="27"/>
        <v>0</v>
      </c>
      <c r="P81" s="37">
        <f t="shared" si="27"/>
        <v>0</v>
      </c>
      <c r="Q81" s="37">
        <f t="shared" si="27"/>
        <v>0</v>
      </c>
      <c r="R81" s="37">
        <f t="shared" si="27"/>
        <v>0</v>
      </c>
      <c r="S81" s="37">
        <f t="shared" si="27"/>
        <v>0</v>
      </c>
      <c r="T81" s="37">
        <f t="shared" si="27"/>
        <v>0</v>
      </c>
      <c r="U81" s="37">
        <f xml:space="preserve"> U$78</f>
        <v>0</v>
      </c>
      <c r="V81" s="37">
        <f xml:space="preserve"> V$78</f>
        <v>0</v>
      </c>
      <c r="W81" s="37">
        <f xml:space="preserve"> W$78</f>
        <v>0</v>
      </c>
    </row>
    <row r="82" spans="1:23" ht="13.15" outlineLevel="1">
      <c r="B82" s="62"/>
      <c r="D82" s="157"/>
      <c r="E82" s="289" t="str">
        <f xml:space="preserve"> Time!E$56</f>
        <v>Forecast period flag</v>
      </c>
      <c r="F82" s="289">
        <f xml:space="preserve"> Time!F$56</f>
        <v>0</v>
      </c>
      <c r="G82" s="289" t="str">
        <f xml:space="preserve"> Time!G$56</f>
        <v>flag</v>
      </c>
      <c r="H82" s="289">
        <f xml:space="preserve"> Time!H$56</f>
        <v>5</v>
      </c>
      <c r="I82" s="289">
        <f xml:space="preserve"> Time!I$56</f>
        <v>0</v>
      </c>
      <c r="J82" s="289">
        <f xml:space="preserve"> Time!J$56</f>
        <v>0</v>
      </c>
      <c r="K82" s="289">
        <f xml:space="preserve"> Time!K$56</f>
        <v>0</v>
      </c>
      <c r="L82" s="289">
        <f xml:space="preserve"> Time!L$56</f>
        <v>0</v>
      </c>
      <c r="M82" s="289">
        <f xml:space="preserve"> Time!M$56</f>
        <v>0</v>
      </c>
      <c r="N82" s="289">
        <f xml:space="preserve"> Time!N$56</f>
        <v>0</v>
      </c>
      <c r="O82" s="289">
        <f xml:space="preserve"> Time!O$56</f>
        <v>0</v>
      </c>
      <c r="P82" s="289">
        <f xml:space="preserve"> Time!P$56</f>
        <v>1</v>
      </c>
      <c r="Q82" s="289">
        <f xml:space="preserve"> Time!Q$56</f>
        <v>1</v>
      </c>
      <c r="R82" s="289">
        <f xml:space="preserve"> Time!R$56</f>
        <v>1</v>
      </c>
      <c r="S82" s="289">
        <f xml:space="preserve"> Time!S$56</f>
        <v>1</v>
      </c>
      <c r="T82" s="289">
        <f xml:space="preserve"> Time!T$56</f>
        <v>1</v>
      </c>
      <c r="U82" s="289">
        <f xml:space="preserve"> Time!U$56</f>
        <v>0</v>
      </c>
      <c r="V82" s="289">
        <f xml:space="preserve"> Time!V$56</f>
        <v>0</v>
      </c>
      <c r="W82" s="289">
        <f xml:space="preserve"> Time!W$56</f>
        <v>0</v>
      </c>
    </row>
    <row r="83" spans="1:23" ht="13.15" outlineLevel="1">
      <c r="B83" s="62"/>
      <c r="D83" s="157"/>
      <c r="E83" s="127" t="s">
        <v>407</v>
      </c>
      <c r="F83" s="99"/>
      <c r="G83" s="99" t="s">
        <v>77</v>
      </c>
      <c r="H83" s="91">
        <f xml:space="preserve"> SUM(J83:W83)</f>
        <v>0</v>
      </c>
      <c r="J83" s="91">
        <f xml:space="preserve">  IF(J82=1, J81 * ABS(J80), 0 )</f>
        <v>0</v>
      </c>
      <c r="K83" s="91">
        <f t="shared" ref="K83:W83" si="28" xml:space="preserve">  IF(K82=1, K81 * ABS(K80), 0 )</f>
        <v>0</v>
      </c>
      <c r="L83" s="91">
        <f t="shared" si="28"/>
        <v>0</v>
      </c>
      <c r="M83" s="91">
        <f t="shared" si="28"/>
        <v>0</v>
      </c>
      <c r="N83" s="91">
        <f t="shared" si="28"/>
        <v>0</v>
      </c>
      <c r="O83" s="91">
        <f t="shared" si="28"/>
        <v>0</v>
      </c>
      <c r="P83" s="91">
        <f t="shared" si="28"/>
        <v>0</v>
      </c>
      <c r="Q83" s="91">
        <f t="shared" si="28"/>
        <v>0</v>
      </c>
      <c r="R83" s="91">
        <f t="shared" si="28"/>
        <v>0</v>
      </c>
      <c r="S83" s="91">
        <f t="shared" si="28"/>
        <v>0</v>
      </c>
      <c r="T83" s="91">
        <f t="shared" si="28"/>
        <v>0</v>
      </c>
      <c r="U83" s="91">
        <f t="shared" si="28"/>
        <v>0</v>
      </c>
      <c r="V83" s="91">
        <f t="shared" si="28"/>
        <v>0</v>
      </c>
      <c r="W83" s="91">
        <f t="shared" si="28"/>
        <v>0</v>
      </c>
    </row>
    <row r="84" spans="1:23" ht="13.15" outlineLevel="1">
      <c r="B84" s="62"/>
      <c r="D84" s="157"/>
      <c r="E84" s="127"/>
      <c r="F84" s="99"/>
      <c r="G84" s="99"/>
      <c r="H84" s="91"/>
      <c r="J84" s="91">
        <f xml:space="preserve"> IF( J51 &lt;= $F$48 + 1,  J50 * (1 + $F49) * (1 + $F49), 0 )</f>
        <v>0</v>
      </c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</row>
    <row r="85" spans="1:23" ht="13.15" outlineLevel="1">
      <c r="B85" s="62"/>
      <c r="D85" s="157"/>
      <c r="E85" s="99" t="str">
        <f t="shared" ref="E85:W85" si="29" xml:space="preserve"> E$83</f>
        <v>Penalty adjustment - WW-TTT POS</v>
      </c>
      <c r="F85" s="99">
        <f t="shared" si="29"/>
        <v>0</v>
      </c>
      <c r="G85" s="99" t="str">
        <f t="shared" si="29"/>
        <v>£m</v>
      </c>
      <c r="H85" s="91">
        <f t="shared" si="29"/>
        <v>0</v>
      </c>
      <c r="I85" s="99">
        <f t="shared" si="29"/>
        <v>0</v>
      </c>
      <c r="J85" s="91">
        <f t="shared" si="29"/>
        <v>0</v>
      </c>
      <c r="K85" s="91">
        <f t="shared" si="29"/>
        <v>0</v>
      </c>
      <c r="L85" s="91">
        <f t="shared" si="29"/>
        <v>0</v>
      </c>
      <c r="M85" s="91">
        <f t="shared" si="29"/>
        <v>0</v>
      </c>
      <c r="N85" s="91">
        <f t="shared" si="29"/>
        <v>0</v>
      </c>
      <c r="O85" s="91">
        <f t="shared" si="29"/>
        <v>0</v>
      </c>
      <c r="P85" s="91">
        <f t="shared" si="29"/>
        <v>0</v>
      </c>
      <c r="Q85" s="91">
        <f t="shared" si="29"/>
        <v>0</v>
      </c>
      <c r="R85" s="91">
        <f t="shared" si="29"/>
        <v>0</v>
      </c>
      <c r="S85" s="91">
        <f t="shared" si="29"/>
        <v>0</v>
      </c>
      <c r="T85" s="91">
        <f t="shared" si="29"/>
        <v>0</v>
      </c>
      <c r="U85" s="91">
        <f t="shared" si="29"/>
        <v>0</v>
      </c>
      <c r="V85" s="91">
        <f t="shared" si="29"/>
        <v>0</v>
      </c>
      <c r="W85" s="91">
        <f t="shared" si="29"/>
        <v>0</v>
      </c>
    </row>
    <row r="86" spans="1:23" s="153" customFormat="1" ht="13.15" outlineLevel="1">
      <c r="A86" s="166"/>
      <c r="B86" s="166"/>
      <c r="C86" s="160"/>
      <c r="D86" s="161"/>
      <c r="E86" s="162" t="s">
        <v>408</v>
      </c>
      <c r="F86" s="162"/>
      <c r="G86" s="162" t="s">
        <v>77</v>
      </c>
      <c r="H86" s="163">
        <f xml:space="preserve"> SUM(J86:W86)</f>
        <v>0</v>
      </c>
      <c r="I86" s="183"/>
      <c r="J86" s="163">
        <f xml:space="preserve"> - J85</f>
        <v>0</v>
      </c>
      <c r="K86" s="163">
        <f t="shared" ref="K86:W86" si="30" xml:space="preserve"> - K85</f>
        <v>0</v>
      </c>
      <c r="L86" s="163">
        <f t="shared" si="30"/>
        <v>0</v>
      </c>
      <c r="M86" s="163">
        <f t="shared" si="30"/>
        <v>0</v>
      </c>
      <c r="N86" s="163">
        <f t="shared" si="30"/>
        <v>0</v>
      </c>
      <c r="O86" s="163">
        <f t="shared" si="30"/>
        <v>0</v>
      </c>
      <c r="P86" s="163">
        <f t="shared" si="30"/>
        <v>0</v>
      </c>
      <c r="Q86" s="163">
        <f t="shared" si="30"/>
        <v>0</v>
      </c>
      <c r="R86" s="163">
        <f t="shared" si="30"/>
        <v>0</v>
      </c>
      <c r="S86" s="163">
        <f t="shared" si="30"/>
        <v>0</v>
      </c>
      <c r="T86" s="163">
        <f t="shared" si="30"/>
        <v>0</v>
      </c>
      <c r="U86" s="163">
        <f t="shared" si="30"/>
        <v>0</v>
      </c>
      <c r="V86" s="163">
        <f t="shared" si="30"/>
        <v>0</v>
      </c>
      <c r="W86" s="163">
        <f t="shared" si="30"/>
        <v>0</v>
      </c>
    </row>
    <row r="87" spans="1:23" ht="13.15" outlineLevel="1">
      <c r="A87" s="61"/>
      <c r="C87" s="108"/>
      <c r="E87" s="72"/>
      <c r="V87" s="55"/>
      <c r="W87" s="55"/>
    </row>
    <row r="88" spans="1:23" ht="13.15" outlineLevel="1">
      <c r="B88" s="62"/>
      <c r="D88" s="157"/>
      <c r="E88" s="41" t="str">
        <f xml:space="preserve"> Inputs!E$63</f>
        <v>Discount rate</v>
      </c>
      <c r="F88" s="41">
        <f xml:space="preserve"> Inputs!F$63</f>
        <v>2.92E-2</v>
      </c>
      <c r="G88" s="41" t="str">
        <f xml:space="preserve"> Inputs!G$63</f>
        <v>%</v>
      </c>
      <c r="H88" s="41">
        <f xml:space="preserve"> Inputs!H$63</f>
        <v>0</v>
      </c>
      <c r="I88" s="41">
        <f xml:space="preserve"> Inputs!I$63</f>
        <v>0</v>
      </c>
      <c r="J88" s="41">
        <f xml:space="preserve"> Inputs!J$63</f>
        <v>0</v>
      </c>
      <c r="K88" s="41">
        <f xml:space="preserve"> Inputs!K$63</f>
        <v>0</v>
      </c>
      <c r="L88" s="41">
        <f xml:space="preserve"> Inputs!L$63</f>
        <v>0</v>
      </c>
      <c r="M88" s="41">
        <f xml:space="preserve"> Inputs!M$63</f>
        <v>0</v>
      </c>
      <c r="N88" s="41">
        <f xml:space="preserve"> Inputs!N$63</f>
        <v>0</v>
      </c>
      <c r="O88" s="41">
        <f xml:space="preserve"> Inputs!O$63</f>
        <v>0</v>
      </c>
      <c r="P88" s="41">
        <f xml:space="preserve"> Inputs!P$63</f>
        <v>0</v>
      </c>
      <c r="Q88" s="41">
        <f xml:space="preserve"> Inputs!Q$63</f>
        <v>0</v>
      </c>
      <c r="R88" s="41">
        <f xml:space="preserve"> Inputs!R$63</f>
        <v>0</v>
      </c>
      <c r="S88" s="41">
        <f xml:space="preserve"> Inputs!S$63</f>
        <v>0</v>
      </c>
      <c r="T88" s="41">
        <f xml:space="preserve"> Inputs!T$63</f>
        <v>0</v>
      </c>
      <c r="U88" s="41">
        <f xml:space="preserve"> Inputs!U$63</f>
        <v>0</v>
      </c>
      <c r="V88" s="41">
        <f xml:space="preserve"> Inputs!V$63</f>
        <v>0</v>
      </c>
      <c r="W88" s="41">
        <f xml:space="preserve"> Inputs!W$63</f>
        <v>0</v>
      </c>
    </row>
    <row r="89" spans="1:23" ht="13.15" outlineLevel="1">
      <c r="A89" s="61"/>
      <c r="C89" s="108"/>
      <c r="E89" s="154" t="str">
        <f xml:space="preserve"> E$86</f>
        <v>Penalty adjustment - WW-TTT</v>
      </c>
      <c r="F89" s="154">
        <f xml:space="preserve"> F$86</f>
        <v>0</v>
      </c>
      <c r="G89" s="154" t="str">
        <f xml:space="preserve"> G$86</f>
        <v>£m</v>
      </c>
      <c r="H89" s="154">
        <f xml:space="preserve"> H$86</f>
        <v>0</v>
      </c>
      <c r="I89" s="154">
        <f xml:space="preserve"> I$86</f>
        <v>0</v>
      </c>
      <c r="J89" s="154">
        <f t="shared" ref="J89:T89" si="31" xml:space="preserve"> J$86</f>
        <v>0</v>
      </c>
      <c r="K89" s="154">
        <f t="shared" si="31"/>
        <v>0</v>
      </c>
      <c r="L89" s="154">
        <f t="shared" si="31"/>
        <v>0</v>
      </c>
      <c r="M89" s="154">
        <f t="shared" si="31"/>
        <v>0</v>
      </c>
      <c r="N89" s="154">
        <f t="shared" si="31"/>
        <v>0</v>
      </c>
      <c r="O89" s="154">
        <f t="shared" si="31"/>
        <v>0</v>
      </c>
      <c r="P89" s="154">
        <f t="shared" si="31"/>
        <v>0</v>
      </c>
      <c r="Q89" s="154">
        <f t="shared" si="31"/>
        <v>0</v>
      </c>
      <c r="R89" s="154">
        <f t="shared" si="31"/>
        <v>0</v>
      </c>
      <c r="S89" s="154">
        <f t="shared" si="31"/>
        <v>0</v>
      </c>
      <c r="T89" s="154">
        <f t="shared" si="31"/>
        <v>0</v>
      </c>
      <c r="U89" s="154">
        <f xml:space="preserve"> U$86</f>
        <v>0</v>
      </c>
      <c r="V89" s="154">
        <f xml:space="preserve"> V$86</f>
        <v>0</v>
      </c>
      <c r="W89" s="154">
        <f xml:space="preserve"> W$86</f>
        <v>0</v>
      </c>
    </row>
    <row r="90" spans="1:23" ht="13.15" outlineLevel="1">
      <c r="B90" s="62"/>
      <c r="D90" s="157"/>
      <c r="E90" s="72" t="s">
        <v>409</v>
      </c>
      <c r="G90" s="55" t="s">
        <v>77</v>
      </c>
      <c r="H90" s="92">
        <f xml:space="preserve"> SUM(J90:W90)</f>
        <v>0</v>
      </c>
      <c r="J90" s="92">
        <f t="shared" ref="J90:T90" si="32" xml:space="preserve"> J89 * (1 + $F88)</f>
        <v>0</v>
      </c>
      <c r="K90" s="92">
        <f xml:space="preserve"> K89 * (1 + $F88)</f>
        <v>0</v>
      </c>
      <c r="L90" s="92">
        <f t="shared" si="32"/>
        <v>0</v>
      </c>
      <c r="M90" s="92">
        <f t="shared" si="32"/>
        <v>0</v>
      </c>
      <c r="N90" s="92">
        <f t="shared" si="32"/>
        <v>0</v>
      </c>
      <c r="O90" s="92">
        <f t="shared" si="32"/>
        <v>0</v>
      </c>
      <c r="P90" s="92">
        <f xml:space="preserve"> P89 * (1 + $F88)</f>
        <v>0</v>
      </c>
      <c r="Q90" s="92">
        <f t="shared" si="32"/>
        <v>0</v>
      </c>
      <c r="R90" s="92">
        <f t="shared" si="32"/>
        <v>0</v>
      </c>
      <c r="S90" s="92">
        <f t="shared" si="32"/>
        <v>0</v>
      </c>
      <c r="T90" s="92">
        <f t="shared" si="32"/>
        <v>0</v>
      </c>
      <c r="U90" s="92">
        <f xml:space="preserve"> U89 * (1 + $F88)</f>
        <v>0</v>
      </c>
      <c r="V90" s="92">
        <f xml:space="preserve"> V89 * (1 + $F88)</f>
        <v>0</v>
      </c>
      <c r="W90" s="92">
        <f xml:space="preserve"> W89 * (1 + $F88)</f>
        <v>0</v>
      </c>
    </row>
    <row r="91" spans="1:23" ht="13.15" outlineLevel="1">
      <c r="B91" s="62"/>
      <c r="D91" s="157"/>
      <c r="V91" s="55"/>
      <c r="W91" s="55"/>
    </row>
    <row r="92" spans="1:23" ht="13.15" outlineLevel="1">
      <c r="B92" s="62"/>
      <c r="D92" s="157"/>
      <c r="E92" s="34" t="str">
        <f xml:space="preserve"> 'Indices and K factor'!E$11</f>
        <v>CPIH: Nov % increase (prior year) - CALC</v>
      </c>
      <c r="F92" s="34">
        <f xml:space="preserve"> 'Indices and K factor'!F$11</f>
        <v>0</v>
      </c>
      <c r="G92" s="34" t="str">
        <f xml:space="preserve"> 'Indices and K factor'!G$11</f>
        <v>%</v>
      </c>
      <c r="H92" s="34">
        <f xml:space="preserve"> 'Indices and K factor'!H$11</f>
        <v>0</v>
      </c>
      <c r="I92" s="34">
        <f xml:space="preserve"> 'Indices and K factor'!I$11</f>
        <v>0</v>
      </c>
      <c r="J92" s="34">
        <f xml:space="preserve"> 'Indices and K factor'!J$11</f>
        <v>0</v>
      </c>
      <c r="K92" s="34">
        <f xml:space="preserve"> 'Indices and K factor'!K$11</f>
        <v>0</v>
      </c>
      <c r="L92" s="34">
        <f xml:space="preserve"> 'Indices and K factor'!L$11</f>
        <v>1.0040040040040039</v>
      </c>
      <c r="M92" s="34">
        <f xml:space="preserve"> 'Indices and K factor'!M$11</f>
        <v>1.0149551345962113</v>
      </c>
      <c r="N92" s="34">
        <f xml:space="preserve"> 'Indices and K factor'!N$11</f>
        <v>1.0284872298624754</v>
      </c>
      <c r="O92" s="34">
        <f xml:space="preserve"> 'Indices and K factor'!O$11</f>
        <v>1.0210124164278893</v>
      </c>
      <c r="P92" s="34">
        <f xml:space="preserve"> 'Indices and K factor'!P$11</f>
        <v>1.0149672591206735</v>
      </c>
      <c r="Q92" s="34">
        <f xml:space="preserve"> 'Indices and K factor'!Q$11</f>
        <v>1.0055299539170506</v>
      </c>
      <c r="R92" s="34">
        <f xml:space="preserve"> 'Indices and K factor'!R$11</f>
        <v>1.0458295142071494</v>
      </c>
      <c r="S92" s="34">
        <f xml:space="preserve"> 'Indices and K factor'!S$11</f>
        <v>1.0937773882559159</v>
      </c>
      <c r="T92" s="34">
        <f xml:space="preserve"> 'Indices and K factor'!T$11</f>
        <v>1.0416666666666667</v>
      </c>
      <c r="U92" s="34">
        <f xml:space="preserve"> 'Indices and K factor'!U$11</f>
        <v>1.0253846153846156</v>
      </c>
      <c r="V92" s="34">
        <f xml:space="preserve"> 'Indices and K factor'!V$11</f>
        <v>1.02</v>
      </c>
      <c r="W92" s="34">
        <f xml:space="preserve"> 'Indices and K factor'!W$11</f>
        <v>1.02</v>
      </c>
    </row>
    <row r="93" spans="1:23" ht="13.15" outlineLevel="1">
      <c r="B93" s="62"/>
      <c r="D93" s="157"/>
      <c r="E93" s="33" t="str">
        <f t="shared" ref="E93:T93" si="33" xml:space="preserve"> E$90</f>
        <v>Penalty adjustment - with financing adjustment - WW-TTT</v>
      </c>
      <c r="F93" s="33">
        <f t="shared" si="33"/>
        <v>0</v>
      </c>
      <c r="G93" s="33" t="str">
        <f t="shared" si="33"/>
        <v>£m</v>
      </c>
      <c r="H93" s="33">
        <f t="shared" si="33"/>
        <v>0</v>
      </c>
      <c r="I93" s="33">
        <f t="shared" si="33"/>
        <v>0</v>
      </c>
      <c r="J93" s="33">
        <f t="shared" si="33"/>
        <v>0</v>
      </c>
      <c r="K93" s="33">
        <f t="shared" si="33"/>
        <v>0</v>
      </c>
      <c r="L93" s="33">
        <f t="shared" si="33"/>
        <v>0</v>
      </c>
      <c r="M93" s="33">
        <f t="shared" si="33"/>
        <v>0</v>
      </c>
      <c r="N93" s="33">
        <f t="shared" si="33"/>
        <v>0</v>
      </c>
      <c r="O93" s="33">
        <f t="shared" si="33"/>
        <v>0</v>
      </c>
      <c r="P93" s="33">
        <f t="shared" si="33"/>
        <v>0</v>
      </c>
      <c r="Q93" s="33">
        <f t="shared" si="33"/>
        <v>0</v>
      </c>
      <c r="R93" s="33">
        <f t="shared" si="33"/>
        <v>0</v>
      </c>
      <c r="S93" s="33">
        <f t="shared" si="33"/>
        <v>0</v>
      </c>
      <c r="T93" s="33">
        <f t="shared" si="33"/>
        <v>0</v>
      </c>
      <c r="U93" s="33">
        <f xml:space="preserve"> U$90</f>
        <v>0</v>
      </c>
      <c r="V93" s="33">
        <f xml:space="preserve"> V$90</f>
        <v>0</v>
      </c>
      <c r="W93" s="33">
        <f xml:space="preserve"> W$90</f>
        <v>0</v>
      </c>
    </row>
    <row r="94" spans="1:23" ht="13.15" outlineLevel="1">
      <c r="B94" s="62"/>
      <c r="D94" s="157"/>
      <c r="E94" s="43" t="str">
        <f xml:space="preserve"> Time!E$56</f>
        <v>Forecast period flag</v>
      </c>
      <c r="F94" s="43">
        <f xml:space="preserve"> Time!F$56</f>
        <v>0</v>
      </c>
      <c r="G94" s="43" t="str">
        <f xml:space="preserve"> Time!G$56</f>
        <v>flag</v>
      </c>
      <c r="H94" s="43">
        <f xml:space="preserve"> Time!H$56</f>
        <v>5</v>
      </c>
      <c r="I94" s="43">
        <f xml:space="preserve"> Time!I$56</f>
        <v>0</v>
      </c>
      <c r="J94" s="43">
        <f xml:space="preserve"> Time!J$56</f>
        <v>0</v>
      </c>
      <c r="K94" s="43">
        <f xml:space="preserve"> Time!K$56</f>
        <v>0</v>
      </c>
      <c r="L94" s="43">
        <f xml:space="preserve"> Time!L$56</f>
        <v>0</v>
      </c>
      <c r="M94" s="43">
        <f xml:space="preserve"> Time!M$56</f>
        <v>0</v>
      </c>
      <c r="N94" s="43">
        <f xml:space="preserve"> Time!N$56</f>
        <v>0</v>
      </c>
      <c r="O94" s="43">
        <f xml:space="preserve"> Time!O$56</f>
        <v>0</v>
      </c>
      <c r="P94" s="43">
        <f xml:space="preserve"> Time!P$56</f>
        <v>1</v>
      </c>
      <c r="Q94" s="43">
        <f xml:space="preserve"> Time!Q$56</f>
        <v>1</v>
      </c>
      <c r="R94" s="43">
        <f xml:space="preserve"> Time!R$56</f>
        <v>1</v>
      </c>
      <c r="S94" s="43">
        <f xml:space="preserve"> Time!S$56</f>
        <v>1</v>
      </c>
      <c r="T94" s="43">
        <f xml:space="preserve"> Time!T$56</f>
        <v>1</v>
      </c>
      <c r="U94" s="43">
        <f xml:space="preserve"> Time!U$56</f>
        <v>0</v>
      </c>
      <c r="V94" s="43">
        <f xml:space="preserve"> Time!V$56</f>
        <v>0</v>
      </c>
      <c r="W94" s="43">
        <f xml:space="preserve"> Time!W$56</f>
        <v>0</v>
      </c>
    </row>
    <row r="95" spans="1:23" ht="13.15" outlineLevel="1">
      <c r="A95" s="61"/>
      <c r="C95" s="108"/>
      <c r="E95" s="80" t="s">
        <v>410</v>
      </c>
      <c r="F95" s="107"/>
      <c r="G95" s="107" t="s">
        <v>77</v>
      </c>
      <c r="H95" s="104">
        <f xml:space="preserve"> SUM( J95:W95 )</f>
        <v>0</v>
      </c>
      <c r="I95" s="56"/>
      <c r="J95" s="222">
        <f xml:space="preserve"> IF( J94 = 1, J93 * K92 * L92, 0 )</f>
        <v>0</v>
      </c>
      <c r="K95" s="222">
        <f t="shared" ref="K95:U95" si="34" xml:space="preserve"> IF( K94 = 1, K93 * L92 * M92, 0 )</f>
        <v>0</v>
      </c>
      <c r="L95" s="222">
        <f t="shared" si="34"/>
        <v>0</v>
      </c>
      <c r="M95" s="222">
        <f t="shared" si="34"/>
        <v>0</v>
      </c>
      <c r="N95" s="222">
        <f t="shared" si="34"/>
        <v>0</v>
      </c>
      <c r="O95" s="222">
        <f t="shared" si="34"/>
        <v>0</v>
      </c>
      <c r="P95" s="222">
        <f t="shared" si="34"/>
        <v>0</v>
      </c>
      <c r="Q95" s="222">
        <f t="shared" si="34"/>
        <v>0</v>
      </c>
      <c r="R95" s="222">
        <f t="shared" si="34"/>
        <v>0</v>
      </c>
      <c r="S95" s="222">
        <f t="shared" si="34"/>
        <v>0</v>
      </c>
      <c r="T95" s="222">
        <f t="shared" si="34"/>
        <v>0</v>
      </c>
      <c r="U95" s="222">
        <f t="shared" si="34"/>
        <v>0</v>
      </c>
      <c r="V95" s="234"/>
      <c r="W95" s="234"/>
    </row>
    <row r="96" spans="1:23" customFormat="1" outlineLevel="1"/>
    <row r="97" spans="1:23" ht="14.25" customHeight="1" outlineLevel="1">
      <c r="A97" s="61"/>
      <c r="B97" s="61" t="s">
        <v>334</v>
      </c>
      <c r="C97" s="108"/>
      <c r="E97" s="72"/>
    </row>
    <row r="98" spans="1:23" ht="14.25" customHeight="1" outlineLevel="1">
      <c r="A98" s="61"/>
      <c r="C98" s="108"/>
      <c r="E98" s="72"/>
    </row>
    <row r="99" spans="1:23" ht="13.15" outlineLevel="1">
      <c r="A99" s="61"/>
      <c r="C99" s="108"/>
      <c r="E99" s="34" t="str">
        <f xml:space="preserve"> Inputs!E$65</f>
        <v>Threshold for additional variance analyses</v>
      </c>
      <c r="F99" s="34">
        <f xml:space="preserve"> Inputs!F$65</f>
        <v>0.06</v>
      </c>
      <c r="G99" s="34" t="str">
        <f xml:space="preserve"> Inputs!G$65</f>
        <v>%</v>
      </c>
      <c r="H99" s="34">
        <f xml:space="preserve"> Inputs!H$65</f>
        <v>0</v>
      </c>
      <c r="I99" s="34">
        <f xml:space="preserve"> Inputs!I$65</f>
        <v>0</v>
      </c>
      <c r="J99" s="34">
        <f xml:space="preserve"> Inputs!J$65</f>
        <v>0</v>
      </c>
      <c r="K99" s="34">
        <f xml:space="preserve"> Inputs!K$65</f>
        <v>0</v>
      </c>
      <c r="L99" s="34">
        <f xml:space="preserve"> Inputs!L$65</f>
        <v>0</v>
      </c>
      <c r="M99" s="34">
        <f xml:space="preserve"> Inputs!M$65</f>
        <v>0</v>
      </c>
      <c r="N99" s="34">
        <f xml:space="preserve"> Inputs!N$65</f>
        <v>0</v>
      </c>
      <c r="O99" s="34">
        <f xml:space="preserve"> Inputs!O$65</f>
        <v>0</v>
      </c>
      <c r="P99" s="34">
        <f xml:space="preserve"> Inputs!P$65</f>
        <v>0</v>
      </c>
      <c r="Q99" s="34">
        <f xml:space="preserve"> Inputs!Q$65</f>
        <v>0</v>
      </c>
      <c r="R99" s="34">
        <f xml:space="preserve"> Inputs!R$65</f>
        <v>0</v>
      </c>
      <c r="S99" s="34">
        <f xml:space="preserve"> Inputs!S$65</f>
        <v>0</v>
      </c>
      <c r="T99" s="34">
        <f xml:space="preserve"> Inputs!T$65</f>
        <v>0</v>
      </c>
      <c r="U99" s="34">
        <f xml:space="preserve"> Inputs!U$65</f>
        <v>0</v>
      </c>
      <c r="V99" s="34">
        <f xml:space="preserve"> Inputs!V$65</f>
        <v>0</v>
      </c>
      <c r="W99" s="34">
        <f xml:space="preserve"> Inputs!W$65</f>
        <v>0</v>
      </c>
    </row>
    <row r="100" spans="1:23" ht="13.15" outlineLevel="1">
      <c r="A100" s="61"/>
      <c r="C100" s="108"/>
      <c r="E100" s="36" t="str">
        <f>E$64</f>
        <v>Forecast error - WW-TTT</v>
      </c>
      <c r="F100" s="36">
        <f>F$64</f>
        <v>0</v>
      </c>
      <c r="G100" s="36" t="str">
        <f>G$64</f>
        <v>%</v>
      </c>
      <c r="H100" s="36">
        <f>H$64</f>
        <v>0</v>
      </c>
      <c r="I100" s="36">
        <f>I$64</f>
        <v>0</v>
      </c>
      <c r="J100" s="36">
        <f t="shared" ref="J100:W100" si="35">J$64</f>
        <v>0</v>
      </c>
      <c r="K100" s="36">
        <f t="shared" si="35"/>
        <v>0</v>
      </c>
      <c r="L100" s="36">
        <f t="shared" si="35"/>
        <v>0</v>
      </c>
      <c r="M100" s="36">
        <f t="shared" si="35"/>
        <v>0</v>
      </c>
      <c r="N100" s="36">
        <f t="shared" si="35"/>
        <v>0</v>
      </c>
      <c r="O100" s="36">
        <f t="shared" si="35"/>
        <v>0</v>
      </c>
      <c r="P100" s="36">
        <f t="shared" si="35"/>
        <v>0</v>
      </c>
      <c r="Q100" s="36">
        <f>Q$64</f>
        <v>0</v>
      </c>
      <c r="R100" s="36">
        <f t="shared" si="35"/>
        <v>0</v>
      </c>
      <c r="S100" s="36">
        <f t="shared" si="35"/>
        <v>0</v>
      </c>
      <c r="T100" s="36">
        <f t="shared" si="35"/>
        <v>0</v>
      </c>
      <c r="U100" s="36">
        <f t="shared" si="35"/>
        <v>0</v>
      </c>
      <c r="V100" s="36">
        <f t="shared" si="35"/>
        <v>0</v>
      </c>
      <c r="W100" s="36">
        <f t="shared" si="35"/>
        <v>0</v>
      </c>
    </row>
    <row r="101" spans="1:23" ht="13.15" outlineLevel="1">
      <c r="A101" s="61"/>
      <c r="C101" s="108"/>
      <c r="E101" s="72" t="s">
        <v>411</v>
      </c>
      <c r="F101" s="156">
        <f xml:space="preserve"> IF(SUM(J101:W101) &gt; 0, 1, 0)</f>
        <v>0</v>
      </c>
      <c r="G101" s="55" t="s">
        <v>331</v>
      </c>
      <c r="J101" s="156">
        <f t="shared" ref="J101:W101" si="36" xml:space="preserve"> IF(ABS(J100) &gt; $F99, 1, 0)</f>
        <v>0</v>
      </c>
      <c r="K101" s="156">
        <f t="shared" si="36"/>
        <v>0</v>
      </c>
      <c r="L101" s="156">
        <f t="shared" si="36"/>
        <v>0</v>
      </c>
      <c r="M101" s="156">
        <f t="shared" si="36"/>
        <v>0</v>
      </c>
      <c r="N101" s="156">
        <f t="shared" si="36"/>
        <v>0</v>
      </c>
      <c r="O101" s="156">
        <f t="shared" si="36"/>
        <v>0</v>
      </c>
      <c r="P101" s="156">
        <f t="shared" si="36"/>
        <v>0</v>
      </c>
      <c r="Q101" s="156">
        <f t="shared" si="36"/>
        <v>0</v>
      </c>
      <c r="R101" s="156">
        <f t="shared" si="36"/>
        <v>0</v>
      </c>
      <c r="S101" s="156">
        <f t="shared" si="36"/>
        <v>0</v>
      </c>
      <c r="T101" s="156">
        <f t="shared" si="36"/>
        <v>0</v>
      </c>
      <c r="U101" s="156">
        <f t="shared" si="36"/>
        <v>0</v>
      </c>
      <c r="V101" s="156">
        <f t="shared" si="36"/>
        <v>0</v>
      </c>
      <c r="W101" s="156">
        <f t="shared" si="36"/>
        <v>0</v>
      </c>
    </row>
    <row r="102" spans="1:23" ht="13.15" outlineLevel="1">
      <c r="A102" s="61"/>
      <c r="C102" s="108"/>
      <c r="E102" s="72"/>
      <c r="V102" s="55"/>
      <c r="W102" s="55"/>
    </row>
    <row r="103" spans="1:23" customFormat="1" ht="12.75" customHeight="1">
      <c r="A103" s="113" t="s">
        <v>341</v>
      </c>
      <c r="B103" s="113"/>
      <c r="C103" s="112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</row>
    <row r="104" spans="1:23" ht="13.15">
      <c r="A104" s="61"/>
      <c r="C104" s="108"/>
      <c r="E104" s="72"/>
      <c r="V104" s="55"/>
      <c r="W104" s="55"/>
    </row>
    <row r="105" spans="1:23" ht="13.15" outlineLevel="1">
      <c r="A105" s="61"/>
      <c r="C105" s="108"/>
      <c r="E105" s="126" t="str">
        <f xml:space="preserve"> E$56</f>
        <v>Main revenue adjustment - with financing adjustment &amp; 2 year lag of inflation - WW-TTT</v>
      </c>
      <c r="F105" s="126">
        <f xml:space="preserve"> F$56</f>
        <v>0</v>
      </c>
      <c r="G105" s="126" t="str">
        <f xml:space="preserve"> G$56</f>
        <v>£m</v>
      </c>
      <c r="H105" s="33">
        <f xml:space="preserve"> H$56</f>
        <v>0</v>
      </c>
      <c r="I105" s="33">
        <f xml:space="preserve"> I$56</f>
        <v>0</v>
      </c>
      <c r="J105" s="33">
        <f t="shared" ref="J105:W105" si="37" xml:space="preserve"> J$56</f>
        <v>0</v>
      </c>
      <c r="K105" s="33">
        <f xml:space="preserve"> K$56</f>
        <v>0</v>
      </c>
      <c r="L105" s="33">
        <f t="shared" si="37"/>
        <v>0</v>
      </c>
      <c r="M105" s="33">
        <f t="shared" si="37"/>
        <v>0</v>
      </c>
      <c r="N105" s="33">
        <f t="shared" si="37"/>
        <v>0</v>
      </c>
      <c r="O105" s="33">
        <f t="shared" si="37"/>
        <v>0</v>
      </c>
      <c r="P105" s="33">
        <f t="shared" si="37"/>
        <v>0</v>
      </c>
      <c r="Q105" s="33">
        <f t="shared" si="37"/>
        <v>0</v>
      </c>
      <c r="R105" s="33">
        <f t="shared" si="37"/>
        <v>0</v>
      </c>
      <c r="S105" s="33">
        <f t="shared" si="37"/>
        <v>0</v>
      </c>
      <c r="T105" s="33">
        <f t="shared" si="37"/>
        <v>0</v>
      </c>
      <c r="U105" s="33">
        <f t="shared" si="37"/>
        <v>0</v>
      </c>
      <c r="V105" s="33">
        <f t="shared" si="37"/>
        <v>0</v>
      </c>
      <c r="W105" s="33">
        <f t="shared" si="37"/>
        <v>0</v>
      </c>
    </row>
    <row r="106" spans="1:23" ht="13.15" outlineLevel="1">
      <c r="A106" s="61"/>
      <c r="C106" s="108"/>
      <c r="E106" s="92" t="str">
        <f t="shared" ref="E106:T106" si="38" xml:space="preserve"> E$95</f>
        <v>Penalty adjustment - with financing adjustment &amp; 2 year lag of inflation - WW-TTT</v>
      </c>
      <c r="F106" s="92">
        <f t="shared" si="38"/>
        <v>0</v>
      </c>
      <c r="G106" s="92" t="str">
        <f t="shared" si="38"/>
        <v>£m</v>
      </c>
      <c r="H106" s="92">
        <f t="shared" si="38"/>
        <v>0</v>
      </c>
      <c r="I106" s="92">
        <f t="shared" si="38"/>
        <v>0</v>
      </c>
      <c r="J106" s="92">
        <f t="shared" si="38"/>
        <v>0</v>
      </c>
      <c r="K106" s="92">
        <f xml:space="preserve"> K$95</f>
        <v>0</v>
      </c>
      <c r="L106" s="92">
        <f t="shared" si="38"/>
        <v>0</v>
      </c>
      <c r="M106" s="92">
        <f t="shared" si="38"/>
        <v>0</v>
      </c>
      <c r="N106" s="92">
        <f t="shared" si="38"/>
        <v>0</v>
      </c>
      <c r="O106" s="92">
        <f t="shared" si="38"/>
        <v>0</v>
      </c>
      <c r="P106" s="92">
        <f t="shared" si="38"/>
        <v>0</v>
      </c>
      <c r="Q106" s="92">
        <f t="shared" si="38"/>
        <v>0</v>
      </c>
      <c r="R106" s="92">
        <f t="shared" si="38"/>
        <v>0</v>
      </c>
      <c r="S106" s="92">
        <f t="shared" si="38"/>
        <v>0</v>
      </c>
      <c r="T106" s="92">
        <f t="shared" si="38"/>
        <v>0</v>
      </c>
      <c r="U106" s="92">
        <f xml:space="preserve"> U$95</f>
        <v>0</v>
      </c>
      <c r="V106" s="92">
        <f xml:space="preserve"> V$95</f>
        <v>0</v>
      </c>
      <c r="W106" s="92">
        <f xml:space="preserve"> W$95</f>
        <v>0</v>
      </c>
    </row>
    <row r="107" spans="1:23" ht="13.15" outlineLevel="1">
      <c r="A107" s="61"/>
      <c r="C107" s="108"/>
      <c r="E107" s="43" t="str">
        <f xml:space="preserve"> Time!E$56</f>
        <v>Forecast period flag</v>
      </c>
      <c r="F107" s="43">
        <f xml:space="preserve"> Time!F$56</f>
        <v>0</v>
      </c>
      <c r="G107" s="43" t="str">
        <f xml:space="preserve"> Time!G$56</f>
        <v>flag</v>
      </c>
      <c r="H107" s="43">
        <f xml:space="preserve"> Time!H$56</f>
        <v>5</v>
      </c>
      <c r="I107" s="43">
        <f xml:space="preserve"> Time!I$56</f>
        <v>0</v>
      </c>
      <c r="J107" s="43">
        <f xml:space="preserve"> Time!J$56</f>
        <v>0</v>
      </c>
      <c r="K107" s="43">
        <f xml:space="preserve"> Time!K$56</f>
        <v>0</v>
      </c>
      <c r="L107" s="43">
        <f xml:space="preserve"> Time!L$56</f>
        <v>0</v>
      </c>
      <c r="M107" s="43">
        <f xml:space="preserve"> Time!M$56</f>
        <v>0</v>
      </c>
      <c r="N107" s="43">
        <f xml:space="preserve"> Time!N$56</f>
        <v>0</v>
      </c>
      <c r="O107" s="43">
        <f xml:space="preserve"> Time!O$56</f>
        <v>0</v>
      </c>
      <c r="P107" s="43">
        <f xml:space="preserve"> Time!P$56</f>
        <v>1</v>
      </c>
      <c r="Q107" s="43">
        <f xml:space="preserve"> Time!Q$56</f>
        <v>1</v>
      </c>
      <c r="R107" s="43">
        <f xml:space="preserve"> Time!R$56</f>
        <v>1</v>
      </c>
      <c r="S107" s="43">
        <f xml:space="preserve"> Time!S$56</f>
        <v>1</v>
      </c>
      <c r="T107" s="43">
        <f xml:space="preserve"> Time!T$56</f>
        <v>1</v>
      </c>
      <c r="U107" s="43">
        <f xml:space="preserve"> Time!U$56</f>
        <v>0</v>
      </c>
      <c r="V107" s="43">
        <f xml:space="preserve"> Time!V$56</f>
        <v>0</v>
      </c>
      <c r="W107" s="43">
        <f xml:space="preserve"> Time!W$56</f>
        <v>0</v>
      </c>
    </row>
    <row r="108" spans="1:23" s="173" customFormat="1" ht="13.5" outlineLevel="1" thickBot="1">
      <c r="A108" s="88"/>
      <c r="B108" s="88"/>
      <c r="C108" s="89"/>
      <c r="D108" s="290"/>
      <c r="E108" s="284" t="s">
        <v>412</v>
      </c>
      <c r="F108" s="284" t="s">
        <v>344</v>
      </c>
      <c r="G108" s="284" t="s">
        <v>77</v>
      </c>
      <c r="H108" s="284">
        <f xml:space="preserve"> SUM(J108:W108)</f>
        <v>0</v>
      </c>
      <c r="I108" s="284"/>
      <c r="J108" s="267"/>
      <c r="K108" s="284">
        <f t="shared" ref="K108:W108" si="39" xml:space="preserve"> ( I105 + I106 ) * K107</f>
        <v>0</v>
      </c>
      <c r="L108" s="284">
        <f t="shared" si="39"/>
        <v>0</v>
      </c>
      <c r="M108" s="284">
        <f t="shared" si="39"/>
        <v>0</v>
      </c>
      <c r="N108" s="284">
        <f t="shared" si="39"/>
        <v>0</v>
      </c>
      <c r="O108" s="284">
        <f xml:space="preserve"> ( M105 + M106 ) * O107</f>
        <v>0</v>
      </c>
      <c r="P108" s="284">
        <f t="shared" si="39"/>
        <v>0</v>
      </c>
      <c r="Q108" s="284">
        <f t="shared" si="39"/>
        <v>0</v>
      </c>
      <c r="R108" s="284">
        <f t="shared" si="39"/>
        <v>0</v>
      </c>
      <c r="S108" s="284">
        <f t="shared" si="39"/>
        <v>0</v>
      </c>
      <c r="T108" s="284">
        <f xml:space="preserve"> ( R105 + R106 ) * T107</f>
        <v>0</v>
      </c>
      <c r="U108" s="284">
        <f t="shared" si="39"/>
        <v>0</v>
      </c>
      <c r="V108" s="284">
        <f t="shared" si="39"/>
        <v>0</v>
      </c>
      <c r="W108" s="284">
        <f t="shared" si="39"/>
        <v>0</v>
      </c>
    </row>
    <row r="109" spans="1:23" ht="13.5" outlineLevel="1" thickTop="1">
      <c r="A109" s="61"/>
      <c r="C109" s="108"/>
      <c r="E109" s="72"/>
      <c r="V109" s="55"/>
      <c r="W109" s="55"/>
    </row>
    <row r="110" spans="1:23" ht="13.15">
      <c r="A110" s="113" t="s">
        <v>347</v>
      </c>
      <c r="B110" s="113"/>
      <c r="C110" s="112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</row>
    <row r="111" spans="1:23" ht="13.15">
      <c r="A111" s="61"/>
      <c r="C111" s="108"/>
      <c r="E111" s="72"/>
      <c r="V111" s="55"/>
      <c r="W111" s="55"/>
    </row>
    <row r="112" spans="1:23" ht="13.15" outlineLevel="1">
      <c r="B112" s="62" t="s">
        <v>388</v>
      </c>
      <c r="D112" s="157"/>
      <c r="E112" s="127"/>
      <c r="F112" s="99"/>
      <c r="G112" s="99"/>
      <c r="H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</row>
    <row r="113" spans="1:23" ht="13.15" outlineLevel="1">
      <c r="B113" s="62"/>
      <c r="D113" s="157"/>
      <c r="E113" s="127"/>
      <c r="F113" s="99"/>
      <c r="G113" s="99"/>
      <c r="H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</row>
    <row r="114" spans="1:23" ht="13.15" outlineLevel="1">
      <c r="B114" s="62"/>
      <c r="D114" s="157"/>
      <c r="E114" s="41" t="str">
        <f xml:space="preserve"> Inputs!E$63</f>
        <v>Discount rate</v>
      </c>
      <c r="F114" s="41">
        <f xml:space="preserve"> Inputs!F$63</f>
        <v>2.92E-2</v>
      </c>
      <c r="G114" s="41" t="str">
        <f xml:space="preserve"> Inputs!G$63</f>
        <v>%</v>
      </c>
      <c r="H114" s="41">
        <f xml:space="preserve"> Inputs!H$63</f>
        <v>0</v>
      </c>
      <c r="I114" s="41">
        <f xml:space="preserve"> Inputs!I$63</f>
        <v>0</v>
      </c>
      <c r="J114" s="41">
        <f xml:space="preserve"> Inputs!J$63</f>
        <v>0</v>
      </c>
      <c r="K114" s="41">
        <f xml:space="preserve"> Inputs!K$63</f>
        <v>0</v>
      </c>
      <c r="L114" s="41">
        <f xml:space="preserve"> Inputs!L$63</f>
        <v>0</v>
      </c>
      <c r="M114" s="41">
        <f xml:space="preserve"> Inputs!M$63</f>
        <v>0</v>
      </c>
      <c r="N114" s="41">
        <f xml:space="preserve"> Inputs!N$63</f>
        <v>0</v>
      </c>
      <c r="O114" s="41">
        <f xml:space="preserve"> Inputs!O$63</f>
        <v>0</v>
      </c>
      <c r="P114" s="41">
        <f xml:space="preserve"> Inputs!P$63</f>
        <v>0</v>
      </c>
      <c r="Q114" s="41">
        <f xml:space="preserve"> Inputs!Q$63</f>
        <v>0</v>
      </c>
      <c r="R114" s="41">
        <f xml:space="preserve"> Inputs!R$63</f>
        <v>0</v>
      </c>
      <c r="S114" s="41">
        <f xml:space="preserve"> Inputs!S$63</f>
        <v>0</v>
      </c>
      <c r="T114" s="41">
        <f xml:space="preserve"> Inputs!T$63</f>
        <v>0</v>
      </c>
      <c r="U114" s="41">
        <f xml:space="preserve"> Inputs!U$63</f>
        <v>0</v>
      </c>
      <c r="V114" s="41">
        <f xml:space="preserve"> Inputs!V$63</f>
        <v>0</v>
      </c>
      <c r="W114" s="41">
        <f xml:space="preserve"> Inputs!W$63</f>
        <v>0</v>
      </c>
    </row>
    <row r="115" spans="1:23" ht="13.15" outlineLevel="1">
      <c r="B115" s="62"/>
      <c r="D115" s="157"/>
      <c r="E115" s="41" t="str">
        <f xml:space="preserve"> 'Indices and K factor'!E$11</f>
        <v>CPIH: Nov % increase (prior year) - CALC</v>
      </c>
      <c r="F115" s="41">
        <f xml:space="preserve"> 'Indices and K factor'!F$11</f>
        <v>0</v>
      </c>
      <c r="G115" s="41" t="str">
        <f xml:space="preserve"> 'Indices and K factor'!G$11</f>
        <v>%</v>
      </c>
      <c r="H115" s="41">
        <f xml:space="preserve"> 'Indices and K factor'!H$11</f>
        <v>0</v>
      </c>
      <c r="I115" s="41">
        <f xml:space="preserve"> 'Indices and K factor'!I$11</f>
        <v>0</v>
      </c>
      <c r="J115" s="41">
        <f xml:space="preserve"> 'Indices and K factor'!J$11</f>
        <v>0</v>
      </c>
      <c r="K115" s="41">
        <f xml:space="preserve"> 'Indices and K factor'!K$11</f>
        <v>0</v>
      </c>
      <c r="L115" s="41">
        <f xml:space="preserve"> 'Indices and K factor'!L$11</f>
        <v>1.0040040040040039</v>
      </c>
      <c r="M115" s="41">
        <f xml:space="preserve"> 'Indices and K factor'!M$11</f>
        <v>1.0149551345962113</v>
      </c>
      <c r="N115" s="41">
        <f xml:space="preserve"> 'Indices and K factor'!N$11</f>
        <v>1.0284872298624754</v>
      </c>
      <c r="O115" s="41">
        <f xml:space="preserve"> 'Indices and K factor'!O$11</f>
        <v>1.0210124164278893</v>
      </c>
      <c r="P115" s="41">
        <f xml:space="preserve"> 'Indices and K factor'!P$11</f>
        <v>1.0149672591206735</v>
      </c>
      <c r="Q115" s="41">
        <f xml:space="preserve"> 'Indices and K factor'!Q$11</f>
        <v>1.0055299539170506</v>
      </c>
      <c r="R115" s="41">
        <f xml:space="preserve"> 'Indices and K factor'!R$11</f>
        <v>1.0458295142071494</v>
      </c>
      <c r="S115" s="41">
        <f xml:space="preserve"> 'Indices and K factor'!S$11</f>
        <v>1.0937773882559159</v>
      </c>
      <c r="T115" s="41">
        <f xml:space="preserve"> 'Indices and K factor'!T$11</f>
        <v>1.0416666666666667</v>
      </c>
      <c r="U115" s="41">
        <f xml:space="preserve"> 'Indices and K factor'!U$11</f>
        <v>1.0253846153846156</v>
      </c>
      <c r="V115" s="41">
        <f xml:space="preserve"> 'Indices and K factor'!V$11</f>
        <v>1.02</v>
      </c>
      <c r="W115" s="41">
        <f xml:space="preserve"> 'Indices and K factor'!W$11</f>
        <v>1.02</v>
      </c>
    </row>
    <row r="116" spans="1:23" ht="13.15" outlineLevel="1">
      <c r="B116" s="62"/>
      <c r="D116" s="157"/>
      <c r="E116" s="293" t="str">
        <f xml:space="preserve"> E$44</f>
        <v>Revenue Imbalance  - WW-TTT</v>
      </c>
      <c r="F116" s="293">
        <f t="shared" ref="F116:W116" si="40" xml:space="preserve"> F$44</f>
        <v>0</v>
      </c>
      <c r="G116" s="293" t="str">
        <f t="shared" si="40"/>
        <v>£m</v>
      </c>
      <c r="H116" s="293">
        <f t="shared" si="40"/>
        <v>0</v>
      </c>
      <c r="I116" s="293">
        <f t="shared" si="40"/>
        <v>0</v>
      </c>
      <c r="J116" s="293">
        <f t="shared" si="40"/>
        <v>0</v>
      </c>
      <c r="K116" s="293">
        <f t="shared" si="40"/>
        <v>0</v>
      </c>
      <c r="L116" s="293">
        <f t="shared" si="40"/>
        <v>0</v>
      </c>
      <c r="M116" s="293">
        <f t="shared" si="40"/>
        <v>0</v>
      </c>
      <c r="N116" s="293">
        <f t="shared" si="40"/>
        <v>0</v>
      </c>
      <c r="O116" s="293">
        <f t="shared" si="40"/>
        <v>0</v>
      </c>
      <c r="P116" s="293">
        <f t="shared" si="40"/>
        <v>0</v>
      </c>
      <c r="Q116" s="293">
        <f t="shared" si="40"/>
        <v>0</v>
      </c>
      <c r="R116" s="293">
        <f t="shared" si="40"/>
        <v>0</v>
      </c>
      <c r="S116" s="293">
        <f t="shared" si="40"/>
        <v>0</v>
      </c>
      <c r="T116" s="293">
        <f t="shared" si="40"/>
        <v>0</v>
      </c>
      <c r="U116" s="293">
        <f t="shared" si="40"/>
        <v>0</v>
      </c>
      <c r="V116" s="293">
        <f t="shared" si="40"/>
        <v>0</v>
      </c>
      <c r="W116" s="293">
        <f t="shared" si="40"/>
        <v>0</v>
      </c>
    </row>
    <row r="117" spans="1:23" s="127" customFormat="1" ht="13.15" outlineLevel="1">
      <c r="A117" s="164"/>
      <c r="B117" s="164"/>
      <c r="C117" s="165"/>
      <c r="D117" s="73"/>
      <c r="E117" s="96" t="str">
        <f xml:space="preserve"> Time!E$51</f>
        <v>Forecast end period flag</v>
      </c>
      <c r="F117" s="96">
        <f xml:space="preserve"> Time!F$51</f>
        <v>0</v>
      </c>
      <c r="G117" s="96" t="str">
        <f xml:space="preserve"> Time!G$51</f>
        <v>flag</v>
      </c>
      <c r="H117" s="96">
        <f xml:space="preserve"> Time!H$51</f>
        <v>1</v>
      </c>
      <c r="I117" s="96">
        <f xml:space="preserve"> Time!I$51</f>
        <v>0</v>
      </c>
      <c r="J117" s="96">
        <f xml:space="preserve"> Time!J$51</f>
        <v>0</v>
      </c>
      <c r="K117" s="96">
        <f xml:space="preserve"> Time!K$51</f>
        <v>0</v>
      </c>
      <c r="L117" s="96">
        <f xml:space="preserve"> Time!L$51</f>
        <v>0</v>
      </c>
      <c r="M117" s="96">
        <f xml:space="preserve"> Time!M$51</f>
        <v>0</v>
      </c>
      <c r="N117" s="96">
        <f xml:space="preserve"> Time!N$51</f>
        <v>0</v>
      </c>
      <c r="O117" s="96">
        <f xml:space="preserve"> Time!O$51</f>
        <v>0</v>
      </c>
      <c r="P117" s="96">
        <f xml:space="preserve"> Time!P$51</f>
        <v>0</v>
      </c>
      <c r="Q117" s="96">
        <f xml:space="preserve"> Time!Q$51</f>
        <v>0</v>
      </c>
      <c r="R117" s="96">
        <f xml:space="preserve"> Time!R$51</f>
        <v>0</v>
      </c>
      <c r="S117" s="96">
        <f xml:space="preserve"> Time!S$51</f>
        <v>0</v>
      </c>
      <c r="T117" s="96">
        <f xml:space="preserve"> Time!T$51</f>
        <v>1</v>
      </c>
      <c r="U117" s="96">
        <f xml:space="preserve"> Time!U$51</f>
        <v>0</v>
      </c>
      <c r="V117" s="96">
        <f xml:space="preserve"> Time!V$51</f>
        <v>0</v>
      </c>
      <c r="W117" s="96">
        <f xml:space="preserve"> Time!W$51</f>
        <v>0</v>
      </c>
    </row>
    <row r="118" spans="1:23" ht="13.15" outlineLevel="1">
      <c r="B118" s="62"/>
      <c r="D118" s="157"/>
      <c r="E118" s="127" t="s">
        <v>413</v>
      </c>
      <c r="F118" s="99"/>
      <c r="G118" s="99" t="s">
        <v>77</v>
      </c>
      <c r="H118" s="91">
        <f xml:space="preserve"> SUM(J118:W118)</f>
        <v>0</v>
      </c>
      <c r="J118" s="91">
        <f t="shared" ref="J118:W118" si="41" xml:space="preserve"> IF(J117 = 1, I116 * J115 * (1 + $F114), 0)</f>
        <v>0</v>
      </c>
      <c r="K118" s="91">
        <f t="shared" si="41"/>
        <v>0</v>
      </c>
      <c r="L118" s="91">
        <f t="shared" si="41"/>
        <v>0</v>
      </c>
      <c r="M118" s="91">
        <f t="shared" si="41"/>
        <v>0</v>
      </c>
      <c r="N118" s="91">
        <f t="shared" si="41"/>
        <v>0</v>
      </c>
      <c r="O118" s="91">
        <f t="shared" si="41"/>
        <v>0</v>
      </c>
      <c r="P118" s="91">
        <f t="shared" si="41"/>
        <v>0</v>
      </c>
      <c r="Q118" s="91">
        <f t="shared" si="41"/>
        <v>0</v>
      </c>
      <c r="R118" s="91">
        <f t="shared" si="41"/>
        <v>0</v>
      </c>
      <c r="S118" s="91">
        <f t="shared" si="41"/>
        <v>0</v>
      </c>
      <c r="T118" s="91">
        <f t="shared" si="41"/>
        <v>0</v>
      </c>
      <c r="U118" s="91">
        <f t="shared" si="41"/>
        <v>0</v>
      </c>
      <c r="V118" s="91">
        <f t="shared" si="41"/>
        <v>0</v>
      </c>
      <c r="W118" s="91">
        <f t="shared" si="41"/>
        <v>0</v>
      </c>
    </row>
    <row r="119" spans="1:23" ht="13.15" outlineLevel="1">
      <c r="B119" s="62"/>
      <c r="D119" s="157"/>
      <c r="E119" s="127"/>
      <c r="F119" s="99"/>
      <c r="G119" s="99"/>
      <c r="H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</row>
    <row r="120" spans="1:23" ht="13.15" outlineLevel="1">
      <c r="B120" s="62"/>
      <c r="D120" s="157"/>
      <c r="E120" s="41" t="str">
        <f xml:space="preserve"> Inputs!E$63</f>
        <v>Discount rate</v>
      </c>
      <c r="F120" s="41">
        <f xml:space="preserve"> Inputs!F$63</f>
        <v>2.92E-2</v>
      </c>
      <c r="G120" s="41" t="str">
        <f xml:space="preserve"> Inputs!G$63</f>
        <v>%</v>
      </c>
      <c r="H120" s="41">
        <f xml:space="preserve"> Inputs!H$63</f>
        <v>0</v>
      </c>
      <c r="I120" s="41">
        <f xml:space="preserve"> Inputs!I$63</f>
        <v>0</v>
      </c>
      <c r="J120" s="41">
        <f xml:space="preserve"> Inputs!J$63</f>
        <v>0</v>
      </c>
      <c r="K120" s="41">
        <f xml:space="preserve"> Inputs!K$63</f>
        <v>0</v>
      </c>
      <c r="L120" s="41">
        <f xml:space="preserve"> Inputs!L$63</f>
        <v>0</v>
      </c>
      <c r="M120" s="41">
        <f xml:space="preserve"> Inputs!M$63</f>
        <v>0</v>
      </c>
      <c r="N120" s="41">
        <f xml:space="preserve"> Inputs!N$63</f>
        <v>0</v>
      </c>
      <c r="O120" s="41">
        <f xml:space="preserve"> Inputs!O$63</f>
        <v>0</v>
      </c>
      <c r="P120" s="41">
        <f xml:space="preserve"> Inputs!P$63</f>
        <v>0</v>
      </c>
      <c r="Q120" s="41">
        <f xml:space="preserve"> Inputs!Q$63</f>
        <v>0</v>
      </c>
      <c r="R120" s="41">
        <f xml:space="preserve"> Inputs!R$63</f>
        <v>0</v>
      </c>
      <c r="S120" s="41">
        <f xml:space="preserve"> Inputs!S$63</f>
        <v>0</v>
      </c>
      <c r="T120" s="41">
        <f xml:space="preserve"> Inputs!T$63</f>
        <v>0</v>
      </c>
      <c r="U120" s="41">
        <f xml:space="preserve"> Inputs!U$63</f>
        <v>0</v>
      </c>
      <c r="V120" s="41">
        <f xml:space="preserve"> Inputs!V$63</f>
        <v>0</v>
      </c>
      <c r="W120" s="41">
        <f xml:space="preserve"> Inputs!W$63</f>
        <v>0</v>
      </c>
    </row>
    <row r="121" spans="1:23" ht="13.15" outlineLevel="1">
      <c r="B121" s="62"/>
      <c r="D121" s="157"/>
      <c r="E121" s="41" t="str">
        <f xml:space="preserve"> 'Indices and K factor'!E$11</f>
        <v>CPIH: Nov % increase (prior year) - CALC</v>
      </c>
      <c r="F121" s="41">
        <f xml:space="preserve"> 'Indices and K factor'!F$11</f>
        <v>0</v>
      </c>
      <c r="G121" s="41" t="str">
        <f xml:space="preserve"> 'Indices and K factor'!G$11</f>
        <v>%</v>
      </c>
      <c r="H121" s="41">
        <f xml:space="preserve"> 'Indices and K factor'!H$11</f>
        <v>0</v>
      </c>
      <c r="I121" s="41">
        <f xml:space="preserve"> 'Indices and K factor'!I$11</f>
        <v>0</v>
      </c>
      <c r="J121" s="41">
        <f xml:space="preserve"> 'Indices and K factor'!J$11</f>
        <v>0</v>
      </c>
      <c r="K121" s="41">
        <f xml:space="preserve"> 'Indices and K factor'!K$11</f>
        <v>0</v>
      </c>
      <c r="L121" s="41">
        <f xml:space="preserve"> 'Indices and K factor'!L$11</f>
        <v>1.0040040040040039</v>
      </c>
      <c r="M121" s="41">
        <f xml:space="preserve"> 'Indices and K factor'!M$11</f>
        <v>1.0149551345962113</v>
      </c>
      <c r="N121" s="41">
        <f xml:space="preserve"> 'Indices and K factor'!N$11</f>
        <v>1.0284872298624754</v>
      </c>
      <c r="O121" s="41">
        <f xml:space="preserve"> 'Indices and K factor'!O$11</f>
        <v>1.0210124164278893</v>
      </c>
      <c r="P121" s="41">
        <f xml:space="preserve"> 'Indices and K factor'!P$11</f>
        <v>1.0149672591206735</v>
      </c>
      <c r="Q121" s="41">
        <f xml:space="preserve"> 'Indices and K factor'!Q$11</f>
        <v>1.0055299539170506</v>
      </c>
      <c r="R121" s="41">
        <f xml:space="preserve"> 'Indices and K factor'!R$11</f>
        <v>1.0458295142071494</v>
      </c>
      <c r="S121" s="41">
        <f xml:space="preserve"> 'Indices and K factor'!S$11</f>
        <v>1.0937773882559159</v>
      </c>
      <c r="T121" s="41">
        <f xml:space="preserve"> 'Indices and K factor'!T$11</f>
        <v>1.0416666666666667</v>
      </c>
      <c r="U121" s="41">
        <f xml:space="preserve"> 'Indices and K factor'!U$11</f>
        <v>1.0253846153846156</v>
      </c>
      <c r="V121" s="41">
        <f xml:space="preserve"> 'Indices and K factor'!V$11</f>
        <v>1.02</v>
      </c>
      <c r="W121" s="41">
        <f xml:space="preserve"> 'Indices and K factor'!W$11</f>
        <v>1.02</v>
      </c>
    </row>
    <row r="122" spans="1:23" ht="13.15" outlineLevel="1">
      <c r="B122" s="62"/>
      <c r="D122" s="157"/>
      <c r="E122" s="204" t="str">
        <f t="shared" ref="E122:W122" si="42" xml:space="preserve"> E$86</f>
        <v>Penalty adjustment - WW-TTT</v>
      </c>
      <c r="F122" s="204">
        <f t="shared" si="42"/>
        <v>0</v>
      </c>
      <c r="G122" s="204" t="str">
        <f t="shared" si="42"/>
        <v>£m</v>
      </c>
      <c r="H122" s="204">
        <f t="shared" si="42"/>
        <v>0</v>
      </c>
      <c r="I122" s="204">
        <f t="shared" si="42"/>
        <v>0</v>
      </c>
      <c r="J122" s="204">
        <f t="shared" si="42"/>
        <v>0</v>
      </c>
      <c r="K122" s="204">
        <f t="shared" si="42"/>
        <v>0</v>
      </c>
      <c r="L122" s="204">
        <f t="shared" si="42"/>
        <v>0</v>
      </c>
      <c r="M122" s="204">
        <f t="shared" si="42"/>
        <v>0</v>
      </c>
      <c r="N122" s="204">
        <f t="shared" si="42"/>
        <v>0</v>
      </c>
      <c r="O122" s="204">
        <f t="shared" si="42"/>
        <v>0</v>
      </c>
      <c r="P122" s="204">
        <f t="shared" si="42"/>
        <v>0</v>
      </c>
      <c r="Q122" s="204">
        <f t="shared" si="42"/>
        <v>0</v>
      </c>
      <c r="R122" s="204">
        <f t="shared" si="42"/>
        <v>0</v>
      </c>
      <c r="S122" s="204">
        <f t="shared" si="42"/>
        <v>0</v>
      </c>
      <c r="T122" s="204">
        <f t="shared" si="42"/>
        <v>0</v>
      </c>
      <c r="U122" s="204">
        <f t="shared" si="42"/>
        <v>0</v>
      </c>
      <c r="V122" s="204">
        <f t="shared" si="42"/>
        <v>0</v>
      </c>
      <c r="W122" s="204">
        <f t="shared" si="42"/>
        <v>0</v>
      </c>
    </row>
    <row r="123" spans="1:23" ht="13.15" outlineLevel="1">
      <c r="B123" s="62"/>
      <c r="D123" s="157"/>
      <c r="E123" s="96" t="str">
        <f xml:space="preserve"> Time!E$51</f>
        <v>Forecast end period flag</v>
      </c>
      <c r="F123" s="96">
        <f xml:space="preserve"> Time!F$51</f>
        <v>0</v>
      </c>
      <c r="G123" s="96" t="str">
        <f xml:space="preserve"> Time!G$51</f>
        <v>flag</v>
      </c>
      <c r="H123" s="96">
        <f xml:space="preserve"> Time!H$51</f>
        <v>1</v>
      </c>
      <c r="I123" s="96">
        <f xml:space="preserve"> Time!I$51</f>
        <v>0</v>
      </c>
      <c r="J123" s="96">
        <f xml:space="preserve"> Time!J$51</f>
        <v>0</v>
      </c>
      <c r="K123" s="96">
        <f xml:space="preserve"> Time!K$51</f>
        <v>0</v>
      </c>
      <c r="L123" s="96">
        <f xml:space="preserve"> Time!L$51</f>
        <v>0</v>
      </c>
      <c r="M123" s="96">
        <f xml:space="preserve"> Time!M$51</f>
        <v>0</v>
      </c>
      <c r="N123" s="96">
        <f xml:space="preserve"> Time!N$51</f>
        <v>0</v>
      </c>
      <c r="O123" s="96">
        <f xml:space="preserve"> Time!O$51</f>
        <v>0</v>
      </c>
      <c r="P123" s="96">
        <f xml:space="preserve"> Time!P$51</f>
        <v>0</v>
      </c>
      <c r="Q123" s="96">
        <f xml:space="preserve"> Time!Q$51</f>
        <v>0</v>
      </c>
      <c r="R123" s="96">
        <f xml:space="preserve"> Time!R$51</f>
        <v>0</v>
      </c>
      <c r="S123" s="96">
        <f xml:space="preserve"> Time!S$51</f>
        <v>0</v>
      </c>
      <c r="T123" s="96">
        <f xml:space="preserve"> Time!T$51</f>
        <v>1</v>
      </c>
      <c r="U123" s="96">
        <f xml:space="preserve"> Time!U$51</f>
        <v>0</v>
      </c>
      <c r="V123" s="96">
        <f xml:space="preserve"> Time!V$51</f>
        <v>0</v>
      </c>
      <c r="W123" s="96">
        <f xml:space="preserve"> Time!W$51</f>
        <v>0</v>
      </c>
    </row>
    <row r="124" spans="1:23" ht="13.15" outlineLevel="1">
      <c r="B124" s="62"/>
      <c r="D124" s="157"/>
      <c r="E124" s="127" t="s">
        <v>414</v>
      </c>
      <c r="F124" s="99"/>
      <c r="G124" s="99" t="s">
        <v>77</v>
      </c>
      <c r="H124" s="91">
        <f xml:space="preserve"> SUM(J124:W124)</f>
        <v>0</v>
      </c>
      <c r="J124" s="191">
        <f xml:space="preserve"> J123 * ( I122 * J121 * (1 + $F120) )</f>
        <v>0</v>
      </c>
      <c r="K124" s="191">
        <f t="shared" ref="K124:W124" si="43" xml:space="preserve"> K123 * ( J122 * K121 * (1 + $F120) )</f>
        <v>0</v>
      </c>
      <c r="L124" s="191">
        <f t="shared" si="43"/>
        <v>0</v>
      </c>
      <c r="M124" s="191">
        <f t="shared" si="43"/>
        <v>0</v>
      </c>
      <c r="N124" s="191">
        <f t="shared" si="43"/>
        <v>0</v>
      </c>
      <c r="O124" s="191">
        <f t="shared" si="43"/>
        <v>0</v>
      </c>
      <c r="P124" s="191">
        <f t="shared" si="43"/>
        <v>0</v>
      </c>
      <c r="Q124" s="191">
        <f t="shared" si="43"/>
        <v>0</v>
      </c>
      <c r="R124" s="191">
        <f t="shared" si="43"/>
        <v>0</v>
      </c>
      <c r="S124" s="191">
        <f t="shared" si="43"/>
        <v>0</v>
      </c>
      <c r="T124" s="191">
        <f t="shared" si="43"/>
        <v>0</v>
      </c>
      <c r="U124" s="191">
        <f t="shared" si="43"/>
        <v>0</v>
      </c>
      <c r="V124" s="191">
        <f t="shared" si="43"/>
        <v>0</v>
      </c>
      <c r="W124" s="191">
        <f t="shared" si="43"/>
        <v>0</v>
      </c>
    </row>
    <row r="125" spans="1:23" ht="13.15" outlineLevel="1">
      <c r="B125" s="62"/>
      <c r="D125" s="157"/>
      <c r="E125" s="127"/>
      <c r="F125" s="99"/>
      <c r="G125" s="99"/>
      <c r="H125" s="99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</row>
    <row r="126" spans="1:23" ht="13.15" outlineLevel="1">
      <c r="B126" s="62"/>
      <c r="D126" s="157"/>
      <c r="E126" s="99" t="str">
        <f t="shared" ref="E126:W126" si="44" xml:space="preserve"> E$118</f>
        <v>Value of year 4 main revenue adjustment at the end of AMP7 - WW-TTT</v>
      </c>
      <c r="F126" s="99">
        <f t="shared" si="44"/>
        <v>0</v>
      </c>
      <c r="G126" s="99" t="str">
        <f t="shared" si="44"/>
        <v>£m</v>
      </c>
      <c r="H126" s="91">
        <f t="shared" si="44"/>
        <v>0</v>
      </c>
      <c r="I126" s="99">
        <f t="shared" si="44"/>
        <v>0</v>
      </c>
      <c r="J126" s="316">
        <f t="shared" si="44"/>
        <v>0</v>
      </c>
      <c r="K126" s="316">
        <f t="shared" si="44"/>
        <v>0</v>
      </c>
      <c r="L126" s="316">
        <f t="shared" si="44"/>
        <v>0</v>
      </c>
      <c r="M126" s="316">
        <f t="shared" si="44"/>
        <v>0</v>
      </c>
      <c r="N126" s="316">
        <f t="shared" si="44"/>
        <v>0</v>
      </c>
      <c r="O126" s="316">
        <f t="shared" si="44"/>
        <v>0</v>
      </c>
      <c r="P126" s="316">
        <f t="shared" si="44"/>
        <v>0</v>
      </c>
      <c r="Q126" s="316">
        <f t="shared" si="44"/>
        <v>0</v>
      </c>
      <c r="R126" s="316">
        <f t="shared" si="44"/>
        <v>0</v>
      </c>
      <c r="S126" s="316">
        <f t="shared" si="44"/>
        <v>0</v>
      </c>
      <c r="T126" s="316">
        <f t="shared" si="44"/>
        <v>0</v>
      </c>
      <c r="U126" s="316">
        <f t="shared" si="44"/>
        <v>0</v>
      </c>
      <c r="V126" s="316">
        <f t="shared" si="44"/>
        <v>0</v>
      </c>
      <c r="W126" s="316">
        <f t="shared" si="44"/>
        <v>0</v>
      </c>
    </row>
    <row r="127" spans="1:23" ht="13.15" outlineLevel="1">
      <c r="B127" s="62"/>
      <c r="D127" s="157"/>
      <c r="E127" s="99" t="str">
        <f t="shared" ref="E127:W127" si="45" xml:space="preserve"> E$124</f>
        <v>Value of year 4 penalty adjustment at the end of AMP7 - WW-TTT</v>
      </c>
      <c r="F127" s="99">
        <f t="shared" si="45"/>
        <v>0</v>
      </c>
      <c r="G127" s="99" t="str">
        <f t="shared" si="45"/>
        <v>£m</v>
      </c>
      <c r="H127" s="91">
        <f t="shared" si="45"/>
        <v>0</v>
      </c>
      <c r="I127" s="99">
        <f t="shared" si="45"/>
        <v>0</v>
      </c>
      <c r="J127" s="191">
        <f t="shared" si="45"/>
        <v>0</v>
      </c>
      <c r="K127" s="191">
        <f t="shared" si="45"/>
        <v>0</v>
      </c>
      <c r="L127" s="191">
        <f t="shared" si="45"/>
        <v>0</v>
      </c>
      <c r="M127" s="191">
        <f t="shared" si="45"/>
        <v>0</v>
      </c>
      <c r="N127" s="191">
        <f t="shared" si="45"/>
        <v>0</v>
      </c>
      <c r="O127" s="191">
        <f t="shared" si="45"/>
        <v>0</v>
      </c>
      <c r="P127" s="191">
        <f t="shared" si="45"/>
        <v>0</v>
      </c>
      <c r="Q127" s="191">
        <f t="shared" si="45"/>
        <v>0</v>
      </c>
      <c r="R127" s="191">
        <f t="shared" si="45"/>
        <v>0</v>
      </c>
      <c r="S127" s="191">
        <f t="shared" si="45"/>
        <v>0</v>
      </c>
      <c r="T127" s="191">
        <f t="shared" si="45"/>
        <v>0</v>
      </c>
      <c r="U127" s="191">
        <f t="shared" si="45"/>
        <v>0</v>
      </c>
      <c r="V127" s="191">
        <f t="shared" si="45"/>
        <v>0</v>
      </c>
      <c r="W127" s="191">
        <f t="shared" si="45"/>
        <v>0</v>
      </c>
    </row>
    <row r="128" spans="1:23" ht="13.5" outlineLevel="1" thickBot="1">
      <c r="B128" s="62"/>
      <c r="D128" s="157"/>
      <c r="E128" s="284" t="s">
        <v>415</v>
      </c>
      <c r="F128" s="284"/>
      <c r="G128" s="284" t="s">
        <v>77</v>
      </c>
      <c r="H128" s="284">
        <f xml:space="preserve"> SUM(J128:W128)</f>
        <v>0</v>
      </c>
      <c r="I128" s="284"/>
      <c r="J128" s="284">
        <f xml:space="preserve"> J126 + J127</f>
        <v>0</v>
      </c>
      <c r="K128" s="284">
        <f t="shared" ref="K128:W128" si="46" xml:space="preserve"> K126 + K127</f>
        <v>0</v>
      </c>
      <c r="L128" s="284">
        <f t="shared" si="46"/>
        <v>0</v>
      </c>
      <c r="M128" s="284">
        <f t="shared" si="46"/>
        <v>0</v>
      </c>
      <c r="N128" s="284">
        <f t="shared" si="46"/>
        <v>0</v>
      </c>
      <c r="O128" s="284">
        <f t="shared" si="46"/>
        <v>0</v>
      </c>
      <c r="P128" s="284">
        <f t="shared" si="46"/>
        <v>0</v>
      </c>
      <c r="Q128" s="284">
        <f t="shared" si="46"/>
        <v>0</v>
      </c>
      <c r="R128" s="284">
        <f t="shared" si="46"/>
        <v>0</v>
      </c>
      <c r="S128" s="284">
        <f t="shared" si="46"/>
        <v>0</v>
      </c>
      <c r="T128" s="284">
        <f t="shared" si="46"/>
        <v>0</v>
      </c>
      <c r="U128" s="284">
        <f t="shared" si="46"/>
        <v>0</v>
      </c>
      <c r="V128" s="284">
        <f t="shared" si="46"/>
        <v>0</v>
      </c>
      <c r="W128" s="284">
        <f t="shared" si="46"/>
        <v>0</v>
      </c>
    </row>
    <row r="129" spans="1:23" ht="13.5" outlineLevel="1" thickTop="1">
      <c r="B129" s="62"/>
      <c r="D129" s="157"/>
      <c r="E129" s="151"/>
      <c r="F129" s="56"/>
      <c r="G129" s="56"/>
      <c r="H129" s="93"/>
      <c r="I129" s="56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5"/>
      <c r="W129" s="5"/>
    </row>
    <row r="130" spans="1:23" ht="13.15" outlineLevel="1">
      <c r="B130" s="62" t="s">
        <v>392</v>
      </c>
      <c r="D130" s="157"/>
      <c r="E130" s="127"/>
      <c r="F130" s="99"/>
      <c r="G130" s="99"/>
      <c r="H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5"/>
      <c r="W130" s="5"/>
    </row>
    <row r="131" spans="1:23" ht="13.15" outlineLevel="1">
      <c r="B131" s="62"/>
      <c r="D131" s="157"/>
      <c r="E131" s="127"/>
      <c r="F131" s="99"/>
      <c r="G131" s="99"/>
      <c r="H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5"/>
      <c r="W131" s="5"/>
    </row>
    <row r="132" spans="1:23" ht="13.15" outlineLevel="1">
      <c r="B132" s="62"/>
      <c r="D132" s="157"/>
      <c r="E132" s="293" t="str">
        <f xml:space="preserve"> E$44</f>
        <v>Revenue Imbalance  - WW-TTT</v>
      </c>
      <c r="F132" s="293">
        <f t="shared" ref="F132:W132" si="47" xml:space="preserve"> F$44</f>
        <v>0</v>
      </c>
      <c r="G132" s="293" t="str">
        <f t="shared" si="47"/>
        <v>£m</v>
      </c>
      <c r="H132" s="293">
        <f t="shared" si="47"/>
        <v>0</v>
      </c>
      <c r="I132" s="293">
        <f t="shared" si="47"/>
        <v>0</v>
      </c>
      <c r="J132" s="293">
        <f t="shared" si="47"/>
        <v>0</v>
      </c>
      <c r="K132" s="293">
        <f t="shared" si="47"/>
        <v>0</v>
      </c>
      <c r="L132" s="293">
        <f t="shared" si="47"/>
        <v>0</v>
      </c>
      <c r="M132" s="293">
        <f t="shared" si="47"/>
        <v>0</v>
      </c>
      <c r="N132" s="293">
        <f t="shared" si="47"/>
        <v>0</v>
      </c>
      <c r="O132" s="293">
        <f t="shared" si="47"/>
        <v>0</v>
      </c>
      <c r="P132" s="293">
        <f t="shared" si="47"/>
        <v>0</v>
      </c>
      <c r="Q132" s="293">
        <f t="shared" si="47"/>
        <v>0</v>
      </c>
      <c r="R132" s="293">
        <f t="shared" si="47"/>
        <v>0</v>
      </c>
      <c r="S132" s="293">
        <f t="shared" si="47"/>
        <v>0</v>
      </c>
      <c r="T132" s="293">
        <f t="shared" si="47"/>
        <v>0</v>
      </c>
      <c r="U132" s="293">
        <f t="shared" si="47"/>
        <v>0</v>
      </c>
      <c r="V132" s="293">
        <f t="shared" si="47"/>
        <v>0</v>
      </c>
      <c r="W132" s="293">
        <f t="shared" si="47"/>
        <v>0</v>
      </c>
    </row>
    <row r="133" spans="1:23" ht="13.15" outlineLevel="1">
      <c r="B133" s="62"/>
      <c r="D133" s="157"/>
      <c r="E133" s="204" t="str">
        <f t="shared" ref="E133:T133" si="48" xml:space="preserve"> E$86</f>
        <v>Penalty adjustment - WW-TTT</v>
      </c>
      <c r="F133" s="204">
        <f t="shared" si="48"/>
        <v>0</v>
      </c>
      <c r="G133" s="204" t="str">
        <f t="shared" si="48"/>
        <v>£m</v>
      </c>
      <c r="H133" s="204">
        <f t="shared" si="48"/>
        <v>0</v>
      </c>
      <c r="I133" s="204">
        <f t="shared" si="48"/>
        <v>0</v>
      </c>
      <c r="J133" s="204">
        <f t="shared" si="48"/>
        <v>0</v>
      </c>
      <c r="K133" s="204">
        <f t="shared" si="48"/>
        <v>0</v>
      </c>
      <c r="L133" s="204">
        <f t="shared" si="48"/>
        <v>0</v>
      </c>
      <c r="M133" s="204">
        <f t="shared" si="48"/>
        <v>0</v>
      </c>
      <c r="N133" s="204">
        <f t="shared" si="48"/>
        <v>0</v>
      </c>
      <c r="O133" s="204">
        <f t="shared" si="48"/>
        <v>0</v>
      </c>
      <c r="P133" s="204">
        <f t="shared" si="48"/>
        <v>0</v>
      </c>
      <c r="Q133" s="204">
        <f t="shared" si="48"/>
        <v>0</v>
      </c>
      <c r="R133" s="204">
        <f t="shared" si="48"/>
        <v>0</v>
      </c>
      <c r="S133" s="204">
        <f t="shared" si="48"/>
        <v>0</v>
      </c>
      <c r="T133" s="204">
        <f t="shared" si="48"/>
        <v>0</v>
      </c>
      <c r="U133" s="204">
        <f xml:space="preserve"> U$86</f>
        <v>0</v>
      </c>
      <c r="V133" s="204">
        <f xml:space="preserve"> V$86</f>
        <v>0</v>
      </c>
      <c r="W133" s="204">
        <f xml:space="preserve"> W$86</f>
        <v>0</v>
      </c>
    </row>
    <row r="134" spans="1:23" s="127" customFormat="1" ht="13.15" outlineLevel="1">
      <c r="A134" s="164"/>
      <c r="B134" s="164"/>
      <c r="C134" s="165"/>
      <c r="D134" s="73"/>
      <c r="E134" s="96" t="str">
        <f xml:space="preserve"> Time!E$51</f>
        <v>Forecast end period flag</v>
      </c>
      <c r="F134" s="96">
        <f xml:space="preserve"> Time!F$51</f>
        <v>0</v>
      </c>
      <c r="G134" s="96" t="str">
        <f xml:space="preserve"> Time!G$51</f>
        <v>flag</v>
      </c>
      <c r="H134" s="96">
        <f xml:space="preserve"> Time!H$51</f>
        <v>1</v>
      </c>
      <c r="I134" s="96">
        <f xml:space="preserve"> Time!I$51</f>
        <v>0</v>
      </c>
      <c r="J134" s="96">
        <f xml:space="preserve"> Time!J$51</f>
        <v>0</v>
      </c>
      <c r="K134" s="96">
        <f xml:space="preserve"> Time!K$51</f>
        <v>0</v>
      </c>
      <c r="L134" s="96">
        <f xml:space="preserve"> Time!L$51</f>
        <v>0</v>
      </c>
      <c r="M134" s="96">
        <f xml:space="preserve"> Time!M$51</f>
        <v>0</v>
      </c>
      <c r="N134" s="96">
        <f xml:space="preserve"> Time!N$51</f>
        <v>0</v>
      </c>
      <c r="O134" s="96">
        <f xml:space="preserve"> Time!O$51</f>
        <v>0</v>
      </c>
      <c r="P134" s="96">
        <f xml:space="preserve"> Time!P$51</f>
        <v>0</v>
      </c>
      <c r="Q134" s="96">
        <f xml:space="preserve"> Time!Q$51</f>
        <v>0</v>
      </c>
      <c r="R134" s="96">
        <f xml:space="preserve"> Time!R$51</f>
        <v>0</v>
      </c>
      <c r="S134" s="96">
        <f xml:space="preserve"> Time!S$51</f>
        <v>0</v>
      </c>
      <c r="T134" s="96">
        <f xml:space="preserve"> Time!T$51</f>
        <v>1</v>
      </c>
      <c r="U134" s="96">
        <f xml:space="preserve"> Time!U$51</f>
        <v>0</v>
      </c>
      <c r="V134" s="96">
        <f xml:space="preserve"> Time!V$51</f>
        <v>0</v>
      </c>
      <c r="W134" s="96">
        <f xml:space="preserve"> Time!W$51</f>
        <v>0</v>
      </c>
    </row>
    <row r="135" spans="1:23" ht="13.5" outlineLevel="1" thickBot="1">
      <c r="B135" s="62"/>
      <c r="D135" s="157"/>
      <c r="E135" s="284" t="s">
        <v>416</v>
      </c>
      <c r="F135" s="284"/>
      <c r="G135" s="284" t="s">
        <v>77</v>
      </c>
      <c r="H135" s="284">
        <f xml:space="preserve"> SUM(J135:W135)</f>
        <v>0</v>
      </c>
      <c r="I135" s="284"/>
      <c r="J135" s="284">
        <f xml:space="preserve"> ( J132 + J133 ) * J134</f>
        <v>0</v>
      </c>
      <c r="K135" s="284">
        <f t="shared" ref="K135:W135" si="49" xml:space="preserve"> ( K132 + K133 ) * K134</f>
        <v>0</v>
      </c>
      <c r="L135" s="284">
        <f t="shared" si="49"/>
        <v>0</v>
      </c>
      <c r="M135" s="284">
        <f t="shared" si="49"/>
        <v>0</v>
      </c>
      <c r="N135" s="284">
        <f t="shared" si="49"/>
        <v>0</v>
      </c>
      <c r="O135" s="284">
        <f t="shared" si="49"/>
        <v>0</v>
      </c>
      <c r="P135" s="284">
        <f t="shared" si="49"/>
        <v>0</v>
      </c>
      <c r="Q135" s="284">
        <f t="shared" si="49"/>
        <v>0</v>
      </c>
      <c r="R135" s="284">
        <f t="shared" si="49"/>
        <v>0</v>
      </c>
      <c r="S135" s="284">
        <f t="shared" si="49"/>
        <v>0</v>
      </c>
      <c r="T135" s="284">
        <f t="shared" si="49"/>
        <v>0</v>
      </c>
      <c r="U135" s="284">
        <f t="shared" si="49"/>
        <v>0</v>
      </c>
      <c r="V135" s="284">
        <f t="shared" si="49"/>
        <v>0</v>
      </c>
      <c r="W135" s="284">
        <f t="shared" si="49"/>
        <v>0</v>
      </c>
    </row>
    <row r="136" spans="1:23" ht="13.5" outlineLevel="1" thickTop="1">
      <c r="B136" s="62"/>
      <c r="D136" s="157"/>
      <c r="E136" s="151"/>
      <c r="F136" s="56"/>
      <c r="G136" s="56"/>
      <c r="H136" s="93"/>
      <c r="I136" s="56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</row>
    <row r="137" spans="1:23" ht="13.15" outlineLevel="1">
      <c r="B137" s="62" t="s">
        <v>364</v>
      </c>
      <c r="D137" s="157"/>
      <c r="E137" s="127"/>
      <c r="F137" s="99"/>
      <c r="G137" s="99"/>
      <c r="H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</row>
    <row r="138" spans="1:23" ht="13.15" outlineLevel="1">
      <c r="B138" s="62"/>
      <c r="D138" s="157"/>
      <c r="E138" s="127"/>
      <c r="F138" s="99"/>
      <c r="G138" s="99"/>
      <c r="H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</row>
    <row r="139" spans="1:23" ht="13.15" outlineLevel="1">
      <c r="B139" s="62"/>
      <c r="D139" s="157"/>
      <c r="E139" s="91" t="str">
        <f t="shared" ref="E139:T139" si="50" xml:space="preserve"> E$128</f>
        <v>Value of year 4 RFI adjustments at the end of AMP7 - WW-TTT</v>
      </c>
      <c r="F139" s="91">
        <f t="shared" si="50"/>
        <v>0</v>
      </c>
      <c r="G139" s="91" t="str">
        <f t="shared" si="50"/>
        <v>£m</v>
      </c>
      <c r="H139" s="91">
        <f t="shared" si="50"/>
        <v>0</v>
      </c>
      <c r="I139" s="91">
        <f t="shared" si="50"/>
        <v>0</v>
      </c>
      <c r="J139" s="91">
        <f t="shared" si="50"/>
        <v>0</v>
      </c>
      <c r="K139" s="91">
        <f t="shared" si="50"/>
        <v>0</v>
      </c>
      <c r="L139" s="91">
        <f t="shared" si="50"/>
        <v>0</v>
      </c>
      <c r="M139" s="91">
        <f t="shared" si="50"/>
        <v>0</v>
      </c>
      <c r="N139" s="91">
        <f t="shared" si="50"/>
        <v>0</v>
      </c>
      <c r="O139" s="91">
        <f t="shared" si="50"/>
        <v>0</v>
      </c>
      <c r="P139" s="91">
        <f t="shared" si="50"/>
        <v>0</v>
      </c>
      <c r="Q139" s="91">
        <f t="shared" si="50"/>
        <v>0</v>
      </c>
      <c r="R139" s="91">
        <f t="shared" si="50"/>
        <v>0</v>
      </c>
      <c r="S139" s="91">
        <f t="shared" si="50"/>
        <v>0</v>
      </c>
      <c r="T139" s="91">
        <f t="shared" si="50"/>
        <v>0</v>
      </c>
      <c r="U139" s="91">
        <f xml:space="preserve"> U$128</f>
        <v>0</v>
      </c>
      <c r="V139" s="91">
        <f xml:space="preserve"> V$128</f>
        <v>0</v>
      </c>
      <c r="W139" s="91">
        <f xml:space="preserve"> W$128</f>
        <v>0</v>
      </c>
    </row>
    <row r="140" spans="1:23" ht="13.15" outlineLevel="1">
      <c r="B140" s="62"/>
      <c r="D140" s="157"/>
      <c r="E140" s="91" t="str">
        <f t="shared" ref="E140:T140" si="51" xml:space="preserve"> E$135</f>
        <v>Value of year 5 RFI adjustments at the end of AMP7 - WW-TTT</v>
      </c>
      <c r="F140" s="91">
        <f t="shared" si="51"/>
        <v>0</v>
      </c>
      <c r="G140" s="91" t="str">
        <f t="shared" si="51"/>
        <v>£m</v>
      </c>
      <c r="H140" s="91">
        <f t="shared" si="51"/>
        <v>0</v>
      </c>
      <c r="I140" s="91">
        <f t="shared" si="51"/>
        <v>0</v>
      </c>
      <c r="J140" s="91">
        <f t="shared" si="51"/>
        <v>0</v>
      </c>
      <c r="K140" s="91">
        <f t="shared" si="51"/>
        <v>0</v>
      </c>
      <c r="L140" s="91">
        <f t="shared" si="51"/>
        <v>0</v>
      </c>
      <c r="M140" s="91">
        <f t="shared" si="51"/>
        <v>0</v>
      </c>
      <c r="N140" s="91">
        <f t="shared" si="51"/>
        <v>0</v>
      </c>
      <c r="O140" s="91">
        <f t="shared" si="51"/>
        <v>0</v>
      </c>
      <c r="P140" s="91">
        <f t="shared" si="51"/>
        <v>0</v>
      </c>
      <c r="Q140" s="91">
        <f t="shared" si="51"/>
        <v>0</v>
      </c>
      <c r="R140" s="91">
        <f t="shared" si="51"/>
        <v>0</v>
      </c>
      <c r="S140" s="91">
        <f t="shared" si="51"/>
        <v>0</v>
      </c>
      <c r="T140" s="91">
        <f t="shared" si="51"/>
        <v>0</v>
      </c>
      <c r="U140" s="91">
        <f xml:space="preserve"> U$135</f>
        <v>0</v>
      </c>
      <c r="V140" s="91">
        <f xml:space="preserve"> V$135</f>
        <v>0</v>
      </c>
      <c r="W140" s="91">
        <f xml:space="preserve"> W$135</f>
        <v>0</v>
      </c>
    </row>
    <row r="141" spans="1:23" s="298" customFormat="1" ht="13.5" outlineLevel="1" thickBot="1">
      <c r="A141" s="294"/>
      <c r="B141" s="294"/>
      <c r="C141" s="295"/>
      <c r="D141" s="296"/>
      <c r="E141" s="297" t="s">
        <v>417</v>
      </c>
      <c r="F141" s="297"/>
      <c r="G141" s="297" t="s">
        <v>77</v>
      </c>
      <c r="H141" s="297">
        <f xml:space="preserve"> SUM(J141:W141)</f>
        <v>0</v>
      </c>
      <c r="I141" s="297"/>
      <c r="J141" s="297">
        <f xml:space="preserve"> J139 + J140</f>
        <v>0</v>
      </c>
      <c r="K141" s="297">
        <f t="shared" ref="K141:W141" si="52" xml:space="preserve"> K139 + K140</f>
        <v>0</v>
      </c>
      <c r="L141" s="297">
        <f t="shared" si="52"/>
        <v>0</v>
      </c>
      <c r="M141" s="297">
        <f t="shared" si="52"/>
        <v>0</v>
      </c>
      <c r="N141" s="297">
        <f t="shared" si="52"/>
        <v>0</v>
      </c>
      <c r="O141" s="297">
        <f t="shared" si="52"/>
        <v>0</v>
      </c>
      <c r="P141" s="297">
        <f t="shared" si="52"/>
        <v>0</v>
      </c>
      <c r="Q141" s="297">
        <f t="shared" si="52"/>
        <v>0</v>
      </c>
      <c r="R141" s="297">
        <f t="shared" si="52"/>
        <v>0</v>
      </c>
      <c r="S141" s="297">
        <f t="shared" si="52"/>
        <v>0</v>
      </c>
      <c r="T141" s="297">
        <f t="shared" si="52"/>
        <v>0</v>
      </c>
      <c r="U141" s="297">
        <f t="shared" si="52"/>
        <v>0</v>
      </c>
      <c r="V141" s="297">
        <f t="shared" si="52"/>
        <v>0</v>
      </c>
      <c r="W141" s="297">
        <f t="shared" si="52"/>
        <v>0</v>
      </c>
    </row>
    <row r="142" spans="1:23" ht="13.5" outlineLevel="1" thickTop="1">
      <c r="A142" s="61"/>
      <c r="C142" s="108"/>
      <c r="E142" s="72"/>
    </row>
    <row r="143" spans="1:23" ht="13.15" outlineLevel="1">
      <c r="A143" s="116" t="s">
        <v>219</v>
      </c>
      <c r="B143" s="116"/>
      <c r="C143" s="117"/>
      <c r="D143" s="118"/>
      <c r="E143" s="117"/>
      <c r="F143" s="119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</row>
    <row r="144" spans="1:23" s="82" customFormat="1" ht="13.15"/>
    <row r="148" spans="1:23" ht="13.5" hidden="1" customHeight="1"/>
    <row r="149" spans="1:23" ht="13.5" hidden="1" customHeight="1"/>
    <row r="150" spans="1:23" ht="13.5" hidden="1" customHeight="1"/>
    <row r="151" spans="1:23" ht="13.5" hidden="1" customHeight="1"/>
    <row r="152" spans="1:23" ht="13.5" hidden="1" customHeight="1"/>
    <row r="153" spans="1:23" ht="13.5" hidden="1" customHeight="1"/>
    <row r="154" spans="1:23" ht="13.5" hidden="1" customHeight="1"/>
    <row r="155" spans="1:23" ht="13.5" hidden="1" customHeight="1"/>
    <row r="156" spans="1:23" ht="13.5" hidden="1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3.5" hidden="1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3.5" hidden="1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3.5" hidden="1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3.5" hidden="1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="5" customFormat="1" ht="13.5" hidden="1" customHeight="1"/>
    <row r="162" s="5" customFormat="1" ht="13.5" hidden="1" customHeight="1"/>
    <row r="163" s="5" customFormat="1" ht="13.5" hidden="1" customHeight="1"/>
    <row r="164" s="5" customFormat="1" ht="13.5" hidden="1" customHeight="1"/>
    <row r="165" s="5" customFormat="1" ht="13.5" hidden="1" customHeight="1"/>
    <row r="166" s="5" customFormat="1" ht="13.5" hidden="1" customHeight="1"/>
    <row r="167" s="5" customFormat="1" ht="13.5" hidden="1" customHeight="1"/>
    <row r="168" s="5" customFormat="1" ht="13.5" hidden="1" customHeight="1"/>
    <row r="169" s="5" customFormat="1" ht="13.5" hidden="1" customHeight="1"/>
    <row r="170" s="5" customFormat="1" ht="13.5" hidden="1" customHeight="1"/>
    <row r="171" s="5" customFormat="1" ht="13.5" hidden="1" customHeight="1"/>
    <row r="172" s="5" customFormat="1" ht="13.5" hidden="1" customHeight="1"/>
    <row r="173" s="5" customFormat="1" ht="13.5" hidden="1" customHeight="1"/>
    <row r="174" s="5" customFormat="1" ht="13.5" hidden="1" customHeight="1"/>
    <row r="175" s="5" customFormat="1" ht="13.5" hidden="1" customHeight="1"/>
    <row r="176" s="5" customFormat="1" ht="13.5" hidden="1" customHeight="1"/>
    <row r="177" s="5" customFormat="1" ht="13.5" hidden="1" customHeight="1"/>
    <row r="178" s="5" customFormat="1" ht="13.5" hidden="1" customHeight="1"/>
    <row r="179" s="5" customFormat="1" ht="13.5" hidden="1" customHeight="1"/>
    <row r="180" s="5" customFormat="1" ht="13.5" hidden="1" customHeight="1"/>
    <row r="181" s="5" customFormat="1" ht="13.5" hidden="1" customHeight="1"/>
    <row r="182" s="5" customFormat="1" ht="13.5" hidden="1" customHeight="1"/>
    <row r="183" s="5" customFormat="1" ht="13.5" hidden="1" customHeight="1"/>
    <row r="184" s="5" customFormat="1" ht="13.5" hidden="1" customHeight="1"/>
    <row r="185" s="5" customFormat="1" ht="13.5" hidden="1" customHeight="1"/>
    <row r="186" s="5" customFormat="1" ht="13.5" hidden="1" customHeight="1"/>
    <row r="187" s="5" customFormat="1" ht="13.5" hidden="1" customHeight="1"/>
    <row r="188" s="5" customFormat="1" ht="13.5" hidden="1" customHeight="1"/>
    <row r="189" s="5" customFormat="1" ht="13.5" hidden="1" customHeight="1"/>
    <row r="190" s="5" customFormat="1" ht="13.5" hidden="1" customHeight="1"/>
    <row r="191" s="5" customFormat="1" ht="13.5" hidden="1" customHeight="1"/>
    <row r="192" s="5" customFormat="1" ht="13.5" hidden="1" customHeight="1"/>
    <row r="193" s="5" customFormat="1" ht="13.5" hidden="1" customHeight="1"/>
    <row r="194" s="5" customFormat="1" ht="13.5" hidden="1" customHeight="1"/>
    <row r="195" s="5" customFormat="1" ht="13.5" hidden="1" customHeight="1"/>
    <row r="196" s="5" customFormat="1" ht="13.5" hidden="1" customHeight="1"/>
    <row r="197" s="5" customFormat="1" ht="13.5" hidden="1" customHeight="1"/>
    <row r="247" ht="13.15"/>
  </sheetData>
  <conditionalFormatting sqref="F2">
    <cfRule type="cellIs" dxfId="35" priority="3" stopIfTrue="1" operator="notEqual">
      <formula>0</formula>
    </cfRule>
    <cfRule type="cellIs" dxfId="34" priority="4" stopIfTrue="1" operator="equal">
      <formula>""</formula>
    </cfRule>
  </conditionalFormatting>
  <conditionalFormatting sqref="F3">
    <cfRule type="cellIs" dxfId="33" priority="1" stopIfTrue="1" operator="notEqual">
      <formula>0</formula>
    </cfRule>
    <cfRule type="cellIs" dxfId="32" priority="2" stopIfTrue="1" operator="equal">
      <formula>""</formula>
    </cfRule>
  </conditionalFormatting>
  <conditionalFormatting sqref="F101">
    <cfRule type="cellIs" dxfId="31" priority="5" stopIfTrue="1" operator="notEqual">
      <formula>0</formula>
    </cfRule>
    <cfRule type="cellIs" dxfId="30" priority="6" stopIfTrue="1" operator="equal">
      <formula>""</formula>
    </cfRule>
  </conditionalFormatting>
  <conditionalFormatting sqref="J101:W101">
    <cfRule type="cellIs" dxfId="27" priority="13" stopIfTrue="1" operator="notEqual">
      <formula>0</formula>
    </cfRule>
    <cfRule type="cellIs" dxfId="26" priority="14" stopIfTrue="1" operator="equal">
      <formula>""</formula>
    </cfRule>
  </conditionalFormatting>
  <conditionalFormatting sqref="V3:W3">
    <cfRule type="cellIs" dxfId="24" priority="10" operator="equal">
      <formula>#REF!</formula>
    </cfRule>
    <cfRule type="cellIs" dxfId="23" priority="11" stopIfTrue="1" operator="equal">
      <formula>#REF!</formula>
    </cfRule>
    <cfRule type="cellIs" dxfId="22" priority="12" stopIfTrue="1" operator="equal">
      <formula>#REF!</formula>
    </cfRule>
  </conditionalFormatting>
  <pageMargins left="0.7" right="0.7" top="0.75" bottom="0.75" header="0.3" footer="0.3"/>
  <pageSetup paperSize="9" scale="29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stopIfTrue="1" operator="equal" id="{67D8D51C-AADD-46AA-828B-C492702156C9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9" stopIfTrue="1" operator="equal" id="{135AF51B-311A-4B76-B942-A2ECC4CE43C6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7" operator="equal" id="{77511268-DA79-4EA4-B488-D6DB168254BA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DDB4-2410-4E1F-B98C-76625B3F688B}">
  <sheetPr codeName="Sheet3">
    <tabColor rgb="FF99CCFF"/>
    <outlinePr summaryBelow="0" summaryRight="0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topRight" activeCell="C22" sqref="C22"/>
      <selection pane="bottomLeft" activeCell="C22" sqref="C22"/>
      <selection pane="bottomRight" activeCell="H9" sqref="H9:H13"/>
    </sheetView>
  </sheetViews>
  <sheetFormatPr defaultColWidth="0" defaultRowHeight="13.15" zeroHeight="1"/>
  <cols>
    <col min="1" max="2" width="1.3984375" style="61" customWidth="1"/>
    <col min="3" max="3" width="1.3984375" style="108" customWidth="1"/>
    <col min="4" max="4" width="1.3984375" style="55" customWidth="1"/>
    <col min="5" max="5" width="53.86328125" bestFit="1" customWidth="1"/>
    <col min="6" max="6" width="12.59765625" customWidth="1"/>
    <col min="7" max="7" width="11.59765625" customWidth="1"/>
    <col min="8" max="8" width="15.59765625" customWidth="1"/>
    <col min="9" max="9" width="2.59765625" customWidth="1"/>
    <col min="10" max="23" width="12.59765625" customWidth="1"/>
    <col min="24" max="24" width="0" hidden="1" customWidth="1"/>
  </cols>
  <sheetData>
    <row r="1" spans="1:23" ht="29.65">
      <c r="A1" s="211" t="str">
        <f ca="1" xml:space="preserve"> RIGHT(CELL("filename", $A$1), LEN(CELL("filename", $A$1)) - SEARCH("]", CELL("filename", $A$1)))</f>
        <v>Output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2</v>
      </c>
      <c r="G3" s="80" t="str">
        <f xml:space="preserve"> Check!G$24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116</v>
      </c>
      <c r="G5" s="158" t="s">
        <v>117</v>
      </c>
      <c r="H5" s="48" t="s">
        <v>118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/>
    <row r="7" spans="1:23" ht="12.75" customHeight="1">
      <c r="A7" s="113" t="s">
        <v>418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J8" s="31"/>
      <c r="K8" s="31"/>
      <c r="L8" s="31"/>
      <c r="M8" s="31"/>
      <c r="N8" s="18"/>
      <c r="O8" s="18"/>
      <c r="P8" s="18"/>
      <c r="Q8" s="18"/>
      <c r="R8" s="18"/>
      <c r="S8" s="31"/>
      <c r="T8" s="31"/>
      <c r="U8" s="31"/>
      <c r="V8" s="31"/>
      <c r="W8" s="31"/>
    </row>
    <row r="9" spans="1:23">
      <c r="E9" s="317" t="str">
        <f xml:space="preserve"> 'Wholesale Water'!E$287</f>
        <v>Total adjustment at the end of AMP7 - Water-N+</v>
      </c>
      <c r="F9" s="317">
        <f xml:space="preserve"> 'Wholesale Water'!F$287</f>
        <v>0</v>
      </c>
      <c r="G9" s="317" t="str">
        <f xml:space="preserve"> 'Wholesale Water'!G$287</f>
        <v>£m</v>
      </c>
      <c r="H9" s="475">
        <f xml:space="preserve"> 'Wholesale Water'!H$287</f>
        <v>-19.419137969593148</v>
      </c>
      <c r="I9" s="169">
        <f xml:space="preserve"> 'Wholesale Water'!I$287</f>
        <v>0</v>
      </c>
      <c r="J9" s="201">
        <f xml:space="preserve"> 'Wholesale Water'!J$287</f>
        <v>0</v>
      </c>
      <c r="K9" s="201">
        <f xml:space="preserve"> 'Wholesale Water'!K$287</f>
        <v>0</v>
      </c>
      <c r="L9" s="201">
        <f xml:space="preserve"> 'Wholesale Water'!L$287</f>
        <v>0</v>
      </c>
      <c r="M9" s="201">
        <f xml:space="preserve"> 'Wholesale Water'!M$287</f>
        <v>0</v>
      </c>
      <c r="N9" s="201">
        <f xml:space="preserve"> 'Wholesale Water'!N$287</f>
        <v>0</v>
      </c>
      <c r="O9" s="201">
        <f xml:space="preserve"> 'Wholesale Water'!O$287</f>
        <v>0</v>
      </c>
      <c r="P9" s="201">
        <f xml:space="preserve"> 'Wholesale Water'!P$287</f>
        <v>0</v>
      </c>
      <c r="Q9" s="201">
        <f xml:space="preserve"> 'Wholesale Water'!Q$287</f>
        <v>0</v>
      </c>
      <c r="R9" s="201">
        <f xml:space="preserve"> 'Wholesale Water'!R$287</f>
        <v>0</v>
      </c>
      <c r="S9" s="201">
        <f xml:space="preserve"> 'Wholesale Water'!S$287</f>
        <v>0</v>
      </c>
      <c r="T9" s="201">
        <f xml:space="preserve"> 'Wholesale Water'!T$287</f>
        <v>-19.419137969593148</v>
      </c>
      <c r="U9" s="201">
        <f xml:space="preserve"> 'Wholesale Water'!U$287</f>
        <v>0</v>
      </c>
      <c r="V9" s="201">
        <f xml:space="preserve"> 'Wholesale Water'!V$287</f>
        <v>0</v>
      </c>
      <c r="W9" s="201">
        <f xml:space="preserve"> 'Wholesale Water'!W$287</f>
        <v>0</v>
      </c>
    </row>
    <row r="10" spans="1:23">
      <c r="E10" s="169"/>
      <c r="F10" s="169"/>
      <c r="G10" s="169"/>
      <c r="H10" s="475"/>
      <c r="I10" s="169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</row>
    <row r="11" spans="1:23">
      <c r="E11" s="169" t="str">
        <f xml:space="preserve"> 'Wholesale Water'!E$291</f>
        <v>Total adjustment at the end of AMP7 - Water Res</v>
      </c>
      <c r="F11" s="169">
        <f xml:space="preserve"> 'Wholesale Water'!F$291</f>
        <v>0</v>
      </c>
      <c r="G11" s="169" t="str">
        <f xml:space="preserve"> 'Wholesale Water'!G$291</f>
        <v>£m</v>
      </c>
      <c r="H11" s="475">
        <f xml:space="preserve"> 'Wholesale Water'!H$291</f>
        <v>-14.237595081988367</v>
      </c>
      <c r="I11" s="169">
        <f xml:space="preserve"> 'Wholesale Water'!I$291</f>
        <v>0</v>
      </c>
      <c r="J11" s="169">
        <f xml:space="preserve"> 'Wholesale Water'!J$291</f>
        <v>0</v>
      </c>
      <c r="K11" s="169">
        <f xml:space="preserve"> 'Wholesale Water'!K$291</f>
        <v>0</v>
      </c>
      <c r="L11" s="169">
        <f xml:space="preserve"> 'Wholesale Water'!L$291</f>
        <v>0</v>
      </c>
      <c r="M11" s="169">
        <f xml:space="preserve"> 'Wholesale Water'!M$291</f>
        <v>0</v>
      </c>
      <c r="N11" s="169">
        <f xml:space="preserve"> 'Wholesale Water'!N$291</f>
        <v>0</v>
      </c>
      <c r="O11" s="169">
        <f xml:space="preserve"> 'Wholesale Water'!O$291</f>
        <v>0</v>
      </c>
      <c r="P11" s="169">
        <f xml:space="preserve"> 'Wholesale Water'!P$291</f>
        <v>0</v>
      </c>
      <c r="Q11" s="169">
        <f xml:space="preserve"> 'Wholesale Water'!Q$291</f>
        <v>0</v>
      </c>
      <c r="R11" s="169">
        <f xml:space="preserve"> 'Wholesale Water'!R$291</f>
        <v>0</v>
      </c>
      <c r="S11" s="169">
        <f xml:space="preserve"> 'Wholesale Water'!S$291</f>
        <v>0</v>
      </c>
      <c r="T11" s="169">
        <f xml:space="preserve"> 'Wholesale Water'!T$291</f>
        <v>-14.237595081988367</v>
      </c>
      <c r="U11" s="169">
        <f xml:space="preserve"> 'Wholesale Water'!U$291</f>
        <v>0</v>
      </c>
      <c r="V11" s="169">
        <f xml:space="preserve"> 'Wholesale Water'!V$291</f>
        <v>0</v>
      </c>
      <c r="W11" s="169">
        <f xml:space="preserve"> 'Wholesale Water'!W$291</f>
        <v>0</v>
      </c>
    </row>
    <row r="12" spans="1:23">
      <c r="H12" s="476"/>
      <c r="J12" s="212"/>
      <c r="K12" s="212"/>
      <c r="L12" s="212"/>
      <c r="M12" s="212"/>
      <c r="N12" s="213"/>
      <c r="O12" s="213"/>
      <c r="P12" s="213"/>
      <c r="Q12" s="213"/>
      <c r="R12" s="213"/>
      <c r="S12" s="212"/>
      <c r="T12" s="212"/>
      <c r="U12" s="212"/>
      <c r="V12" s="212"/>
      <c r="W12" s="212"/>
    </row>
    <row r="13" spans="1:23">
      <c r="E13" s="168" t="str">
        <f xml:space="preserve"> 'Wastewater Network-Plus'!E$144</f>
        <v>Total adjustment at the end of AMP7 - WW-N+</v>
      </c>
      <c r="F13" s="168">
        <f xml:space="preserve"> 'Wastewater Network-Plus'!F$144</f>
        <v>0</v>
      </c>
      <c r="G13" s="168" t="str">
        <f xml:space="preserve"> 'Wastewater Network-Plus'!G$144</f>
        <v>£m</v>
      </c>
      <c r="H13" s="477">
        <f xml:space="preserve"> 'Wastewater Network-Plus'!H$144</f>
        <v>-1.6802752218646142</v>
      </c>
      <c r="I13" s="168">
        <f xml:space="preserve"> 'Wastewater Network-Plus'!I$144</f>
        <v>0</v>
      </c>
      <c r="J13" s="201">
        <f xml:space="preserve"> 'Wastewater Network-Plus'!J$144</f>
        <v>0</v>
      </c>
      <c r="K13" s="201">
        <f xml:space="preserve"> 'Wastewater Network-Plus'!K$144</f>
        <v>0</v>
      </c>
      <c r="L13" s="201">
        <f xml:space="preserve"> 'Wastewater Network-Plus'!L$144</f>
        <v>0</v>
      </c>
      <c r="M13" s="201">
        <f xml:space="preserve"> 'Wastewater Network-Plus'!M$144</f>
        <v>0</v>
      </c>
      <c r="N13" s="201">
        <f xml:space="preserve"> 'Wastewater Network-Plus'!N$144</f>
        <v>0</v>
      </c>
      <c r="O13" s="201">
        <f xml:space="preserve"> 'Wastewater Network-Plus'!O$144</f>
        <v>0</v>
      </c>
      <c r="P13" s="201">
        <f xml:space="preserve"> 'Wastewater Network-Plus'!P$144</f>
        <v>0</v>
      </c>
      <c r="Q13" s="201">
        <f xml:space="preserve"> 'Wastewater Network-Plus'!Q$144</f>
        <v>0</v>
      </c>
      <c r="R13" s="201">
        <f xml:space="preserve"> 'Wastewater Network-Plus'!R$144</f>
        <v>0</v>
      </c>
      <c r="S13" s="201">
        <f xml:space="preserve"> 'Wastewater Network-Plus'!S$144</f>
        <v>0</v>
      </c>
      <c r="T13" s="201">
        <f xml:space="preserve"> 'Wastewater Network-Plus'!T$144</f>
        <v>-1.6802752218646142</v>
      </c>
      <c r="U13" s="201">
        <f xml:space="preserve"> 'Wastewater Network-Plus'!U$144</f>
        <v>0</v>
      </c>
      <c r="V13" s="201">
        <f xml:space="preserve"> 'Wastewater Network-Plus'!V$144</f>
        <v>0</v>
      </c>
      <c r="W13" s="201">
        <f xml:space="preserve"> 'Wastewater Network-Plus'!W$144</f>
        <v>0</v>
      </c>
    </row>
    <row r="14" spans="1:23">
      <c r="J14" s="212"/>
      <c r="K14" s="212"/>
      <c r="L14" s="212"/>
      <c r="M14" s="212"/>
      <c r="N14" s="213"/>
      <c r="O14" s="213"/>
      <c r="P14" s="213"/>
      <c r="Q14" s="213"/>
      <c r="R14" s="213"/>
      <c r="S14" s="212"/>
      <c r="T14" s="212"/>
      <c r="U14" s="212"/>
      <c r="V14" s="212"/>
      <c r="W14" s="212"/>
    </row>
    <row r="15" spans="1:23">
      <c r="E15" s="168" t="str">
        <f xml:space="preserve"> 'Wastewater TTT'!E$141</f>
        <v>Total adjustment at the end of AMP7 - WW-TTT</v>
      </c>
      <c r="F15" s="168">
        <f xml:space="preserve"> 'Wastewater TTT'!F$141</f>
        <v>0</v>
      </c>
      <c r="G15" s="168" t="str">
        <f xml:space="preserve"> 'Wastewater TTT'!G$141</f>
        <v>£m</v>
      </c>
      <c r="H15" s="168">
        <f xml:space="preserve"> 'Wastewater TTT'!H$141</f>
        <v>0</v>
      </c>
      <c r="I15" s="168">
        <f xml:space="preserve"> 'Wastewater TTT'!I$141</f>
        <v>0</v>
      </c>
      <c r="J15" s="201">
        <f xml:space="preserve"> 'Wastewater TTT'!J$141</f>
        <v>0</v>
      </c>
      <c r="K15" s="201">
        <f xml:space="preserve"> 'Wastewater TTT'!K$141</f>
        <v>0</v>
      </c>
      <c r="L15" s="201">
        <f xml:space="preserve"> 'Wastewater TTT'!L$141</f>
        <v>0</v>
      </c>
      <c r="M15" s="201">
        <f xml:space="preserve"> 'Wastewater TTT'!M$141</f>
        <v>0</v>
      </c>
      <c r="N15" s="201">
        <f xml:space="preserve"> 'Wastewater TTT'!N$141</f>
        <v>0</v>
      </c>
      <c r="O15" s="201">
        <f xml:space="preserve"> 'Wastewater TTT'!O$141</f>
        <v>0</v>
      </c>
      <c r="P15" s="201">
        <f xml:space="preserve"> 'Wastewater TTT'!P$141</f>
        <v>0</v>
      </c>
      <c r="Q15" s="201">
        <f xml:space="preserve"> 'Wastewater TTT'!Q$141</f>
        <v>0</v>
      </c>
      <c r="R15" s="201">
        <f xml:space="preserve"> 'Wastewater TTT'!R$141</f>
        <v>0</v>
      </c>
      <c r="S15" s="201">
        <f xml:space="preserve"> 'Wastewater TTT'!S$141</f>
        <v>0</v>
      </c>
      <c r="T15" s="201">
        <f xml:space="preserve"> 'Wastewater TTT'!T$141</f>
        <v>0</v>
      </c>
      <c r="U15" s="201">
        <f xml:space="preserve"> 'Wastewater TTT'!U$141</f>
        <v>0</v>
      </c>
      <c r="V15" s="201">
        <f xml:space="preserve"> 'Wastewater TTT'!V$141</f>
        <v>0</v>
      </c>
      <c r="W15" s="201">
        <f xml:space="preserve"> 'Wastewater TTT'!W$141</f>
        <v>0</v>
      </c>
    </row>
    <row r="16" spans="1:23">
      <c r="J16" s="31"/>
      <c r="K16" s="31"/>
      <c r="L16" s="31"/>
      <c r="M16" s="31"/>
      <c r="N16" s="18"/>
      <c r="O16" s="18"/>
      <c r="P16" s="18"/>
      <c r="Q16" s="18"/>
      <c r="R16" s="18"/>
      <c r="S16" s="31"/>
      <c r="T16" s="31"/>
      <c r="U16" s="31"/>
      <c r="V16" s="31"/>
      <c r="W16" s="31"/>
    </row>
    <row r="17" spans="1:6" s="116" customFormat="1">
      <c r="A17" s="116" t="s">
        <v>219</v>
      </c>
      <c r="C17" s="117"/>
      <c r="D17" s="118"/>
      <c r="E17" s="117"/>
      <c r="F17" s="119"/>
    </row>
    <row r="18" spans="1:6"/>
    <row r="22" spans="1:6" hidden="1">
      <c r="C22" s="341" t="s">
        <v>26</v>
      </c>
    </row>
  </sheetData>
  <conditionalFormatting sqref="F2">
    <cfRule type="cellIs" dxfId="21" priority="3" stopIfTrue="1" operator="notEqual">
      <formula>0</formula>
    </cfRule>
    <cfRule type="cellIs" dxfId="20" priority="4" stopIfTrue="1" operator="equal">
      <formula>""</formula>
    </cfRule>
  </conditionalFormatting>
  <conditionalFormatting sqref="F3">
    <cfRule type="cellIs" dxfId="19" priority="1" stopIfTrue="1" operator="notEqual">
      <formula>0</formula>
    </cfRule>
    <cfRule type="cellIs" dxfId="18" priority="2" stopIfTrue="1" operator="equal">
      <formula>""</formula>
    </cfRule>
  </conditionalFormatting>
  <pageMargins left="0.7" right="0.7" top="0.75" bottom="0.75" header="0.3" footer="0.3"/>
  <pageSetup paperSize="9" scale="48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stopIfTrue="1" operator="equal" id="{CFC1AD14-7C14-4149-B502-9D940C81C2AC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7" stopIfTrue="1" operator="equal" id="{E2A3B4AA-E242-4F81-8788-ADC0EAC74415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6F9CEA9B-3576-422E-84A3-15334E67EAE4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A4EB-81B5-455E-87AB-5B92A4849B16}">
  <sheetPr codeName="Sheet1">
    <tabColor rgb="FFFFFF00"/>
  </sheetPr>
  <dimension ref="A1:F22"/>
  <sheetViews>
    <sheetView zoomScale="80" zoomScaleNormal="80" workbookViewId="0">
      <selection activeCell="C22" sqref="C22"/>
    </sheetView>
  </sheetViews>
  <sheetFormatPr defaultRowHeight="12.75"/>
  <cols>
    <col min="2" max="2" width="31.59765625" bestFit="1" customWidth="1"/>
    <col min="3" max="3" width="75.59765625" customWidth="1"/>
    <col min="5" max="5" width="20.59765625" customWidth="1"/>
  </cols>
  <sheetData>
    <row r="1" spans="1:6" ht="14.25">
      <c r="A1" s="438"/>
      <c r="B1" s="438"/>
      <c r="C1" s="438" t="s">
        <v>419</v>
      </c>
      <c r="D1" s="438"/>
      <c r="E1" s="438"/>
      <c r="F1" s="438"/>
    </row>
    <row r="2" spans="1:6" ht="14.25">
      <c r="A2" s="438" t="s">
        <v>420</v>
      </c>
      <c r="B2" s="438" t="s">
        <v>421</v>
      </c>
      <c r="C2" s="438" t="s">
        <v>422</v>
      </c>
      <c r="D2" s="438" t="s">
        <v>117</v>
      </c>
      <c r="E2" s="438" t="s">
        <v>423</v>
      </c>
      <c r="F2" s="438" t="s">
        <v>424</v>
      </c>
    </row>
    <row r="3" spans="1:6" ht="14.25">
      <c r="A3" s="438"/>
      <c r="B3" s="438"/>
      <c r="C3" s="438"/>
      <c r="D3" s="438"/>
      <c r="E3" s="438"/>
      <c r="F3" s="438"/>
    </row>
    <row r="4" spans="1:6" ht="14.25">
      <c r="B4" s="439" t="s">
        <v>425</v>
      </c>
      <c r="C4" s="439" t="s">
        <v>426</v>
      </c>
      <c r="D4" s="439" t="s">
        <v>77</v>
      </c>
      <c r="E4" s="440" t="s">
        <v>427</v>
      </c>
      <c r="F4">
        <f>Output!$H$11</f>
        <v>-14.237595081988367</v>
      </c>
    </row>
    <row r="5" spans="1:6" ht="14.25">
      <c r="B5" s="439" t="s">
        <v>428</v>
      </c>
      <c r="C5" s="439" t="s">
        <v>429</v>
      </c>
      <c r="D5" s="439" t="s">
        <v>77</v>
      </c>
      <c r="E5" s="440" t="s">
        <v>427</v>
      </c>
      <c r="F5">
        <f>Output!$H$9</f>
        <v>-19.419137969593148</v>
      </c>
    </row>
    <row r="6" spans="1:6" ht="14.25">
      <c r="B6" s="439" t="s">
        <v>430</v>
      </c>
      <c r="C6" s="439" t="s">
        <v>431</v>
      </c>
      <c r="D6" s="439" t="s">
        <v>77</v>
      </c>
      <c r="E6" s="440" t="s">
        <v>427</v>
      </c>
      <c r="F6">
        <f>Output!$H$13</f>
        <v>-1.6802752218646142</v>
      </c>
    </row>
    <row r="7" spans="1:6" ht="14.25">
      <c r="B7" s="439" t="s">
        <v>432</v>
      </c>
      <c r="C7" s="439" t="s">
        <v>433</v>
      </c>
      <c r="D7" s="439" t="s">
        <v>77</v>
      </c>
      <c r="E7" s="440" t="s">
        <v>427</v>
      </c>
      <c r="F7">
        <f>Output!$H$15</f>
        <v>0</v>
      </c>
    </row>
    <row r="8" spans="1:6" ht="14.25">
      <c r="B8" s="439" t="s">
        <v>434</v>
      </c>
      <c r="C8" s="439" t="s">
        <v>435</v>
      </c>
      <c r="D8" s="439" t="s">
        <v>436</v>
      </c>
      <c r="E8" s="440" t="s">
        <v>427</v>
      </c>
      <c r="F8" t="str">
        <f ca="1">CONCATENATE("[…]", TEXT(NOW(),"dd/mm/yyy hh:mm:ss"))</f>
        <v>[…]10/12/2024 16:34:25</v>
      </c>
    </row>
    <row r="9" spans="1:6" ht="14.25">
      <c r="B9" s="439" t="s">
        <v>437</v>
      </c>
      <c r="C9" s="439" t="s">
        <v>438</v>
      </c>
      <c r="D9" s="439" t="s">
        <v>436</v>
      </c>
      <c r="E9" s="440" t="s">
        <v>427</v>
      </c>
      <c r="F9" t="str">
        <f ca="1">MID(CELL("filename"),SEARCH("[",CELL("filename"))+1,SEARCH("]",CELL("filename"))-SEARCH("[",CELL("filename"))-1)</f>
        <v>WSH PR24PD05.xlsx</v>
      </c>
    </row>
    <row r="10" spans="1:6" ht="14.25">
      <c r="B10" s="439" t="s">
        <v>439</v>
      </c>
      <c r="C10" s="439" t="s">
        <v>440</v>
      </c>
      <c r="D10" s="439" t="s">
        <v>436</v>
      </c>
      <c r="E10" s="440" t="s">
        <v>427</v>
      </c>
      <c r="F10" t="s">
        <v>83</v>
      </c>
    </row>
    <row r="11" spans="1:6" ht="14.25">
      <c r="B11" s="439" t="s">
        <v>441</v>
      </c>
      <c r="C11" s="439" t="s">
        <v>442</v>
      </c>
      <c r="D11" s="439" t="s">
        <v>443</v>
      </c>
      <c r="E11" s="440" t="s">
        <v>427</v>
      </c>
      <c r="F11">
        <v>0</v>
      </c>
    </row>
    <row r="22" spans="3:3">
      <c r="C22" s="341" t="s">
        <v>26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CC93-773B-4762-8B4A-0E1BD473E9D0}">
  <sheetPr codeName="Sheet4">
    <tabColor rgb="FFCCFFFF"/>
    <outlinePr summaryBelow="0" summaryRight="0"/>
    <pageSetUpPr fitToPage="1"/>
  </sheetPr>
  <dimension ref="A1:W36"/>
  <sheetViews>
    <sheetView showGridLines="0" zoomScale="80" zoomScaleNormal="80" workbookViewId="0">
      <pane xSplit="9" ySplit="5" topLeftCell="J24" activePane="bottomRight" state="frozen"/>
      <selection pane="topRight" activeCell="C22" sqref="C22"/>
      <selection pane="bottomLeft" activeCell="C22" sqref="C22"/>
      <selection pane="bottomRight" activeCell="C22" sqref="C22"/>
    </sheetView>
  </sheetViews>
  <sheetFormatPr defaultColWidth="0" defaultRowHeight="13.15"/>
  <cols>
    <col min="1" max="2" width="1.3984375" style="61" customWidth="1"/>
    <col min="3" max="3" width="1.3984375" style="108" customWidth="1"/>
    <col min="4" max="4" width="1.3984375" style="55" customWidth="1"/>
    <col min="5" max="5" width="68.59765625" bestFit="1" customWidth="1"/>
    <col min="6" max="6" width="12.59765625" customWidth="1"/>
    <col min="7" max="7" width="11.59765625" customWidth="1"/>
    <col min="8" max="8" width="15.59765625" customWidth="1"/>
    <col min="9" max="9" width="2.59765625" customWidth="1"/>
    <col min="10" max="23" width="12.59765625" customWidth="1"/>
    <col min="24" max="24" width="0" hidden="1" customWidth="1"/>
  </cols>
  <sheetData>
    <row r="1" spans="1:23" ht="29.65">
      <c r="A1" s="211" t="str">
        <f ca="1" xml:space="preserve"> RIGHT(CELL("filename", $A$1), LEN(CELL("filename", $A$1)) - SEARCH("]", CELL("filename", $A$1)))</f>
        <v>Check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F$9</f>
        <v>0</v>
      </c>
      <c r="G2" s="107" t="str">
        <f xml:space="preserve"> 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F$24</f>
        <v>2</v>
      </c>
      <c r="G3" s="107" t="str">
        <f xml:space="preserve"> 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116</v>
      </c>
      <c r="G5" s="158" t="s">
        <v>117</v>
      </c>
      <c r="H5" s="48" t="s">
        <v>118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>
      <c r="J6" s="31"/>
      <c r="K6" s="31"/>
      <c r="L6" s="31"/>
      <c r="M6" s="31"/>
      <c r="N6" s="18"/>
      <c r="O6" s="18"/>
      <c r="P6" s="18"/>
      <c r="Q6" s="18"/>
      <c r="R6" s="18"/>
      <c r="S6" s="31"/>
      <c r="T6" s="31"/>
      <c r="U6" s="31"/>
      <c r="V6" s="31"/>
      <c r="W6" s="31"/>
    </row>
    <row r="7" spans="1:23" s="5" customFormat="1">
      <c r="A7" s="113" t="s">
        <v>444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J8" s="31"/>
      <c r="K8" s="31"/>
      <c r="L8" s="31"/>
      <c r="M8" s="31"/>
      <c r="N8" s="18"/>
      <c r="O8" s="18"/>
      <c r="P8" s="18"/>
      <c r="Q8" s="18"/>
      <c r="R8" s="18"/>
      <c r="S8" s="31"/>
      <c r="T8" s="31"/>
      <c r="U8" s="31"/>
      <c r="V8" s="31"/>
      <c r="W8" s="31"/>
    </row>
    <row r="9" spans="1:23">
      <c r="E9" t="s">
        <v>445</v>
      </c>
      <c r="F9" s="244">
        <f xml:space="preserve"> SUM(F11:F20)</f>
        <v>0</v>
      </c>
      <c r="G9" t="s">
        <v>446</v>
      </c>
      <c r="J9" s="31"/>
      <c r="K9" s="31"/>
      <c r="L9" s="31"/>
      <c r="M9" s="31"/>
      <c r="N9" s="18"/>
      <c r="O9" s="18"/>
      <c r="P9" s="18"/>
      <c r="Q9" s="18"/>
      <c r="R9" s="18"/>
      <c r="S9" s="31"/>
      <c r="T9" s="31"/>
      <c r="U9" s="31"/>
      <c r="V9" s="31"/>
      <c r="W9" s="31"/>
    </row>
    <row r="10" spans="1:23">
      <c r="J10" s="31"/>
      <c r="K10" s="31"/>
      <c r="L10" s="31"/>
      <c r="M10" s="31"/>
      <c r="N10" s="18"/>
      <c r="O10" s="18"/>
      <c r="P10" s="18"/>
      <c r="Q10" s="18"/>
      <c r="R10" s="18"/>
      <c r="S10" s="31"/>
      <c r="T10" s="31"/>
      <c r="U10" s="31"/>
      <c r="V10" s="31"/>
      <c r="W10" s="31"/>
    </row>
    <row r="11" spans="1:23">
      <c r="A11" s="240"/>
      <c r="B11" s="236"/>
      <c r="C11" s="241"/>
      <c r="D11" s="242"/>
      <c r="E11" s="243" t="s">
        <v>447</v>
      </c>
      <c r="F11" s="243" t="s">
        <v>448</v>
      </c>
      <c r="G11" s="243"/>
      <c r="H11" s="237"/>
      <c r="I11" s="235"/>
      <c r="J11" s="239"/>
      <c r="K11" s="239"/>
      <c r="L11" s="239"/>
      <c r="M11" s="239"/>
      <c r="N11" s="238"/>
      <c r="O11" s="238"/>
      <c r="P11" s="238"/>
      <c r="Q11" s="238"/>
      <c r="R11" s="238"/>
      <c r="S11" s="239"/>
      <c r="T11" s="239"/>
      <c r="U11" s="239"/>
      <c r="V11" s="239"/>
      <c r="W11" s="239"/>
    </row>
    <row r="12" spans="1:23">
      <c r="J12" s="31"/>
      <c r="K12" s="31"/>
      <c r="L12" s="31"/>
      <c r="M12" s="31"/>
      <c r="N12" s="18"/>
      <c r="O12" s="18"/>
      <c r="P12" s="18"/>
      <c r="Q12" s="18"/>
      <c r="R12" s="18"/>
      <c r="S12" s="31"/>
      <c r="T12" s="31"/>
      <c r="U12" s="31"/>
      <c r="V12" s="31"/>
      <c r="W12" s="31"/>
    </row>
    <row r="13" spans="1:23">
      <c r="E13" s="168" t="str">
        <f xml:space="preserve"> Inputs!E$114</f>
        <v>Blind year profiling factor - Water-N+ - Validation</v>
      </c>
      <c r="F13" s="244">
        <f xml:space="preserve"> Inputs!F$114</f>
        <v>0</v>
      </c>
      <c r="G13" s="111" t="str">
        <f xml:space="preserve"> Inputs!G$114</f>
        <v>Check</v>
      </c>
      <c r="J13" s="31"/>
      <c r="K13" s="31"/>
      <c r="L13" s="31"/>
      <c r="M13" s="31"/>
      <c r="N13" s="18"/>
      <c r="O13" s="18"/>
      <c r="P13" s="18"/>
      <c r="Q13" s="18"/>
      <c r="R13" s="18"/>
      <c r="S13" s="31"/>
      <c r="T13" s="31"/>
      <c r="U13" s="31"/>
      <c r="V13" s="31"/>
      <c r="W13" s="31"/>
    </row>
    <row r="14" spans="1:23">
      <c r="E14" s="168" t="str">
        <f xml:space="preserve"> Inputs!E$132</f>
        <v>Blind year profiling factor - WW-N+ - Validation</v>
      </c>
      <c r="F14" s="244">
        <f xml:space="preserve"> Inputs!F$132</f>
        <v>0</v>
      </c>
      <c r="G14" s="111" t="str">
        <f xml:space="preserve"> Inputs!G$132</f>
        <v>Check</v>
      </c>
      <c r="J14" s="31"/>
      <c r="K14" s="31"/>
      <c r="L14" s="31"/>
      <c r="M14" s="31"/>
      <c r="N14" s="18"/>
      <c r="O14" s="18"/>
      <c r="P14" s="18"/>
      <c r="Q14" s="18"/>
      <c r="R14" s="18"/>
      <c r="S14" s="31"/>
      <c r="T14" s="31"/>
      <c r="U14" s="31"/>
      <c r="V14" s="31"/>
      <c r="W14" s="31"/>
    </row>
    <row r="15" spans="1:23">
      <c r="E15" s="168" t="str">
        <f xml:space="preserve"> Inputs!E$150</f>
        <v>Blind year profiling factor - WW-TTT - Validation</v>
      </c>
      <c r="F15" s="244">
        <f xml:space="preserve"> Inputs!F$150</f>
        <v>0</v>
      </c>
      <c r="G15" s="111" t="str">
        <f xml:space="preserve"> Inputs!G$150</f>
        <v>Check</v>
      </c>
      <c r="J15" s="31"/>
      <c r="K15" s="31"/>
      <c r="L15" s="31"/>
      <c r="M15" s="31"/>
      <c r="N15" s="18"/>
      <c r="O15" s="18"/>
      <c r="P15" s="18"/>
      <c r="Q15" s="18"/>
      <c r="R15" s="18"/>
      <c r="S15" s="31"/>
      <c r="T15" s="31"/>
      <c r="U15" s="31"/>
      <c r="V15" s="31"/>
      <c r="W15" s="31"/>
    </row>
    <row r="16" spans="1:23">
      <c r="E16" s="168" t="str">
        <f>Time!E$119</f>
        <v>Modelling period check</v>
      </c>
      <c r="F16" s="244">
        <f>Time!F$119</f>
        <v>0</v>
      </c>
      <c r="G16" s="111" t="str">
        <f>Time!G$119</f>
        <v>check</v>
      </c>
      <c r="J16" s="31"/>
      <c r="K16" s="31"/>
      <c r="L16" s="31"/>
      <c r="M16" s="31"/>
      <c r="N16" s="18"/>
      <c r="O16" s="18"/>
      <c r="P16" s="18"/>
      <c r="Q16" s="18"/>
      <c r="R16" s="18"/>
      <c r="S16" s="31"/>
      <c r="T16" s="31"/>
      <c r="U16" s="31"/>
      <c r="V16" s="31"/>
      <c r="W16" s="31"/>
    </row>
    <row r="17" spans="1:23">
      <c r="J17" s="31"/>
      <c r="K17" s="31"/>
      <c r="L17" s="31"/>
      <c r="M17" s="31"/>
      <c r="N17" s="18"/>
      <c r="O17" s="18"/>
      <c r="P17" s="18"/>
      <c r="Q17" s="18"/>
      <c r="R17" s="18"/>
      <c r="S17" s="31"/>
      <c r="T17" s="31"/>
      <c r="U17" s="31"/>
      <c r="V17" s="31"/>
      <c r="W17" s="31"/>
    </row>
    <row r="18" spans="1:23">
      <c r="J18" s="31"/>
      <c r="K18" s="31"/>
      <c r="L18" s="31"/>
      <c r="M18" s="31"/>
      <c r="N18" s="18"/>
      <c r="O18" s="18"/>
      <c r="P18" s="18"/>
      <c r="Q18" s="18"/>
      <c r="R18" s="18"/>
      <c r="S18" s="31"/>
      <c r="T18" s="31"/>
      <c r="U18" s="31"/>
      <c r="V18" s="31"/>
      <c r="W18" s="31"/>
    </row>
    <row r="19" spans="1:23">
      <c r="J19" s="31"/>
      <c r="K19" s="31"/>
      <c r="L19" s="31"/>
      <c r="M19" s="31"/>
      <c r="N19" s="18"/>
      <c r="O19" s="18"/>
      <c r="P19" s="18"/>
      <c r="Q19" s="18"/>
      <c r="R19" s="18"/>
      <c r="S19" s="31"/>
      <c r="T19" s="31"/>
      <c r="U19" s="31"/>
      <c r="V19" s="31"/>
      <c r="W19" s="31"/>
    </row>
    <row r="20" spans="1:23">
      <c r="A20" s="240"/>
      <c r="B20" s="236"/>
      <c r="C20" s="241"/>
      <c r="D20" s="242"/>
      <c r="E20" s="243" t="s">
        <v>447</v>
      </c>
      <c r="F20" s="243" t="s">
        <v>449</v>
      </c>
      <c r="G20" s="243"/>
      <c r="H20" s="237"/>
      <c r="I20" s="235"/>
      <c r="J20" s="239"/>
      <c r="K20" s="239"/>
      <c r="L20" s="239"/>
      <c r="M20" s="239"/>
      <c r="N20" s="238"/>
      <c r="O20" s="238"/>
      <c r="P20" s="238"/>
      <c r="Q20" s="238"/>
      <c r="R20" s="238"/>
      <c r="S20" s="239"/>
      <c r="T20" s="239"/>
      <c r="U20" s="239"/>
      <c r="V20" s="239"/>
      <c r="W20" s="239"/>
    </row>
    <row r="21" spans="1:23">
      <c r="J21" s="212"/>
      <c r="K21" s="212"/>
      <c r="L21" s="212"/>
      <c r="M21" s="212"/>
      <c r="N21" s="213"/>
      <c r="O21" s="213"/>
      <c r="P21" s="213"/>
      <c r="Q21" s="213"/>
      <c r="R21" s="213"/>
      <c r="S21" s="212"/>
      <c r="T21" s="212"/>
      <c r="U21" s="212"/>
      <c r="V21" s="212"/>
      <c r="W21" s="212"/>
    </row>
    <row r="22" spans="1:23" s="5" customFormat="1">
      <c r="A22" s="113" t="s">
        <v>450</v>
      </c>
      <c r="B22" s="113"/>
      <c r="C22" s="341" t="s">
        <v>26</v>
      </c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</row>
    <row r="23" spans="1:23">
      <c r="J23" s="212"/>
      <c r="K23" s="212"/>
      <c r="L23" s="212"/>
      <c r="M23" s="212"/>
      <c r="N23" s="213"/>
      <c r="O23" s="213"/>
      <c r="P23" s="213"/>
      <c r="Q23" s="213"/>
      <c r="R23" s="213"/>
      <c r="S23" s="212"/>
      <c r="T23" s="212"/>
      <c r="U23" s="212"/>
      <c r="V23" s="212"/>
      <c r="W23" s="212"/>
    </row>
    <row r="24" spans="1:23">
      <c r="E24" s="33" t="s">
        <v>451</v>
      </c>
      <c r="F24" s="156">
        <f xml:space="preserve"> SUM(F26:F34)</f>
        <v>2</v>
      </c>
      <c r="G24" s="33" t="s">
        <v>452</v>
      </c>
      <c r="H24" s="168"/>
      <c r="I24" s="168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</row>
    <row r="25" spans="1:23">
      <c r="E25" s="168"/>
      <c r="F25" s="168"/>
      <c r="G25" s="168"/>
      <c r="H25" s="168"/>
      <c r="I25" s="168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</row>
    <row r="26" spans="1:23">
      <c r="A26" s="240"/>
      <c r="B26" s="236"/>
      <c r="C26" s="241"/>
      <c r="D26" s="242"/>
      <c r="E26" s="243" t="s">
        <v>447</v>
      </c>
      <c r="F26" s="243" t="s">
        <v>448</v>
      </c>
      <c r="G26" s="243"/>
      <c r="H26" s="237"/>
      <c r="I26" s="235"/>
      <c r="J26" s="239"/>
      <c r="K26" s="239"/>
      <c r="L26" s="239"/>
      <c r="M26" s="239"/>
      <c r="N26" s="238"/>
      <c r="O26" s="238"/>
      <c r="P26" s="238"/>
      <c r="Q26" s="238"/>
      <c r="R26" s="238"/>
      <c r="S26" s="239"/>
      <c r="T26" s="239"/>
      <c r="U26" s="239"/>
      <c r="V26" s="239"/>
      <c r="W26" s="239"/>
    </row>
    <row r="27" spans="1:23">
      <c r="J27" s="31"/>
      <c r="K27" s="31"/>
      <c r="L27" s="31"/>
      <c r="M27" s="31"/>
      <c r="N27" s="18"/>
      <c r="O27" s="18"/>
      <c r="P27" s="18"/>
      <c r="Q27" s="18"/>
      <c r="R27" s="18"/>
      <c r="S27" s="31"/>
      <c r="T27" s="31"/>
      <c r="U27" s="31"/>
      <c r="V27" s="31"/>
      <c r="W27" s="31"/>
    </row>
    <row r="28" spans="1:23">
      <c r="E28" s="111" t="str">
        <f xml:space="preserve"> 'Wholesale Water'!E$181</f>
        <v>Performance variance level alert - Wholesale Water</v>
      </c>
      <c r="F28" s="156">
        <f xml:space="preserve"> 'Wholesale Water'!F$181</f>
        <v>1</v>
      </c>
      <c r="G28" s="111" t="str">
        <f xml:space="preserve"> 'Wholesale Water'!G$181</f>
        <v>alert</v>
      </c>
      <c r="J28" s="31"/>
      <c r="K28" s="31"/>
      <c r="L28" s="31"/>
      <c r="M28" s="31"/>
      <c r="N28" s="18"/>
      <c r="O28" s="18"/>
      <c r="P28" s="18"/>
      <c r="Q28" s="18"/>
      <c r="R28" s="18"/>
      <c r="S28" s="31"/>
      <c r="T28" s="31"/>
      <c r="U28" s="31"/>
      <c r="V28" s="31"/>
      <c r="W28" s="31"/>
    </row>
    <row r="29" spans="1:23">
      <c r="E29" s="111" t="str">
        <f xml:space="preserve"> 'Wastewater Network-Plus'!E$104</f>
        <v>Performance variance level alert - WW-N+</v>
      </c>
      <c r="F29" s="156">
        <f xml:space="preserve"> 'Wastewater Network-Plus'!F$104</f>
        <v>1</v>
      </c>
      <c r="G29" s="111" t="str">
        <f xml:space="preserve"> 'Wastewater Network-Plus'!G$104</f>
        <v>alert</v>
      </c>
      <c r="J29" s="31"/>
      <c r="K29" s="31"/>
      <c r="L29" s="31"/>
      <c r="M29" s="31"/>
      <c r="N29" s="18"/>
      <c r="O29" s="18"/>
      <c r="P29" s="18"/>
      <c r="Q29" s="18"/>
      <c r="R29" s="18"/>
      <c r="S29" s="31"/>
      <c r="T29" s="31"/>
      <c r="U29" s="31"/>
      <c r="V29" s="31"/>
      <c r="W29" s="31"/>
    </row>
    <row r="30" spans="1:23">
      <c r="E30" s="111" t="str">
        <f xml:space="preserve"> 'Wastewater TTT'!E$101</f>
        <v>Performance variance level alert - WW-TTT</v>
      </c>
      <c r="F30" s="156">
        <f xml:space="preserve"> 'Wastewater TTT'!F$101</f>
        <v>0</v>
      </c>
      <c r="G30" s="111" t="str">
        <f xml:space="preserve"> 'Wastewater TTT'!G$101</f>
        <v>alert</v>
      </c>
      <c r="J30" s="31"/>
      <c r="K30" s="31"/>
      <c r="L30" s="31"/>
      <c r="M30" s="31"/>
      <c r="N30" s="18"/>
      <c r="O30" s="18"/>
      <c r="P30" s="18"/>
      <c r="Q30" s="18"/>
      <c r="R30" s="18"/>
      <c r="S30" s="31"/>
      <c r="T30" s="31"/>
      <c r="U30" s="31"/>
      <c r="V30" s="31"/>
      <c r="W30" s="31"/>
    </row>
    <row r="31" spans="1:23">
      <c r="E31" s="111" t="str">
        <f>'Wholesale Water'!E166</f>
        <v>Penalty adjustment does not exceed penalty amount (Wholesale Water)</v>
      </c>
      <c r="F31" s="156">
        <f>'Wholesale Water'!F166</f>
        <v>0</v>
      </c>
      <c r="G31" s="111" t="str">
        <f>'Wholesale Water'!G166</f>
        <v>alert</v>
      </c>
      <c r="J31" s="31"/>
      <c r="K31" s="31"/>
      <c r="L31" s="31"/>
      <c r="M31" s="31"/>
      <c r="N31" s="18"/>
      <c r="O31" s="18"/>
      <c r="P31" s="18"/>
      <c r="Q31" s="18"/>
      <c r="R31" s="18"/>
      <c r="S31" s="31"/>
      <c r="T31" s="31"/>
      <c r="U31" s="31"/>
      <c r="V31" s="31"/>
      <c r="W31" s="31"/>
    </row>
    <row r="32" spans="1:23">
      <c r="E32" s="111" t="str">
        <f>'Wastewater Network-Plus'!E89</f>
        <v>Penalty adjustment does not exceed penalty amount (Wastewater Network-Plus)</v>
      </c>
      <c r="F32" s="156">
        <f>'Wastewater Network-Plus'!F89</f>
        <v>0</v>
      </c>
      <c r="G32" s="111" t="str">
        <f>'Wastewater Network-Plus'!G89</f>
        <v>alert</v>
      </c>
      <c r="J32" s="31"/>
      <c r="K32" s="31"/>
      <c r="L32" s="31"/>
      <c r="M32" s="31"/>
      <c r="N32" s="18"/>
      <c r="O32" s="18"/>
      <c r="P32" s="18"/>
      <c r="Q32" s="18"/>
      <c r="R32" s="18"/>
      <c r="S32" s="31"/>
      <c r="T32" s="31"/>
      <c r="U32" s="31"/>
      <c r="V32" s="31"/>
      <c r="W32" s="31"/>
    </row>
    <row r="33" spans="1:23">
      <c r="J33" s="31"/>
      <c r="K33" s="31"/>
      <c r="L33" s="31"/>
      <c r="M33" s="31"/>
      <c r="N33" s="18"/>
      <c r="O33" s="18"/>
      <c r="P33" s="18"/>
      <c r="Q33" s="18"/>
      <c r="R33" s="18"/>
      <c r="S33" s="31"/>
      <c r="T33" s="31"/>
      <c r="U33" s="31"/>
      <c r="V33" s="31"/>
      <c r="W33" s="31"/>
    </row>
    <row r="34" spans="1:23">
      <c r="A34" s="240"/>
      <c r="B34" s="236"/>
      <c r="C34" s="241"/>
      <c r="D34" s="242"/>
      <c r="E34" s="243" t="s">
        <v>447</v>
      </c>
      <c r="F34" s="243" t="s">
        <v>449</v>
      </c>
      <c r="G34" s="243"/>
      <c r="H34" s="237"/>
      <c r="I34" s="235"/>
      <c r="J34" s="239"/>
      <c r="K34" s="239"/>
      <c r="L34" s="239"/>
      <c r="M34" s="239"/>
      <c r="N34" s="238"/>
      <c r="O34" s="238"/>
      <c r="P34" s="238"/>
      <c r="Q34" s="238"/>
      <c r="R34" s="238"/>
      <c r="S34" s="239"/>
      <c r="T34" s="239"/>
      <c r="U34" s="239"/>
      <c r="V34" s="239"/>
      <c r="W34" s="239"/>
    </row>
    <row r="35" spans="1:23">
      <c r="J35" s="31"/>
      <c r="K35" s="31"/>
      <c r="L35" s="31"/>
      <c r="M35" s="31"/>
      <c r="N35" s="18"/>
      <c r="O35" s="18"/>
      <c r="P35" s="18"/>
      <c r="Q35" s="18"/>
      <c r="R35" s="18"/>
      <c r="S35" s="31"/>
      <c r="T35" s="31"/>
      <c r="U35" s="31"/>
      <c r="V35" s="31"/>
      <c r="W35" s="31"/>
    </row>
    <row r="36" spans="1:23" s="116" customFormat="1">
      <c r="A36" s="116" t="s">
        <v>219</v>
      </c>
      <c r="C36" s="117"/>
      <c r="D36" s="118"/>
      <c r="E36" s="117"/>
      <c r="F36" s="119"/>
    </row>
  </sheetData>
  <conditionalFormatting sqref="F2">
    <cfRule type="cellIs" dxfId="14" priority="3" stopIfTrue="1" operator="notEqual">
      <formula>0</formula>
    </cfRule>
    <cfRule type="cellIs" dxfId="13" priority="4" stopIfTrue="1" operator="equal">
      <formula>""</formula>
    </cfRule>
  </conditionalFormatting>
  <conditionalFormatting sqref="F3">
    <cfRule type="cellIs" dxfId="12" priority="1" stopIfTrue="1" operator="notEqual">
      <formula>0</formula>
    </cfRule>
    <cfRule type="cellIs" dxfId="11" priority="2" stopIfTrue="1" operator="equal">
      <formula>""</formula>
    </cfRule>
  </conditionalFormatting>
  <conditionalFormatting sqref="F9">
    <cfRule type="cellIs" dxfId="10" priority="9" stopIfTrue="1" operator="notEqual">
      <formula>0</formula>
    </cfRule>
    <cfRule type="cellIs" dxfId="9" priority="10" stopIfTrue="1" operator="equal">
      <formula>""</formula>
    </cfRule>
  </conditionalFormatting>
  <conditionalFormatting sqref="F13:F16">
    <cfRule type="cellIs" dxfId="8" priority="21" stopIfTrue="1" operator="notEqual">
      <formula>0</formula>
    </cfRule>
    <cfRule type="cellIs" dxfId="7" priority="22" stopIfTrue="1" operator="equal">
      <formula>""</formula>
    </cfRule>
  </conditionalFormatting>
  <conditionalFormatting sqref="F24">
    <cfRule type="cellIs" dxfId="6" priority="5" stopIfTrue="1" operator="notEqual">
      <formula>0</formula>
    </cfRule>
    <cfRule type="cellIs" dxfId="5" priority="6" stopIfTrue="1" operator="equal">
      <formula>""</formula>
    </cfRule>
  </conditionalFormatting>
  <conditionalFormatting sqref="F28:F32">
    <cfRule type="cellIs" dxfId="4" priority="11" stopIfTrue="1" operator="notEqual">
      <formula>0</formula>
    </cfRule>
    <cfRule type="cellIs" dxfId="3" priority="12" stopIfTrue="1" operator="equal">
      <formula>""</formula>
    </cfRule>
  </conditionalFormatting>
  <pageMargins left="0.7" right="0.7" top="0.75" bottom="0.75" header="0.3" footer="0.3"/>
  <pageSetup paperSize="9" scale="48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0" stopIfTrue="1" operator="equal" id="{F67BACB4-8626-4335-87F2-65E7346CF828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31" stopIfTrue="1" operator="equal" id="{18E51C71-BCA3-472E-9FC9-AD74F05B6741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29" operator="equal" id="{7633A5A4-F082-4436-A43B-6911C06A41FA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6506-DC3F-4ABC-99FB-F82B853936ED}">
  <sheetPr>
    <tabColor theme="3"/>
    <outlinePr summaryBelow="0" summaryRight="0"/>
  </sheetPr>
  <dimension ref="A1:XFC91"/>
  <sheetViews>
    <sheetView showGridLines="0" tabSelected="1" zoomScale="80" zoomScaleNormal="80" workbookViewId="0">
      <selection activeCell="B36" sqref="B36"/>
    </sheetView>
  </sheetViews>
  <sheetFormatPr defaultColWidth="9.1328125" defaultRowHeight="0" customHeight="1" zeroHeight="1"/>
  <cols>
    <col min="1" max="1" width="8.73046875" style="480" customWidth="1"/>
    <col min="2" max="2" width="65.86328125" style="480" bestFit="1" customWidth="1"/>
    <col min="3" max="3" width="15.3984375" style="480" customWidth="1"/>
    <col min="4" max="11" width="9.1328125" style="480" customWidth="1"/>
    <col min="12" max="13" width="9.1328125" style="480" hidden="1" customWidth="1"/>
    <col min="14" max="16383" width="0" style="480" hidden="1" customWidth="1"/>
    <col min="16384" max="16384" width="9.3984375" style="480" hidden="1" customWidth="1"/>
  </cols>
  <sheetData>
    <row r="1" spans="1:10" ht="30.75">
      <c r="A1" s="478" t="str">
        <f ca="1" xml:space="preserve"> RIGHT(CELL("filename", $A$1), LEN(CELL("filename", $A$1)) - SEARCH("]", CELL("filename", $A$1)))</f>
        <v>Cover</v>
      </c>
      <c r="B1" s="478"/>
      <c r="C1" s="479"/>
      <c r="D1" s="479"/>
      <c r="E1" s="479"/>
      <c r="F1" s="479"/>
      <c r="G1" s="479"/>
      <c r="H1" s="479"/>
      <c r="I1" s="479"/>
      <c r="J1" s="479"/>
    </row>
    <row r="2" spans="1:10" ht="13.15"/>
    <row r="3" spans="1:10" s="481" customFormat="1" ht="23.25">
      <c r="B3" s="482" t="s">
        <v>454</v>
      </c>
    </row>
    <row r="4" spans="1:10" ht="13.15"/>
    <row r="5" spans="1:10" ht="13.15">
      <c r="B5" s="480" t="s">
        <v>455</v>
      </c>
      <c r="C5" s="483" t="s">
        <v>456</v>
      </c>
    </row>
    <row r="6" spans="1:10" ht="13.15">
      <c r="B6" s="480" t="s">
        <v>24</v>
      </c>
      <c r="C6" s="483">
        <v>1.1000000000000001</v>
      </c>
    </row>
    <row r="7" spans="1:10" ht="13.15">
      <c r="B7" s="480" t="s">
        <v>457</v>
      </c>
      <c r="C7" s="484" t="str">
        <f ca="1" xml:space="preserve"> MID(CELL("filename"), FIND("[", CELL("filename"), 1) + 1, FIND("]", CELL("filename"), 1) - FIND("[", CELL("filename"), 1) - 1)</f>
        <v>WSH PR24PD05.xlsx</v>
      </c>
    </row>
    <row r="8" spans="1:10" ht="13.15">
      <c r="B8" s="480" t="s">
        <v>25</v>
      </c>
      <c r="C8" s="485">
        <v>45627</v>
      </c>
    </row>
    <row r="9" spans="1:10" ht="13.15"/>
    <row r="10" spans="1:10" ht="13.5">
      <c r="B10" s="480" t="s">
        <v>458</v>
      </c>
      <c r="C10" s="486" t="s">
        <v>459</v>
      </c>
    </row>
    <row r="11" spans="1:10" ht="13.15">
      <c r="C11" s="487"/>
    </row>
    <row r="12" spans="1:10" ht="13.15"/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ht="13.15"/>
    <row r="34" ht="13.15"/>
    <row r="35" ht="13.15"/>
    <row r="36" ht="13.15"/>
    <row r="37" ht="13.15" hidden="1"/>
    <row r="38" ht="13.15" hidden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</sheetData>
  <hyperlinks>
    <hyperlink ref="C10" r:id="rId1" xr:uid="{3FF2CBF9-DA09-4613-8407-99311474204B}"/>
  </hyperlinks>
  <pageMargins left="0.7" right="0.7" top="0.75" bottom="0.75" header="0.3" footer="0.3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88AF2-B38C-4AFB-8868-0A6818B01D00}">
  <sheetPr codeName="Sheet9">
    <tabColor theme="0" tint="-0.14999847407452621"/>
    <pageSetUpPr fitToPage="1"/>
  </sheetPr>
  <dimension ref="A1:XFC96"/>
  <sheetViews>
    <sheetView topLeftCell="A7" zoomScale="80" zoomScaleNormal="80" workbookViewId="0">
      <selection activeCell="C22" sqref="C22"/>
    </sheetView>
  </sheetViews>
  <sheetFormatPr defaultColWidth="0" defaultRowHeight="14.25" customHeight="1" zeroHeight="1"/>
  <cols>
    <col min="1" max="4" width="2.73046875" style="340" customWidth="1"/>
    <col min="5" max="5" width="35.86328125" style="340" bestFit="1" customWidth="1"/>
    <col min="6" max="6" width="8.73046875" style="340" customWidth="1"/>
    <col min="7" max="7" width="43.3984375" style="340" bestFit="1" customWidth="1"/>
    <col min="8" max="9" width="9.86328125" style="340" customWidth="1"/>
    <col min="10" max="16383" width="9.86328125" style="340" hidden="1"/>
    <col min="16384" max="16384" width="2.1328125" style="340" hidden="1"/>
  </cols>
  <sheetData>
    <row r="1" spans="1:9" ht="25.15">
      <c r="A1" s="345" t="str">
        <f ca="1" xml:space="preserve"> RIGHT(CELL("filename", $A$1), LEN(CELL("filename", $A$1)) - SEARCH("]", CELL("filename", $A$1)))</f>
        <v>Model formatting</v>
      </c>
      <c r="B1" s="345"/>
      <c r="C1" s="345"/>
      <c r="D1" s="345"/>
      <c r="E1" s="345"/>
      <c r="F1" s="345"/>
      <c r="G1" s="345"/>
      <c r="H1" s="345"/>
      <c r="I1" s="345"/>
    </row>
    <row r="2" spans="1:9" ht="13.5">
      <c r="A2" s="346"/>
      <c r="B2" s="347"/>
      <c r="C2" s="348"/>
      <c r="D2" s="348"/>
    </row>
    <row r="3" spans="1:9" ht="13.5">
      <c r="A3" s="346"/>
      <c r="B3" s="347"/>
      <c r="C3" s="348"/>
      <c r="D3" s="348"/>
    </row>
    <row r="4" spans="1:9" ht="13.5">
      <c r="A4" s="365" t="s">
        <v>29</v>
      </c>
      <c r="B4" s="365"/>
      <c r="C4" s="366"/>
      <c r="D4" s="367"/>
      <c r="E4" s="365"/>
      <c r="F4" s="365"/>
      <c r="G4" s="365"/>
      <c r="H4" s="365"/>
      <c r="I4" s="365"/>
    </row>
    <row r="5" spans="1:9" ht="13.5">
      <c r="A5" s="368"/>
      <c r="B5" s="368"/>
      <c r="C5" s="369"/>
      <c r="D5" s="351"/>
      <c r="E5" s="350"/>
      <c r="F5" s="350"/>
      <c r="G5" s="350"/>
      <c r="H5" s="350"/>
      <c r="I5" s="350"/>
    </row>
    <row r="6" spans="1:9" ht="13.5">
      <c r="A6" s="368"/>
      <c r="B6" s="368"/>
      <c r="C6" s="369"/>
      <c r="D6" s="351"/>
      <c r="E6" s="370" t="s">
        <v>30</v>
      </c>
      <c r="F6" s="350"/>
      <c r="G6" s="350" t="s">
        <v>31</v>
      </c>
      <c r="H6" s="350"/>
      <c r="I6" s="350"/>
    </row>
    <row r="7" spans="1:9" ht="13.5">
      <c r="A7" s="368"/>
      <c r="B7" s="368"/>
      <c r="C7" s="369"/>
      <c r="D7" s="351"/>
      <c r="E7" s="371"/>
      <c r="F7" s="350"/>
      <c r="G7" s="350"/>
      <c r="H7" s="350"/>
      <c r="I7" s="350"/>
    </row>
    <row r="8" spans="1:9" ht="13.5">
      <c r="A8" s="368"/>
      <c r="B8" s="368"/>
      <c r="C8" s="369"/>
      <c r="D8" s="351"/>
      <c r="E8" s="372" t="s">
        <v>32</v>
      </c>
      <c r="F8" s="350"/>
      <c r="G8" s="350" t="s">
        <v>33</v>
      </c>
      <c r="H8" s="350"/>
      <c r="I8" s="350"/>
    </row>
    <row r="9" spans="1:9" ht="13.5">
      <c r="A9" s="368"/>
      <c r="B9" s="368"/>
      <c r="C9" s="369"/>
      <c r="D9" s="351"/>
      <c r="E9" s="371"/>
      <c r="F9" s="350"/>
      <c r="G9" s="350"/>
      <c r="H9" s="350"/>
      <c r="I9" s="350"/>
    </row>
    <row r="10" spans="1:9" ht="13.5">
      <c r="A10" s="368"/>
      <c r="B10" s="368"/>
      <c r="C10" s="369"/>
      <c r="D10" s="351"/>
      <c r="E10" s="373" t="s">
        <v>34</v>
      </c>
      <c r="F10" s="350"/>
      <c r="G10" s="350" t="s">
        <v>35</v>
      </c>
      <c r="H10" s="350"/>
      <c r="I10" s="350"/>
    </row>
    <row r="11" spans="1:9" ht="13.5">
      <c r="A11" s="368"/>
      <c r="B11" s="368"/>
      <c r="C11" s="369"/>
      <c r="D11" s="351"/>
      <c r="E11" s="371"/>
      <c r="F11" s="350"/>
      <c r="G11" s="350"/>
      <c r="H11" s="350"/>
      <c r="I11" s="350"/>
    </row>
    <row r="12" spans="1:9" ht="13.5">
      <c r="A12" s="368"/>
      <c r="B12" s="368"/>
      <c r="C12" s="369"/>
      <c r="D12" s="351"/>
      <c r="E12" s="374" t="s">
        <v>36</v>
      </c>
      <c r="F12" s="350"/>
      <c r="G12" s="350" t="s">
        <v>37</v>
      </c>
      <c r="H12" s="350"/>
      <c r="I12" s="350"/>
    </row>
    <row r="13" spans="1:9" ht="13.5">
      <c r="A13" s="368"/>
      <c r="B13" s="368"/>
      <c r="C13" s="369"/>
      <c r="D13" s="351"/>
      <c r="E13" s="371"/>
      <c r="F13" s="350"/>
      <c r="G13" s="350"/>
      <c r="H13" s="350"/>
      <c r="I13" s="350"/>
    </row>
    <row r="14" spans="1:9" ht="13.5">
      <c r="A14" s="368"/>
      <c r="B14" s="368"/>
      <c r="C14" s="369"/>
      <c r="D14" s="351"/>
      <c r="E14" s="375" t="s">
        <v>38</v>
      </c>
      <c r="F14" s="350"/>
      <c r="G14" s="350" t="s">
        <v>39</v>
      </c>
      <c r="H14" s="350"/>
      <c r="I14" s="350"/>
    </row>
    <row r="15" spans="1:9" ht="13.5">
      <c r="A15" s="368"/>
      <c r="B15" s="368"/>
      <c r="C15" s="369"/>
      <c r="D15" s="351"/>
      <c r="E15" s="350"/>
      <c r="F15" s="350"/>
      <c r="G15" s="350"/>
      <c r="H15" s="350"/>
      <c r="I15" s="350"/>
    </row>
    <row r="16" spans="1:9" ht="13.5">
      <c r="A16" s="368"/>
      <c r="B16" s="368"/>
      <c r="C16" s="369"/>
      <c r="D16" s="351"/>
      <c r="E16" s="376" t="s">
        <v>40</v>
      </c>
      <c r="F16" s="350"/>
      <c r="G16" s="350" t="s">
        <v>41</v>
      </c>
      <c r="H16" s="350"/>
      <c r="I16" s="350"/>
    </row>
    <row r="17" spans="1:9" ht="13.5">
      <c r="A17" s="368"/>
      <c r="B17" s="368"/>
      <c r="C17" s="369"/>
      <c r="D17" s="351"/>
      <c r="E17" s="350"/>
      <c r="F17" s="350"/>
      <c r="G17" s="350"/>
      <c r="H17" s="350"/>
      <c r="I17" s="350"/>
    </row>
    <row r="18" spans="1:9" ht="13.5">
      <c r="A18" s="365" t="s">
        <v>42</v>
      </c>
      <c r="B18" s="365"/>
      <c r="C18" s="366"/>
      <c r="D18" s="367"/>
      <c r="E18" s="365"/>
      <c r="F18" s="365"/>
      <c r="G18" s="365"/>
      <c r="H18" s="365"/>
      <c r="I18" s="365"/>
    </row>
    <row r="19" spans="1:9" ht="13.5">
      <c r="A19" s="368"/>
      <c r="B19" s="368"/>
      <c r="C19" s="369"/>
      <c r="D19" s="351"/>
      <c r="E19" s="350"/>
      <c r="F19" s="350"/>
      <c r="G19" s="350"/>
      <c r="H19" s="350"/>
      <c r="I19" s="350"/>
    </row>
    <row r="20" spans="1:9" ht="13.5">
      <c r="A20" s="368"/>
      <c r="B20" s="368" t="s">
        <v>43</v>
      </c>
      <c r="C20" s="369"/>
      <c r="D20" s="351"/>
      <c r="E20" s="350"/>
      <c r="F20" s="350"/>
      <c r="G20" s="350"/>
      <c r="H20" s="350"/>
      <c r="I20" s="350"/>
    </row>
    <row r="21" spans="1:9" ht="13.5">
      <c r="A21" s="368"/>
      <c r="B21" s="368"/>
      <c r="C21" s="369"/>
      <c r="D21" s="351"/>
      <c r="E21" s="377" t="s">
        <v>44</v>
      </c>
      <c r="F21" s="350"/>
      <c r="G21" s="350" t="s">
        <v>45</v>
      </c>
      <c r="H21" s="350"/>
      <c r="I21" s="350"/>
    </row>
    <row r="22" spans="1:9" ht="13.5">
      <c r="A22" s="368"/>
      <c r="B22" s="368"/>
      <c r="C22" s="341" t="s">
        <v>26</v>
      </c>
      <c r="D22" s="351"/>
      <c r="E22" s="350"/>
      <c r="F22" s="350"/>
      <c r="G22" s="350"/>
      <c r="H22" s="350"/>
      <c r="I22" s="350"/>
    </row>
    <row r="23" spans="1:9" ht="13.5">
      <c r="A23" s="368"/>
      <c r="B23" s="368"/>
      <c r="C23" s="369"/>
      <c r="D23" s="351"/>
      <c r="E23" s="378" t="s">
        <v>46</v>
      </c>
      <c r="F23" s="350"/>
      <c r="G23" s="350" t="s">
        <v>47</v>
      </c>
      <c r="H23" s="350"/>
      <c r="I23" s="350"/>
    </row>
    <row r="24" spans="1:9" ht="13.5">
      <c r="A24" s="368"/>
      <c r="B24" s="368"/>
      <c r="C24" s="369"/>
      <c r="D24" s="351"/>
      <c r="E24" s="350"/>
      <c r="F24" s="350"/>
      <c r="G24" s="350"/>
      <c r="H24" s="350"/>
      <c r="I24" s="350"/>
    </row>
    <row r="25" spans="1:9" ht="13.5">
      <c r="A25" s="368"/>
      <c r="B25" s="368"/>
      <c r="C25" s="369"/>
      <c r="D25" s="351"/>
      <c r="E25" s="350" t="s">
        <v>48</v>
      </c>
      <c r="F25" s="350"/>
      <c r="G25" s="350" t="s">
        <v>49</v>
      </c>
      <c r="H25" s="350"/>
      <c r="I25" s="350"/>
    </row>
    <row r="26" spans="1:9" ht="13.5">
      <c r="A26" s="368"/>
      <c r="B26" s="368"/>
      <c r="C26" s="369"/>
      <c r="D26" s="351"/>
      <c r="E26" s="350"/>
      <c r="F26" s="350"/>
      <c r="G26" s="350"/>
      <c r="H26" s="350"/>
      <c r="I26" s="350"/>
    </row>
    <row r="27" spans="1:9" ht="13.5">
      <c r="A27" s="368"/>
      <c r="B27" s="368" t="s">
        <v>50</v>
      </c>
      <c r="C27" s="369"/>
      <c r="D27" s="351"/>
      <c r="E27" s="350"/>
      <c r="F27" s="350"/>
      <c r="G27" s="350"/>
      <c r="H27" s="350"/>
      <c r="I27" s="350"/>
    </row>
    <row r="28" spans="1:9" ht="13.5">
      <c r="A28" s="368"/>
      <c r="B28" s="368"/>
      <c r="C28" s="369"/>
      <c r="D28" s="351"/>
      <c r="E28" s="379" t="s">
        <v>51</v>
      </c>
      <c r="F28" s="350"/>
      <c r="G28" s="350" t="s">
        <v>27</v>
      </c>
      <c r="H28" s="350"/>
      <c r="I28" s="350"/>
    </row>
    <row r="29" spans="1:9" ht="13.5">
      <c r="A29" s="368"/>
      <c r="B29" s="368"/>
      <c r="C29" s="369"/>
      <c r="D29" s="351"/>
      <c r="E29" s="350"/>
      <c r="F29" s="350"/>
      <c r="G29" s="350"/>
      <c r="H29" s="350"/>
      <c r="I29" s="350"/>
    </row>
    <row r="30" spans="1:9" ht="13.5">
      <c r="A30" s="368"/>
      <c r="B30" s="368"/>
      <c r="C30" s="369"/>
      <c r="D30" s="351"/>
      <c r="E30" s="349" t="s">
        <v>52</v>
      </c>
      <c r="F30" s="350"/>
      <c r="G30" s="350" t="s">
        <v>53</v>
      </c>
      <c r="H30" s="350"/>
      <c r="I30" s="350"/>
    </row>
    <row r="31" spans="1:9" ht="13.5">
      <c r="A31" s="368"/>
      <c r="B31" s="368"/>
      <c r="C31" s="369"/>
      <c r="D31" s="351"/>
      <c r="E31" s="350"/>
      <c r="F31" s="350"/>
      <c r="G31" s="350"/>
      <c r="H31" s="350"/>
      <c r="I31" s="350"/>
    </row>
    <row r="32" spans="1:9" ht="13.5">
      <c r="A32" s="368"/>
      <c r="B32" s="368"/>
      <c r="C32" s="369"/>
      <c r="D32" s="351"/>
      <c r="E32" s="380" t="s">
        <v>54</v>
      </c>
      <c r="F32" s="350"/>
      <c r="G32" s="350" t="s">
        <v>55</v>
      </c>
      <c r="H32" s="350"/>
      <c r="I32" s="350"/>
    </row>
    <row r="33" spans="1:9" ht="13.5">
      <c r="A33" s="368"/>
      <c r="B33" s="368"/>
      <c r="C33" s="369"/>
      <c r="D33" s="351"/>
      <c r="E33" s="350"/>
      <c r="F33" s="350"/>
      <c r="G33" s="350"/>
      <c r="H33" s="350"/>
      <c r="I33" s="350"/>
    </row>
    <row r="34" spans="1:9" ht="13.5">
      <c r="A34" s="368"/>
      <c r="B34" s="368"/>
      <c r="C34" s="369"/>
      <c r="D34" s="351"/>
      <c r="E34" s="349" t="s">
        <v>56</v>
      </c>
      <c r="F34" s="350"/>
      <c r="G34" s="350" t="s">
        <v>57</v>
      </c>
      <c r="H34" s="350"/>
      <c r="I34" s="350"/>
    </row>
    <row r="35" spans="1:9" ht="13.5">
      <c r="A35" s="368"/>
      <c r="B35" s="368"/>
      <c r="C35" s="369"/>
      <c r="D35" s="351"/>
      <c r="E35" s="350"/>
      <c r="F35" s="350"/>
      <c r="G35" s="350"/>
      <c r="H35" s="350"/>
      <c r="I35" s="350"/>
    </row>
    <row r="36" spans="1:9" ht="13.5">
      <c r="A36" s="368"/>
      <c r="B36" s="368" t="s">
        <v>58</v>
      </c>
      <c r="C36" s="369"/>
      <c r="D36" s="351"/>
      <c r="E36" s="350"/>
      <c r="F36" s="350"/>
      <c r="G36" s="350"/>
      <c r="H36" s="350"/>
      <c r="I36" s="350"/>
    </row>
    <row r="37" spans="1:9" ht="13.5">
      <c r="A37" s="368"/>
      <c r="B37" s="368"/>
      <c r="C37" s="369"/>
      <c r="D37" s="351"/>
      <c r="E37" s="381" t="s">
        <v>59</v>
      </c>
      <c r="F37" s="350"/>
      <c r="G37" s="350" t="s">
        <v>60</v>
      </c>
      <c r="H37" s="350"/>
      <c r="I37" s="350"/>
    </row>
    <row r="38" spans="1:9" ht="13.5">
      <c r="A38" s="368"/>
      <c r="B38" s="368"/>
      <c r="C38" s="369"/>
      <c r="D38" s="351"/>
      <c r="E38" s="350"/>
      <c r="F38" s="350"/>
      <c r="G38" s="350"/>
      <c r="H38" s="350"/>
      <c r="I38" s="350"/>
    </row>
    <row r="39" spans="1:9" ht="13.5">
      <c r="A39" s="368"/>
      <c r="B39" s="368"/>
      <c r="C39" s="369"/>
      <c r="D39" s="351"/>
      <c r="E39" s="382" t="s">
        <v>61</v>
      </c>
      <c r="F39" s="350"/>
      <c r="G39" s="350" t="s">
        <v>62</v>
      </c>
      <c r="H39" s="350"/>
      <c r="I39" s="350"/>
    </row>
    <row r="40" spans="1:9" ht="13.5">
      <c r="A40" s="368"/>
      <c r="B40" s="368"/>
      <c r="C40" s="369"/>
      <c r="D40" s="351"/>
      <c r="E40" s="350"/>
      <c r="F40" s="350"/>
      <c r="G40" s="350"/>
      <c r="H40" s="350"/>
      <c r="I40" s="350"/>
    </row>
    <row r="41" spans="1:9" ht="13.5">
      <c r="A41" s="368"/>
      <c r="B41" s="368"/>
      <c r="C41" s="369"/>
      <c r="D41" s="351"/>
      <c r="E41" s="383" t="s">
        <v>63</v>
      </c>
      <c r="F41" s="350"/>
      <c r="G41" s="350" t="s">
        <v>64</v>
      </c>
      <c r="H41" s="350"/>
      <c r="I41" s="350"/>
    </row>
    <row r="42" spans="1:9" ht="13.5">
      <c r="A42" s="368"/>
      <c r="B42" s="368"/>
      <c r="C42" s="369"/>
      <c r="D42" s="351"/>
      <c r="E42" s="350"/>
      <c r="F42" s="350"/>
      <c r="G42" s="350"/>
      <c r="H42" s="350"/>
      <c r="I42" s="350"/>
    </row>
    <row r="43" spans="1:9" ht="13.5">
      <c r="A43" s="368"/>
      <c r="B43" s="368"/>
      <c r="C43" s="369"/>
      <c r="D43" s="351"/>
      <c r="E43" s="384" t="s">
        <v>65</v>
      </c>
      <c r="F43" s="350"/>
      <c r="G43" s="350" t="s">
        <v>66</v>
      </c>
      <c r="H43" s="350"/>
      <c r="I43" s="350"/>
    </row>
    <row r="44" spans="1:9" ht="13.5">
      <c r="A44" s="368"/>
      <c r="B44" s="368"/>
      <c r="C44" s="369"/>
      <c r="D44" s="351"/>
      <c r="E44" s="350"/>
      <c r="F44" s="350"/>
      <c r="G44" s="350"/>
      <c r="H44" s="350"/>
      <c r="I44" s="350"/>
    </row>
    <row r="45" spans="1:9" ht="13.5">
      <c r="A45" s="368"/>
      <c r="B45" s="368"/>
      <c r="C45" s="369"/>
      <c r="D45" s="351"/>
      <c r="E45" s="385" t="s">
        <v>67</v>
      </c>
      <c r="F45" s="350"/>
      <c r="G45" s="350" t="s">
        <v>68</v>
      </c>
      <c r="H45" s="350"/>
      <c r="I45" s="350"/>
    </row>
    <row r="46" spans="1:9" ht="13.5">
      <c r="A46" s="368"/>
      <c r="B46" s="368"/>
      <c r="C46" s="369"/>
      <c r="D46" s="351"/>
      <c r="E46" s="350"/>
      <c r="F46" s="350"/>
      <c r="G46" s="350"/>
      <c r="H46" s="350"/>
      <c r="I46" s="350"/>
    </row>
    <row r="47" spans="1:9" ht="13.5">
      <c r="A47" s="368"/>
      <c r="B47" s="368" t="s">
        <v>69</v>
      </c>
      <c r="C47" s="369"/>
      <c r="D47" s="351"/>
      <c r="E47" s="350"/>
      <c r="F47" s="350"/>
      <c r="G47" s="350"/>
      <c r="H47" s="350"/>
      <c r="I47" s="350"/>
    </row>
    <row r="48" spans="1:9" ht="13.5">
      <c r="A48" s="368"/>
      <c r="B48" s="368"/>
      <c r="C48" s="369"/>
      <c r="D48" s="351"/>
      <c r="E48" s="386" t="s">
        <v>70</v>
      </c>
      <c r="F48" s="350"/>
      <c r="G48" s="350" t="s">
        <v>71</v>
      </c>
      <c r="H48" s="350"/>
      <c r="I48" s="350"/>
    </row>
    <row r="49" spans="1:29" ht="13.5">
      <c r="A49" s="368"/>
      <c r="B49" s="368"/>
      <c r="C49" s="369"/>
      <c r="D49" s="351"/>
      <c r="E49" s="350"/>
      <c r="F49" s="350"/>
      <c r="G49" s="350"/>
      <c r="H49" s="350"/>
      <c r="I49" s="350"/>
    </row>
    <row r="50" spans="1:29" ht="13.5">
      <c r="A50" s="368"/>
      <c r="B50" s="368"/>
      <c r="C50" s="369"/>
      <c r="D50" s="351"/>
      <c r="E50" s="387" t="s">
        <v>72</v>
      </c>
      <c r="F50" s="350"/>
      <c r="G50" s="350" t="s">
        <v>73</v>
      </c>
      <c r="H50" s="350"/>
      <c r="I50" s="350"/>
    </row>
    <row r="51" spans="1:29" ht="13.5">
      <c r="A51" s="368"/>
      <c r="B51" s="368"/>
      <c r="C51" s="369"/>
      <c r="D51" s="351"/>
      <c r="E51" s="350"/>
      <c r="F51" s="350"/>
      <c r="G51" s="350"/>
      <c r="H51" s="350"/>
      <c r="I51" s="350"/>
    </row>
    <row r="52" spans="1:29" ht="13.5">
      <c r="A52" s="368"/>
      <c r="B52" s="368"/>
      <c r="C52" s="369"/>
      <c r="D52" s="351"/>
      <c r="E52" s="388" t="s">
        <v>74</v>
      </c>
      <c r="F52" s="350"/>
      <c r="G52" s="350" t="s">
        <v>75</v>
      </c>
      <c r="H52" s="350"/>
      <c r="I52" s="350"/>
    </row>
    <row r="53" spans="1:29" ht="13.5">
      <c r="A53" s="368"/>
      <c r="B53" s="368"/>
      <c r="C53" s="369"/>
      <c r="D53" s="351"/>
      <c r="E53" s="350"/>
      <c r="F53" s="350"/>
      <c r="G53" s="350"/>
      <c r="H53" s="350"/>
      <c r="I53" s="350"/>
    </row>
    <row r="54" spans="1:29" s="55" customFormat="1" ht="12.75" customHeight="1">
      <c r="A54" s="113" t="s">
        <v>76</v>
      </c>
      <c r="B54" s="113"/>
      <c r="C54" s="112"/>
      <c r="D54" s="106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2"/>
      <c r="W54" s="112"/>
      <c r="X54" s="112"/>
      <c r="Y54" s="112"/>
      <c r="Z54" s="112"/>
      <c r="AA54" s="112"/>
      <c r="AB54" s="112"/>
      <c r="AC54" s="112"/>
    </row>
    <row r="55" spans="1:29" s="55" customFormat="1" ht="13.15">
      <c r="A55" s="61"/>
      <c r="B55" s="62"/>
      <c r="C55" s="60"/>
      <c r="D55" s="59"/>
    </row>
    <row r="56" spans="1:29" s="55" customFormat="1" ht="13.15">
      <c r="A56" s="61"/>
      <c r="B56" s="62"/>
      <c r="C56" s="60"/>
      <c r="D56" s="59"/>
      <c r="E56" s="55" t="s">
        <v>77</v>
      </c>
      <c r="F56" s="55" t="s">
        <v>78</v>
      </c>
    </row>
    <row r="57" spans="1:29" s="55" customFormat="1" ht="13.15">
      <c r="A57" s="61"/>
      <c r="B57" s="62"/>
      <c r="C57" s="60"/>
      <c r="D57" s="59"/>
      <c r="E57" s="55" t="s">
        <v>79</v>
      </c>
      <c r="F57" s="55" t="s">
        <v>80</v>
      </c>
    </row>
    <row r="58" spans="1:29" s="55" customFormat="1" ht="13.15">
      <c r="A58" s="61"/>
      <c r="B58" s="62"/>
      <c r="C58" s="60"/>
      <c r="D58" s="59"/>
      <c r="E58" s="55" t="s">
        <v>81</v>
      </c>
      <c r="F58" s="55" t="s">
        <v>82</v>
      </c>
    </row>
    <row r="59" spans="1:29" s="55" customFormat="1" ht="13.15">
      <c r="A59" s="61"/>
      <c r="B59" s="62"/>
      <c r="C59" s="60"/>
      <c r="D59" s="59"/>
      <c r="E59" s="55" t="s">
        <v>83</v>
      </c>
      <c r="F59" s="99" t="s">
        <v>84</v>
      </c>
    </row>
    <row r="60" spans="1:29" s="55" customFormat="1" ht="13.15">
      <c r="A60" s="61"/>
      <c r="B60" s="62"/>
      <c r="C60" s="60"/>
      <c r="D60" s="59"/>
      <c r="E60" s="55" t="s">
        <v>85</v>
      </c>
      <c r="F60" s="99" t="s">
        <v>86</v>
      </c>
    </row>
    <row r="61" spans="1:29" s="55" customFormat="1" ht="13.15">
      <c r="A61" s="61"/>
      <c r="B61" s="62"/>
      <c r="C61" s="60"/>
      <c r="D61" s="59"/>
      <c r="E61" s="55" t="s">
        <v>87</v>
      </c>
      <c r="F61" s="99" t="s">
        <v>88</v>
      </c>
    </row>
    <row r="62" spans="1:29" s="55" customFormat="1" ht="13.15">
      <c r="A62" s="61"/>
      <c r="B62" s="62"/>
      <c r="C62" s="60"/>
      <c r="D62" s="59"/>
      <c r="E62" s="55" t="s">
        <v>89</v>
      </c>
      <c r="F62" s="99" t="s">
        <v>90</v>
      </c>
    </row>
    <row r="63" spans="1:29" s="55" customFormat="1" ht="13.15">
      <c r="A63" s="61"/>
      <c r="B63" s="62"/>
      <c r="C63" s="60"/>
      <c r="D63" s="59"/>
      <c r="E63" s="55" t="s">
        <v>91</v>
      </c>
      <c r="F63" s="99" t="s">
        <v>92</v>
      </c>
    </row>
    <row r="64" spans="1:29" s="55" customFormat="1" ht="13.15">
      <c r="A64" s="61"/>
      <c r="B64" s="62"/>
      <c r="C64" s="60"/>
      <c r="D64" s="59"/>
      <c r="E64" s="55" t="s">
        <v>93</v>
      </c>
      <c r="F64" s="55" t="s">
        <v>94</v>
      </c>
    </row>
    <row r="65" spans="1:9" s="55" customFormat="1" ht="13.15">
      <c r="A65" s="61"/>
      <c r="B65" s="62"/>
      <c r="C65" s="60"/>
      <c r="D65" s="59"/>
      <c r="E65" s="55" t="s">
        <v>95</v>
      </c>
      <c r="F65" s="55" t="s">
        <v>96</v>
      </c>
    </row>
    <row r="66" spans="1:9" s="55" customFormat="1" ht="13.15">
      <c r="A66" s="61"/>
      <c r="B66" s="62"/>
      <c r="C66" s="60"/>
      <c r="D66" s="59"/>
    </row>
    <row r="67" spans="1:9" ht="13.5">
      <c r="A67" s="342" t="s">
        <v>28</v>
      </c>
      <c r="B67" s="342"/>
      <c r="C67" s="342"/>
      <c r="D67" s="343"/>
      <c r="E67" s="344"/>
      <c r="F67" s="344"/>
      <c r="G67" s="344"/>
      <c r="H67" s="344"/>
      <c r="I67" s="344"/>
    </row>
    <row r="68" spans="1:9" ht="13.5">
      <c r="A68" s="346"/>
      <c r="B68" s="347"/>
      <c r="C68" s="348"/>
      <c r="D68" s="348"/>
    </row>
    <row r="69" spans="1:9" ht="13.5" hidden="1"/>
    <row r="70" spans="1:9" ht="13.5" hidden="1"/>
    <row r="71" spans="1:9" ht="13.5" hidden="1"/>
    <row r="72" spans="1:9" ht="13.5" hidden="1"/>
    <row r="73" spans="1:9" ht="13.5" hidden="1"/>
    <row r="74" spans="1:9" ht="13.5" hidden="1"/>
    <row r="75" spans="1:9" ht="13.5" hidden="1"/>
    <row r="76" spans="1:9" ht="13.5" hidden="1"/>
    <row r="77" spans="1:9" ht="13.5" hidden="1"/>
    <row r="78" spans="1:9" ht="13.5" hidden="1"/>
    <row r="79" spans="1:9" ht="13.5" hidden="1"/>
    <row r="80" spans="1:9" ht="13.5" hidden="1"/>
    <row r="81" ht="13.5" hidden="1"/>
    <row r="82" ht="13.5" hidden="1"/>
    <row r="83" ht="13.5" hidden="1"/>
    <row r="84" ht="13.5" hidden="1"/>
    <row r="85" ht="13.5" hidden="1"/>
    <row r="86" ht="13.5" hidden="1"/>
    <row r="87" ht="13.5" hidden="1"/>
    <row r="88" ht="13.5" hidden="1"/>
    <row r="89" ht="13.5" hidden="1"/>
    <row r="90" ht="13.5" hidden="1"/>
    <row r="91" ht="13.5" hidden="1"/>
    <row r="92" ht="13.5" hidden="1"/>
    <row r="93" ht="13.5" hidden="1"/>
    <row r="94" ht="13.5" hidden="1"/>
    <row r="95" ht="13.5" hidden="1"/>
    <row r="96" ht="13.5" hidden="1"/>
  </sheetData>
  <pageMargins left="0.7" right="0.7" top="0.75" bottom="0.75" header="0.3" footer="0.3"/>
  <pageSetup paperSize="9" scale="75" orientation="portrait" r:id="rId1"/>
  <headerFooter>
    <oddHeader>&amp;LPage &amp;P of &amp;N&amp;CSheet: &amp;A&amp;ROFFICIAL SENSITIVE</oddHeader>
    <oddFooter>&amp;L&amp;F printed on &amp;D at &amp;T&amp;ROFWAT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F6C72-23DD-44E9-AC41-1709997CB7BD}">
  <sheetPr codeName="Sheet11">
    <tabColor theme="0" tint="-0.14999847407452621"/>
    <pageSetUpPr fitToPage="1"/>
  </sheetPr>
  <dimension ref="A1:Y159"/>
  <sheetViews>
    <sheetView showGridLines="0" topLeftCell="A8" zoomScale="80" zoomScaleNormal="80" workbookViewId="0">
      <selection activeCell="C22" sqref="C22"/>
    </sheetView>
  </sheetViews>
  <sheetFormatPr defaultColWidth="0" defaultRowHeight="12.75" customHeight="1" zeroHeight="1"/>
  <cols>
    <col min="1" max="2" width="2.59765625" style="392" customWidth="1"/>
    <col min="3" max="3" width="24.1328125" style="392" customWidth="1"/>
    <col min="4" max="6" width="2.59765625" style="392" customWidth="1"/>
    <col min="7" max="7" width="20.86328125" style="392" customWidth="1"/>
    <col min="8" max="8" width="2.59765625" style="392" customWidth="1"/>
    <col min="9" max="9" width="6.3984375" style="392" customWidth="1"/>
    <col min="10" max="10" width="2.59765625" style="392" customWidth="1"/>
    <col min="11" max="11" width="34.265625" style="392" customWidth="1"/>
    <col min="12" max="12" width="2.59765625" style="392" customWidth="1"/>
    <col min="13" max="13" width="6.3984375" style="392" customWidth="1"/>
    <col min="14" max="14" width="2.59765625" style="392" customWidth="1"/>
    <col min="15" max="15" width="20.265625" style="392" customWidth="1"/>
    <col min="16" max="16" width="2.86328125" style="392" customWidth="1"/>
    <col min="17" max="18" width="2.59765625" style="392" customWidth="1"/>
    <col min="19" max="19" width="20.265625" style="392" customWidth="1"/>
    <col min="20" max="22" width="2.59765625" style="392" customWidth="1"/>
    <col min="23" max="23" width="20.265625" style="392" customWidth="1"/>
    <col min="24" max="25" width="2.59765625" style="392" customWidth="1"/>
    <col min="26" max="16384" width="8.73046875" style="392" hidden="1"/>
  </cols>
  <sheetData>
    <row r="1" spans="1:25" s="391" customFormat="1" ht="25.15">
      <c r="A1" s="389" t="str">
        <f ca="1" xml:space="preserve"> RIGHT(CELL("filename", $A$1), LEN(CELL("filename", $A$1)) - SEARCH("]", CELL("filename", $A$1)))</f>
        <v>ToC</v>
      </c>
      <c r="B1" s="389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</row>
    <row r="2" spans="1:25"/>
    <row r="3" spans="1:25" s="393" customFormat="1" ht="13.15">
      <c r="C3" s="393" t="s">
        <v>97</v>
      </c>
      <c r="G3" s="393" t="s">
        <v>98</v>
      </c>
      <c r="K3" s="393" t="s">
        <v>99</v>
      </c>
      <c r="O3" s="393" t="s">
        <v>100</v>
      </c>
      <c r="S3" s="393" t="s">
        <v>101</v>
      </c>
    </row>
    <row r="4" spans="1:25"/>
    <row r="5" spans="1:25" ht="13.15">
      <c r="S5" s="394" t="s">
        <v>102</v>
      </c>
      <c r="W5" s="394" t="s">
        <v>103</v>
      </c>
    </row>
    <row r="6" spans="1:25" ht="13.15">
      <c r="S6" s="394"/>
      <c r="W6" s="394"/>
    </row>
    <row r="7" spans="1:25">
      <c r="B7" s="395"/>
      <c r="C7" s="396"/>
      <c r="D7" s="397"/>
      <c r="F7" s="395"/>
      <c r="G7" s="396"/>
      <c r="H7" s="397"/>
      <c r="J7" s="395"/>
      <c r="K7" s="396"/>
      <c r="L7" s="397"/>
      <c r="N7" s="395"/>
      <c r="O7" s="396"/>
      <c r="P7" s="397"/>
      <c r="R7" s="418"/>
      <c r="S7" s="399"/>
      <c r="T7" s="419"/>
      <c r="V7" s="398"/>
      <c r="W7" s="399"/>
      <c r="X7" s="400"/>
    </row>
    <row r="8" spans="1:25" ht="13.15">
      <c r="B8" s="401"/>
      <c r="C8" s="402" t="e">
        <f>#REF!</f>
        <v>#REF!</v>
      </c>
      <c r="D8" s="403"/>
      <c r="F8" s="401"/>
      <c r="G8" s="404" t="str">
        <f ca="1" xml:space="preserve"> Inputs!A1</f>
        <v>Inputs</v>
      </c>
      <c r="H8" s="403"/>
      <c r="J8" s="401"/>
      <c r="K8" s="426" t="str">
        <f ca="1" xml:space="preserve"> Time!A$1</f>
        <v>Time</v>
      </c>
      <c r="L8" s="403"/>
      <c r="N8" s="401"/>
      <c r="O8" s="405" t="str">
        <f ca="1">Output!A1</f>
        <v>Output</v>
      </c>
      <c r="P8" s="403"/>
      <c r="R8" s="401"/>
      <c r="S8" s="420" t="str">
        <f ca="1">'Model formatting'!A1</f>
        <v>Model formatting</v>
      </c>
      <c r="T8" s="403"/>
      <c r="V8" s="406"/>
      <c r="W8" s="423" t="str">
        <f ca="1" xml:space="preserve"> Check!A1</f>
        <v>Check</v>
      </c>
      <c r="X8" s="407"/>
    </row>
    <row r="9" spans="1:25" ht="25.5">
      <c r="B9" s="401"/>
      <c r="C9" s="417" t="s">
        <v>104</v>
      </c>
      <c r="D9" s="403"/>
      <c r="F9" s="401"/>
      <c r="G9" s="414" t="s">
        <v>105</v>
      </c>
      <c r="H9" s="403"/>
      <c r="J9" s="401"/>
      <c r="K9" s="414" t="s">
        <v>106</v>
      </c>
      <c r="L9" s="403"/>
      <c r="N9" s="401"/>
      <c r="O9" s="414" t="s">
        <v>107</v>
      </c>
      <c r="P9" s="403"/>
      <c r="R9" s="401"/>
      <c r="S9" s="392" t="s">
        <v>108</v>
      </c>
      <c r="T9" s="403"/>
      <c r="V9" s="406"/>
      <c r="W9" s="392" t="s">
        <v>109</v>
      </c>
      <c r="X9" s="407"/>
    </row>
    <row r="10" spans="1:25" ht="13.15" thickBot="1">
      <c r="B10" s="401"/>
      <c r="D10" s="403"/>
      <c r="F10" s="401"/>
      <c r="H10" s="403"/>
      <c r="J10" s="401"/>
      <c r="K10" s="415"/>
      <c r="L10" s="403"/>
      <c r="N10" s="408"/>
      <c r="O10" s="410"/>
      <c r="P10" s="409"/>
      <c r="R10" s="401"/>
      <c r="T10" s="403"/>
      <c r="V10" s="421"/>
      <c r="W10" s="410"/>
      <c r="X10" s="422"/>
    </row>
    <row r="11" spans="1:25" ht="14.25" thickBot="1">
      <c r="B11" s="408"/>
      <c r="C11" s="410"/>
      <c r="D11" s="409"/>
      <c r="F11" s="408"/>
      <c r="G11" s="410"/>
      <c r="H11" s="409"/>
      <c r="J11" s="401"/>
      <c r="K11" s="141" t="str">
        <f ca="1">'Indices and K factor'!A1</f>
        <v>Indices and K factor</v>
      </c>
      <c r="L11" s="403"/>
      <c r="R11" s="401"/>
      <c r="S11" s="420" t="str">
        <f ca="1">A1</f>
        <v>ToC</v>
      </c>
      <c r="T11" s="403"/>
    </row>
    <row r="12" spans="1:25" ht="25.5">
      <c r="J12" s="401"/>
      <c r="K12" s="416" t="s">
        <v>110</v>
      </c>
      <c r="L12" s="403"/>
      <c r="R12" s="401"/>
      <c r="S12" s="392" t="s">
        <v>111</v>
      </c>
      <c r="T12" s="403"/>
    </row>
    <row r="13" spans="1:25" ht="13.15" thickBot="1">
      <c r="J13" s="401"/>
      <c r="K13" s="415"/>
      <c r="L13" s="403"/>
      <c r="R13" s="408"/>
      <c r="S13" s="410"/>
      <c r="T13" s="409"/>
    </row>
    <row r="14" spans="1:25" ht="14.25" thickBot="1">
      <c r="J14" s="401"/>
      <c r="K14" s="141" t="str">
        <f ca="1">'Wholesale Water'!A1</f>
        <v>Wholesale Water</v>
      </c>
      <c r="L14" s="403"/>
    </row>
    <row r="15" spans="1:25" ht="25.5">
      <c r="J15" s="401"/>
      <c r="K15" s="416" t="s">
        <v>112</v>
      </c>
      <c r="L15" s="403"/>
    </row>
    <row r="16" spans="1:25" ht="13.15" thickBot="1">
      <c r="J16" s="401"/>
      <c r="L16" s="403"/>
    </row>
    <row r="17" spans="1:25" ht="14.25" thickBot="1">
      <c r="J17" s="401"/>
      <c r="K17" s="141" t="str">
        <f ca="1">'Wastewater Network-Plus'!A1</f>
        <v>Wastewater Network-Plus</v>
      </c>
      <c r="L17" s="403"/>
    </row>
    <row r="18" spans="1:25" ht="25.5">
      <c r="J18" s="401"/>
      <c r="K18" s="416" t="s">
        <v>113</v>
      </c>
      <c r="L18" s="403"/>
      <c r="S18" s="392" t="s">
        <v>114</v>
      </c>
    </row>
    <row r="19" spans="1:25" ht="13.15" thickBot="1">
      <c r="J19" s="401"/>
      <c r="K19" s="416"/>
      <c r="L19" s="403"/>
    </row>
    <row r="20" spans="1:25" ht="14.25" thickBot="1">
      <c r="J20" s="401"/>
      <c r="K20" s="141" t="str">
        <f ca="1">'Wastewater TTT'!A1</f>
        <v>Wastewater TTT</v>
      </c>
      <c r="L20" s="403"/>
    </row>
    <row r="21" spans="1:25" ht="25.5">
      <c r="J21" s="401"/>
      <c r="K21" s="416" t="s">
        <v>115</v>
      </c>
      <c r="L21" s="403"/>
    </row>
    <row r="22" spans="1:25">
      <c r="C22" s="341" t="s">
        <v>26</v>
      </c>
      <c r="J22" s="408"/>
      <c r="K22" s="410"/>
      <c r="L22" s="409"/>
    </row>
    <row r="23" spans="1:25"/>
    <row r="24" spans="1:25"/>
    <row r="25" spans="1:25"/>
    <row r="26" spans="1:25" ht="13.15">
      <c r="A26" s="411" t="s">
        <v>28</v>
      </c>
      <c r="B26" s="412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</row>
    <row r="27" spans="1:25"/>
    <row r="28" spans="1:25" hidden="1"/>
    <row r="29" spans="1:25" hidden="1"/>
    <row r="30" spans="1:25" hidden="1"/>
    <row r="31" spans="1:25" hidden="1"/>
    <row r="32" spans="1:2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 ht="12.75" customHeight="1"/>
  </sheetData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&amp;LPage &amp;P of &amp;N&amp;CSheet: &amp;A&amp;ROFFICIAL SENSITIVE</oddHeader>
    <oddFooter>&amp;L&amp;F printed on &amp;D at &amp;T&amp;ROFWAT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7C1E-F2F1-4428-8879-01AE8C28D522}">
  <sheetPr codeName="Sheet17">
    <tabColor rgb="FFFFFF99"/>
    <outlinePr summaryBelow="0" summaryRight="0"/>
    <pageSetUpPr autoPageBreaks="0" fitToPage="1"/>
  </sheetPr>
  <dimension ref="A1:AC205"/>
  <sheetViews>
    <sheetView showGridLines="0" zoomScale="60" zoomScaleNormal="60" workbookViewId="0">
      <pane xSplit="9" ySplit="5" topLeftCell="J77" activePane="bottomRight" state="frozen"/>
      <selection pane="topRight" activeCell="C22" sqref="C22"/>
      <selection pane="bottomLeft" activeCell="C22" sqref="C22"/>
      <selection pane="bottomRight" activeCell="W113" sqref="W113"/>
    </sheetView>
  </sheetViews>
  <sheetFormatPr defaultColWidth="0" defaultRowHeight="13.15" zeroHeight="1" outlineLevelRow="1"/>
  <cols>
    <col min="1" max="2" width="1.3984375" style="61" customWidth="1"/>
    <col min="3" max="3" width="1.3984375" style="108" customWidth="1"/>
    <col min="4" max="4" width="1.3984375" style="55" customWidth="1"/>
    <col min="5" max="5" width="66.1328125" style="55" bestFit="1" customWidth="1"/>
    <col min="6" max="7" width="12.59765625" style="55" customWidth="1"/>
    <col min="8" max="8" width="24.1328125" style="55" customWidth="1"/>
    <col min="9" max="9" width="2.59765625" style="55" customWidth="1"/>
    <col min="10" max="15" width="12.59765625" style="55" customWidth="1"/>
    <col min="16" max="23" width="16.59765625" style="55" customWidth="1"/>
    <col min="24" max="29" width="0" hidden="1" customWidth="1"/>
    <col min="30" max="16384" width="9.1328125" hidden="1"/>
  </cols>
  <sheetData>
    <row r="1" spans="1:23" ht="29.65">
      <c r="A1" s="211" t="str">
        <f ca="1" xml:space="preserve"> RIGHT(CELL("FILENAME", $A$1), LEN(CELL("FILENAME", $A$1)) - SEARCH("]", CELL("FILENAME", $A$1)))</f>
        <v>Inputs</v>
      </c>
      <c r="B1" s="211"/>
      <c r="C1" s="211"/>
      <c r="D1" s="211"/>
      <c r="E1" s="211"/>
      <c r="F1" s="448"/>
      <c r="G1" s="211"/>
      <c r="H1" s="211"/>
      <c r="I1" s="211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</row>
    <row r="2" spans="1:23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A3" s="88"/>
      <c r="B3" s="88"/>
      <c r="C3" s="89"/>
      <c r="D3" s="56"/>
      <c r="E3" s="107" t="str">
        <f xml:space="preserve"> Time!E$105</f>
        <v>Timeline label</v>
      </c>
      <c r="F3" s="449">
        <f xml:space="preserve"> Check!F$24</f>
        <v>2</v>
      </c>
      <c r="G3" s="80" t="str">
        <f xml:space="preserve"> Check!G$24</f>
        <v>Alerts</v>
      </c>
      <c r="H3" s="107"/>
      <c r="I3" s="107"/>
      <c r="J3" s="66" t="str">
        <f xml:space="preserve"> Time!J$105</f>
        <v>Pre-Fcst</v>
      </c>
      <c r="K3" s="66" t="str">
        <f xml:space="preserve"> Time!K$105</f>
        <v>Pre-Fcst</v>
      </c>
      <c r="L3" s="66" t="str">
        <f xml:space="preserve"> Time!L$105</f>
        <v>Pre-Fcst</v>
      </c>
      <c r="M3" s="66" t="str">
        <f xml:space="preserve"> Time!M$105</f>
        <v>Pre-Fcst</v>
      </c>
      <c r="N3" s="66" t="str">
        <f xml:space="preserve"> Time!N$105</f>
        <v>Pre-Fcst</v>
      </c>
      <c r="O3" s="66" t="str">
        <f xml:space="preserve"> Time!O$105</f>
        <v>Pre-Fcst</v>
      </c>
      <c r="P3" s="66" t="str">
        <f xml:space="preserve"> Time!P$105</f>
        <v>Forecast</v>
      </c>
      <c r="Q3" s="66" t="str">
        <f xml:space="preserve"> Time!Q$105</f>
        <v>Forecast</v>
      </c>
      <c r="R3" s="66" t="str">
        <f xml:space="preserve"> Time!R$105</f>
        <v>Forecast</v>
      </c>
      <c r="S3" s="66" t="str">
        <f xml:space="preserve"> Time!S$105</f>
        <v>Forecast</v>
      </c>
      <c r="T3" s="66" t="str">
        <f xml:space="preserve"> Time!T$105</f>
        <v>Forecast</v>
      </c>
      <c r="U3" s="66" t="str">
        <f xml:space="preserve"> Time!U$105</f>
        <v>Post-Fcst</v>
      </c>
      <c r="V3" s="66" t="str">
        <f xml:space="preserve"> Time!V$105</f>
        <v>Post-Fcst</v>
      </c>
      <c r="W3" s="66" t="str">
        <f xml:space="preserve"> Time!W$105</f>
        <v>Post-Fcst</v>
      </c>
    </row>
    <row r="4" spans="1:23">
      <c r="A4" s="88"/>
      <c r="B4" s="88"/>
      <c r="C4" s="89"/>
      <c r="D4" s="56"/>
      <c r="E4" s="56" t="str">
        <f xml:space="preserve"> Time!E$127</f>
        <v>Financial year ending</v>
      </c>
      <c r="F4" s="450"/>
      <c r="G4" s="24"/>
      <c r="H4" s="107"/>
      <c r="I4" s="107"/>
      <c r="J4" s="28">
        <f xml:space="preserve"> Time!J$127</f>
        <v>2015</v>
      </c>
      <c r="K4" s="28">
        <f xml:space="preserve"> Time!K$127</f>
        <v>2016</v>
      </c>
      <c r="L4" s="28">
        <f xml:space="preserve"> Time!L$127</f>
        <v>2017</v>
      </c>
      <c r="M4" s="28">
        <f xml:space="preserve"> Time!M$127</f>
        <v>2018</v>
      </c>
      <c r="N4" s="28">
        <f xml:space="preserve"> Time!N$127</f>
        <v>2019</v>
      </c>
      <c r="O4" s="28">
        <f xml:space="preserve"> Time!O$127</f>
        <v>2020</v>
      </c>
      <c r="P4" s="28">
        <f xml:space="preserve"> Time!P$127</f>
        <v>2021</v>
      </c>
      <c r="Q4" s="28">
        <f xml:space="preserve"> Time!Q$127</f>
        <v>2022</v>
      </c>
      <c r="R4" s="28">
        <f xml:space="preserve"> Time!R$127</f>
        <v>2023</v>
      </c>
      <c r="S4" s="28">
        <f xml:space="preserve"> Time!S$127</f>
        <v>2024</v>
      </c>
      <c r="T4" s="28">
        <f xml:space="preserve"> Time!T$127</f>
        <v>2025</v>
      </c>
      <c r="U4" s="28">
        <f xml:space="preserve"> Time!U$127</f>
        <v>2026</v>
      </c>
      <c r="V4" s="28">
        <f xml:space="preserve"> Time!V$127</f>
        <v>2027</v>
      </c>
      <c r="W4" s="28">
        <f xml:space="preserve"> Time!W$127</f>
        <v>2028</v>
      </c>
    </row>
    <row r="5" spans="1:23">
      <c r="A5" s="88"/>
      <c r="B5" s="88"/>
      <c r="C5" s="89"/>
      <c r="D5" s="56"/>
      <c r="E5" s="56" t="str">
        <f xml:space="preserve"> Time!E$10</f>
        <v>Model column counter</v>
      </c>
      <c r="F5" s="451" t="s">
        <v>116</v>
      </c>
      <c r="G5" s="158" t="s">
        <v>117</v>
      </c>
      <c r="H5" s="48" t="s">
        <v>118</v>
      </c>
      <c r="I5" s="56"/>
      <c r="J5" s="102">
        <f xml:space="preserve"> Time!J$10</f>
        <v>1</v>
      </c>
      <c r="K5" s="102">
        <f xml:space="preserve"> Time!K$10</f>
        <v>2</v>
      </c>
      <c r="L5" s="102">
        <f xml:space="preserve"> Time!L$10</f>
        <v>3</v>
      </c>
      <c r="M5" s="102">
        <f xml:space="preserve"> Time!M$10</f>
        <v>4</v>
      </c>
      <c r="N5" s="102">
        <f xml:space="preserve"> Time!N$10</f>
        <v>5</v>
      </c>
      <c r="O5" s="102">
        <f xml:space="preserve"> Time!O$10</f>
        <v>6</v>
      </c>
      <c r="P5" s="102">
        <f xml:space="preserve"> Time!P$10</f>
        <v>7</v>
      </c>
      <c r="Q5" s="102">
        <f xml:space="preserve"> Time!Q$10</f>
        <v>8</v>
      </c>
      <c r="R5" s="102">
        <f xml:space="preserve"> Time!R$10</f>
        <v>9</v>
      </c>
      <c r="S5" s="102">
        <f xml:space="preserve"> Time!S$10</f>
        <v>10</v>
      </c>
      <c r="T5" s="102">
        <f xml:space="preserve"> Time!T$10</f>
        <v>11</v>
      </c>
      <c r="U5" s="102">
        <f xml:space="preserve"> Time!U$10</f>
        <v>12</v>
      </c>
      <c r="V5" s="102">
        <f xml:space="preserve"> Time!V$10</f>
        <v>13</v>
      </c>
      <c r="W5" s="102">
        <f xml:space="preserve"> Time!W$10</f>
        <v>14</v>
      </c>
    </row>
    <row r="6" spans="1:23"/>
    <row r="7" spans="1:23" ht="12.75" customHeight="1">
      <c r="A7" s="113" t="s">
        <v>119</v>
      </c>
      <c r="B7" s="113"/>
      <c r="C7" s="112"/>
      <c r="D7" s="113"/>
      <c r="E7" s="113"/>
      <c r="F7" s="452"/>
      <c r="G7" s="113"/>
      <c r="H7" s="113"/>
      <c r="I7" s="113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  <c r="V7" s="452"/>
      <c r="W7" s="452"/>
    </row>
    <row r="8" spans="1:23" ht="12.75" customHeight="1">
      <c r="A8" s="172"/>
      <c r="F8" s="453"/>
      <c r="G8" s="27"/>
      <c r="H8" s="27"/>
    </row>
    <row r="9" spans="1:23" ht="12.75" customHeight="1" outlineLevel="1">
      <c r="A9" s="172"/>
      <c r="B9" s="97" t="s">
        <v>120</v>
      </c>
      <c r="C9" s="97"/>
      <c r="D9" s="98"/>
      <c r="E9" s="98"/>
      <c r="F9" s="26"/>
      <c r="G9" s="29"/>
      <c r="H9" s="29"/>
      <c r="I9" s="107"/>
    </row>
    <row r="10" spans="1:23" ht="12.75" customHeight="1" outlineLevel="1">
      <c r="A10" s="172"/>
      <c r="C10" s="61"/>
      <c r="F10" s="26"/>
      <c r="G10" s="27"/>
      <c r="H10" s="27"/>
    </row>
    <row r="11" spans="1:23" ht="12.75" customHeight="1" outlineLevel="1">
      <c r="A11" s="172"/>
      <c r="C11" s="61" t="s">
        <v>121</v>
      </c>
      <c r="F11" s="26"/>
      <c r="G11" s="27"/>
      <c r="H11" s="27"/>
    </row>
    <row r="12" spans="1:23" ht="12.75" customHeight="1" outlineLevel="1">
      <c r="A12" s="172"/>
      <c r="B12" s="47"/>
      <c r="C12" s="56"/>
      <c r="D12" s="56"/>
      <c r="E12" s="11" t="s">
        <v>122</v>
      </c>
      <c r="F12" s="307">
        <v>41730</v>
      </c>
      <c r="G12" s="129" t="s">
        <v>123</v>
      </c>
      <c r="H12" s="19" t="s">
        <v>124</v>
      </c>
      <c r="I12" s="4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2.75" customHeight="1" outlineLevel="1">
      <c r="A13" s="172"/>
      <c r="B13" s="47"/>
      <c r="C13" s="35"/>
      <c r="D13" s="56"/>
      <c r="E13" s="19"/>
      <c r="F13" s="15"/>
      <c r="G13" s="27"/>
      <c r="H13" s="19"/>
      <c r="I13" s="19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2.75" customHeight="1" outlineLevel="1">
      <c r="A14" s="172"/>
      <c r="C14" s="62" t="s">
        <v>125</v>
      </c>
      <c r="F14" s="26"/>
      <c r="G14" s="27"/>
      <c r="H14" s="19"/>
    </row>
    <row r="15" spans="1:23" ht="12.75" customHeight="1" outlineLevel="1">
      <c r="A15" s="172"/>
      <c r="B15" s="47"/>
      <c r="C15" s="56"/>
      <c r="D15" s="56"/>
      <c r="E15" s="99" t="s">
        <v>126</v>
      </c>
      <c r="F15" s="469">
        <v>2015</v>
      </c>
      <c r="G15" s="28" t="s">
        <v>127</v>
      </c>
      <c r="H15" s="28" t="s">
        <v>128</v>
      </c>
      <c r="I15" s="19"/>
      <c r="J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2.75" customHeight="1" outlineLevel="1">
      <c r="A16" s="172"/>
      <c r="B16" s="47"/>
      <c r="C16" s="56"/>
      <c r="D16" s="56"/>
      <c r="E16" s="55" t="s">
        <v>129</v>
      </c>
      <c r="F16" s="470">
        <v>3</v>
      </c>
      <c r="G16" s="55" t="s">
        <v>130</v>
      </c>
      <c r="H16" s="55" t="s">
        <v>131</v>
      </c>
      <c r="I16" s="19"/>
      <c r="J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2.75" customHeight="1" outlineLevel="1">
      <c r="A17" s="172"/>
      <c r="B17" s="47"/>
      <c r="C17" s="35"/>
      <c r="D17" s="56"/>
      <c r="E17" s="27"/>
      <c r="F17" s="130"/>
      <c r="G17" s="27"/>
      <c r="H17" s="35"/>
      <c r="I17" s="19"/>
      <c r="J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75" customHeight="1" outlineLevel="1">
      <c r="A18" s="172"/>
      <c r="C18" s="61" t="s">
        <v>132</v>
      </c>
      <c r="D18" s="99"/>
      <c r="F18" s="99"/>
      <c r="G18" s="99"/>
      <c r="H18" s="27"/>
    </row>
    <row r="19" spans="1:23" ht="12.75" customHeight="1" outlineLevel="1">
      <c r="A19" s="172"/>
      <c r="C19" s="172"/>
      <c r="D19" s="99"/>
      <c r="E19" s="55" t="s">
        <v>133</v>
      </c>
      <c r="F19" s="131" t="s">
        <v>134</v>
      </c>
      <c r="G19" s="55" t="s">
        <v>135</v>
      </c>
      <c r="H19" s="27"/>
      <c r="K19" s="20"/>
      <c r="M19" s="20"/>
    </row>
    <row r="20" spans="1:23" ht="12.75" customHeight="1" outlineLevel="1">
      <c r="A20" s="172"/>
      <c r="C20" s="172"/>
      <c r="D20" s="99"/>
      <c r="E20" s="55" t="s">
        <v>136</v>
      </c>
      <c r="F20" s="132" t="s">
        <v>137</v>
      </c>
      <c r="G20" s="55" t="s">
        <v>135</v>
      </c>
      <c r="H20" s="27"/>
    </row>
    <row r="21" spans="1:23" ht="12.75" customHeight="1" outlineLevel="1">
      <c r="A21" s="172"/>
      <c r="C21" s="172"/>
      <c r="D21" s="99"/>
      <c r="E21" s="55" t="s">
        <v>138</v>
      </c>
      <c r="F21" s="133" t="s">
        <v>139</v>
      </c>
      <c r="G21" s="55" t="s">
        <v>135</v>
      </c>
      <c r="H21" s="27"/>
    </row>
    <row r="22" spans="1:23" ht="12.75" customHeight="1" outlineLevel="1">
      <c r="A22" s="172"/>
      <c r="C22" s="341" t="s">
        <v>26</v>
      </c>
      <c r="D22" s="99"/>
      <c r="F22" s="99"/>
      <c r="G22" s="99"/>
      <c r="H22" s="27"/>
    </row>
    <row r="23" spans="1:23" ht="12.75" customHeight="1" outlineLevel="1">
      <c r="A23" s="172"/>
      <c r="B23" s="97" t="s">
        <v>140</v>
      </c>
      <c r="C23" s="97"/>
      <c r="D23" s="98"/>
      <c r="E23" s="98"/>
      <c r="F23" s="471"/>
      <c r="G23" s="29"/>
      <c r="H23" s="29"/>
      <c r="I23" s="107"/>
    </row>
    <row r="24" spans="1:23" ht="12.75" customHeight="1" outlineLevel="1">
      <c r="A24" s="172"/>
      <c r="C24" s="172"/>
      <c r="D24" s="99"/>
      <c r="F24" s="99"/>
      <c r="G24" s="99"/>
      <c r="H24" s="27"/>
    </row>
    <row r="25" spans="1:23" ht="12.75" customHeight="1" outlineLevel="1">
      <c r="A25" s="172"/>
      <c r="E25" s="11" t="s">
        <v>141</v>
      </c>
      <c r="F25" s="307">
        <v>43922</v>
      </c>
      <c r="G25" s="11" t="s">
        <v>123</v>
      </c>
      <c r="H25" s="11"/>
      <c r="I25" s="11"/>
      <c r="J25" s="11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2.75" customHeight="1" outlineLevel="1">
      <c r="A26" s="172"/>
      <c r="B26" s="100"/>
      <c r="C26" s="101"/>
      <c r="E26" s="92" t="s">
        <v>142</v>
      </c>
      <c r="F26" s="470">
        <v>5</v>
      </c>
      <c r="G26" s="92" t="s">
        <v>143</v>
      </c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</row>
    <row r="27" spans="1:23" ht="12.75" customHeight="1" outlineLevel="1">
      <c r="A27" s="172"/>
      <c r="B27" s="100"/>
      <c r="C27" s="101"/>
      <c r="E27" s="102" t="s">
        <v>144</v>
      </c>
      <c r="F27" s="308" t="s">
        <v>145</v>
      </c>
      <c r="G27" s="102" t="s">
        <v>143</v>
      </c>
      <c r="H27" s="74" t="s">
        <v>146</v>
      </c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</row>
    <row r="28" spans="1:23" outlineLevel="1">
      <c r="A28" s="62"/>
      <c r="B28" s="62"/>
      <c r="C28" s="60"/>
      <c r="D28" s="99"/>
      <c r="E28" s="99"/>
      <c r="G28" s="99"/>
      <c r="H28" s="99"/>
    </row>
    <row r="29" spans="1:23" ht="12.75" customHeight="1">
      <c r="A29" s="113" t="s">
        <v>147</v>
      </c>
      <c r="B29" s="113"/>
      <c r="C29" s="112"/>
      <c r="D29" s="113"/>
      <c r="E29" s="113"/>
      <c r="F29" s="452"/>
      <c r="G29" s="113"/>
      <c r="H29" s="113"/>
      <c r="I29" s="113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452"/>
      <c r="U29" s="452"/>
      <c r="V29" s="452"/>
      <c r="W29" s="452"/>
    </row>
    <row r="30" spans="1:23"/>
    <row r="31" spans="1:23" ht="12.75" customHeight="1" outlineLevel="1">
      <c r="B31" s="29"/>
      <c r="C31" s="29"/>
      <c r="D31" s="29"/>
      <c r="E31" s="99" t="s">
        <v>148</v>
      </c>
      <c r="F31" s="472">
        <v>42826</v>
      </c>
      <c r="G31" s="28" t="s">
        <v>127</v>
      </c>
      <c r="H31" s="28" t="s">
        <v>128</v>
      </c>
      <c r="I31" s="107"/>
      <c r="J31" s="107"/>
      <c r="K31" s="107"/>
      <c r="L31" s="107"/>
      <c r="M31" s="107"/>
      <c r="N31" s="107"/>
      <c r="O31" s="107"/>
      <c r="P31" s="56"/>
      <c r="Q31" s="56"/>
      <c r="R31" s="56"/>
      <c r="S31" s="56"/>
      <c r="T31" s="56"/>
      <c r="U31" s="56"/>
      <c r="V31" s="56"/>
      <c r="W31" s="56"/>
    </row>
    <row r="32" spans="1:23" ht="12.75" customHeight="1" outlineLevel="1">
      <c r="B32" s="29"/>
      <c r="C32" s="29"/>
      <c r="D32" s="29"/>
      <c r="E32" s="29"/>
      <c r="F32" s="29"/>
      <c r="G32" s="29"/>
      <c r="H32" s="29"/>
      <c r="I32" s="107"/>
      <c r="J32" s="107"/>
      <c r="K32" s="107"/>
      <c r="L32" s="107"/>
      <c r="M32" s="107"/>
      <c r="N32" s="107"/>
      <c r="O32" s="107"/>
      <c r="P32" s="56"/>
      <c r="Q32" s="56"/>
      <c r="R32" s="56"/>
      <c r="S32" s="56"/>
      <c r="T32" s="56"/>
      <c r="U32" s="56"/>
      <c r="V32" s="56"/>
      <c r="W32" s="56"/>
    </row>
    <row r="33" spans="1:29" ht="12.75" customHeight="1" outlineLevel="1">
      <c r="B33" s="231" t="s">
        <v>149</v>
      </c>
      <c r="C33" s="231"/>
      <c r="D33" s="232"/>
      <c r="E33" s="232"/>
      <c r="F33" s="471"/>
      <c r="G33" s="29"/>
      <c r="H33" s="29"/>
      <c r="I33" s="107"/>
      <c r="J33" s="107"/>
      <c r="K33" s="107"/>
      <c r="L33" s="107"/>
      <c r="M33" s="107"/>
      <c r="N33" s="107"/>
      <c r="O33" s="107"/>
      <c r="P33" s="56"/>
      <c r="Q33" s="56"/>
      <c r="R33" s="56"/>
      <c r="S33" s="56"/>
      <c r="T33" s="56"/>
      <c r="U33" s="56"/>
      <c r="V33" s="56"/>
      <c r="W33" s="56"/>
    </row>
    <row r="34" spans="1:29" ht="12.75" customHeight="1" outlineLevel="1">
      <c r="B34" s="88"/>
      <c r="C34" s="88"/>
      <c r="D34" s="56"/>
      <c r="E34" s="56"/>
      <c r="F34" s="471"/>
      <c r="G34" s="29"/>
      <c r="H34" s="29"/>
      <c r="I34" s="107"/>
      <c r="J34" s="107"/>
      <c r="K34" s="107"/>
      <c r="L34" s="107"/>
      <c r="M34" s="107"/>
      <c r="N34" s="107"/>
      <c r="O34" s="107"/>
      <c r="P34" s="56"/>
      <c r="Q34" s="56"/>
      <c r="R34" s="56"/>
      <c r="S34" s="56"/>
      <c r="T34" s="56"/>
      <c r="U34" s="56"/>
      <c r="V34" s="56"/>
      <c r="W34" s="56"/>
    </row>
    <row r="35" spans="1:29" ht="12" customHeight="1" outlineLevel="1">
      <c r="B35" s="49"/>
      <c r="C35" s="49"/>
      <c r="D35" s="99"/>
      <c r="E35" s="92" t="s">
        <v>150</v>
      </c>
      <c r="F35" s="92"/>
      <c r="G35" s="92" t="s">
        <v>151</v>
      </c>
      <c r="H35" s="92"/>
      <c r="I35" s="92"/>
      <c r="J35" s="335">
        <v>99.9</v>
      </c>
      <c r="K35" s="335">
        <v>100.3</v>
      </c>
      <c r="L35" s="335">
        <v>101.8</v>
      </c>
      <c r="M35" s="335">
        <v>104.7</v>
      </c>
      <c r="N35" s="335">
        <v>106.9</v>
      </c>
      <c r="O35" s="335">
        <v>108.5</v>
      </c>
      <c r="P35" s="335">
        <v>109.1</v>
      </c>
      <c r="Q35" s="335">
        <v>114.1</v>
      </c>
      <c r="R35" s="335">
        <v>124.8</v>
      </c>
      <c r="S35" s="335">
        <v>130</v>
      </c>
      <c r="T35" s="335">
        <v>133.30000000000001</v>
      </c>
      <c r="U35" s="335"/>
      <c r="V35" s="335"/>
      <c r="W35" s="335"/>
    </row>
    <row r="36" spans="1:29" ht="12" customHeight="1" outlineLevel="1">
      <c r="C36" s="61"/>
      <c r="F36" s="26"/>
      <c r="G36" s="27"/>
      <c r="H36" s="27"/>
      <c r="J36" s="336"/>
      <c r="K36" s="336"/>
      <c r="L36" s="336"/>
      <c r="M36" s="336"/>
      <c r="N36" s="336"/>
      <c r="O36" s="336"/>
      <c r="P36" s="337"/>
      <c r="Q36" s="337"/>
      <c r="R36" s="337"/>
      <c r="S36" s="337"/>
      <c r="T36" s="337"/>
      <c r="U36" s="337"/>
      <c r="V36" s="337"/>
      <c r="W36" s="337"/>
    </row>
    <row r="37" spans="1:29" ht="12" customHeight="1" outlineLevel="1">
      <c r="C37" s="61"/>
      <c r="E37" s="55" t="s">
        <v>152</v>
      </c>
      <c r="F37" s="473">
        <v>0.02</v>
      </c>
      <c r="G37" s="5" t="s">
        <v>153</v>
      </c>
      <c r="H37" s="27"/>
      <c r="J37" s="336"/>
      <c r="K37" s="336"/>
      <c r="L37" s="336"/>
      <c r="M37" s="336"/>
      <c r="N37" s="336"/>
      <c r="O37" s="336"/>
      <c r="P37" s="337"/>
      <c r="Q37" s="337"/>
      <c r="R37" s="337"/>
      <c r="S37" s="337"/>
      <c r="T37" s="337"/>
      <c r="U37" s="337"/>
      <c r="V37" s="337"/>
      <c r="W37" s="337"/>
    </row>
    <row r="38" spans="1:29" ht="12" customHeight="1" outlineLevel="1">
      <c r="C38" s="61"/>
      <c r="F38" s="26"/>
      <c r="G38" s="5"/>
      <c r="H38" s="27"/>
      <c r="J38" s="336"/>
      <c r="K38" s="336"/>
      <c r="L38" s="336"/>
      <c r="M38" s="336"/>
      <c r="N38" s="336"/>
      <c r="O38" s="336"/>
      <c r="P38" s="337"/>
      <c r="Q38" s="337"/>
      <c r="R38" s="337"/>
      <c r="S38" s="337"/>
      <c r="T38" s="337"/>
      <c r="U38" s="337"/>
      <c r="V38" s="337"/>
      <c r="W38" s="337"/>
    </row>
    <row r="39" spans="1:29" ht="12" customHeight="1" outlineLevel="1">
      <c r="C39" s="61"/>
      <c r="E39" s="92" t="s">
        <v>154</v>
      </c>
      <c r="F39" s="26"/>
      <c r="G39" s="27" t="s">
        <v>151</v>
      </c>
      <c r="H39" s="92"/>
      <c r="J39" s="338">
        <f xml:space="preserve"> IF( J35 &gt; 0, J35, I39 * ( 1 + $F$37 ) )</f>
        <v>99.9</v>
      </c>
      <c r="K39" s="338">
        <f t="shared" ref="K39:W39" si="0" xml:space="preserve"> IF( K35 &gt; 0, K35, J39 * ( 1 + $F$37 ) )</f>
        <v>100.3</v>
      </c>
      <c r="L39" s="338">
        <f t="shared" si="0"/>
        <v>101.8</v>
      </c>
      <c r="M39" s="338">
        <f t="shared" si="0"/>
        <v>104.7</v>
      </c>
      <c r="N39" s="338">
        <f t="shared" si="0"/>
        <v>106.9</v>
      </c>
      <c r="O39" s="338">
        <f t="shared" si="0"/>
        <v>108.5</v>
      </c>
      <c r="P39" s="338">
        <f t="shared" si="0"/>
        <v>109.1</v>
      </c>
      <c r="Q39" s="338">
        <f t="shared" si="0"/>
        <v>114.1</v>
      </c>
      <c r="R39" s="338">
        <f t="shared" si="0"/>
        <v>124.8</v>
      </c>
      <c r="S39" s="338">
        <f t="shared" si="0"/>
        <v>130</v>
      </c>
      <c r="T39" s="338">
        <f t="shared" si="0"/>
        <v>133.30000000000001</v>
      </c>
      <c r="U39" s="338">
        <f t="shared" si="0"/>
        <v>135.96600000000001</v>
      </c>
      <c r="V39" s="338">
        <f t="shared" si="0"/>
        <v>138.68532000000002</v>
      </c>
      <c r="W39" s="338">
        <f t="shared" si="0"/>
        <v>141.45902640000003</v>
      </c>
    </row>
    <row r="40" spans="1:29" ht="12" customHeight="1" outlineLevel="1">
      <c r="C40" s="61"/>
      <c r="F40" s="26"/>
      <c r="G40" s="27"/>
      <c r="H40" s="27"/>
      <c r="J40" s="339"/>
      <c r="K40" s="339"/>
      <c r="L40" s="339"/>
      <c r="M40" s="339"/>
      <c r="N40" s="339"/>
      <c r="O40" s="339"/>
      <c r="P40" s="338"/>
      <c r="Q40" s="338"/>
      <c r="R40" s="338"/>
      <c r="S40" s="338"/>
      <c r="T40" s="338"/>
      <c r="U40" s="338"/>
      <c r="V40" s="338"/>
      <c r="W40" s="338"/>
    </row>
    <row r="41" spans="1:29" ht="12" customHeight="1" outlineLevel="1">
      <c r="C41" s="61"/>
      <c r="E41" s="92" t="s">
        <v>155</v>
      </c>
      <c r="F41" s="26"/>
      <c r="G41" s="27" t="s">
        <v>151</v>
      </c>
      <c r="H41" s="92"/>
      <c r="J41" s="338"/>
      <c r="K41" s="338">
        <f xml:space="preserve"> J39</f>
        <v>99.9</v>
      </c>
      <c r="L41" s="338">
        <f t="shared" ref="L41:W41" si="1" xml:space="preserve"> K39</f>
        <v>100.3</v>
      </c>
      <c r="M41" s="338">
        <f t="shared" si="1"/>
        <v>101.8</v>
      </c>
      <c r="N41" s="338">
        <f t="shared" si="1"/>
        <v>104.7</v>
      </c>
      <c r="O41" s="338">
        <f t="shared" si="1"/>
        <v>106.9</v>
      </c>
      <c r="P41" s="338">
        <f t="shared" si="1"/>
        <v>108.5</v>
      </c>
      <c r="Q41" s="338">
        <f t="shared" si="1"/>
        <v>109.1</v>
      </c>
      <c r="R41" s="338">
        <f t="shared" si="1"/>
        <v>114.1</v>
      </c>
      <c r="S41" s="338">
        <f t="shared" si="1"/>
        <v>124.8</v>
      </c>
      <c r="T41" s="338">
        <f t="shared" si="1"/>
        <v>130</v>
      </c>
      <c r="U41" s="338">
        <f t="shared" si="1"/>
        <v>133.30000000000001</v>
      </c>
      <c r="V41" s="338">
        <f t="shared" si="1"/>
        <v>135.96600000000001</v>
      </c>
      <c r="W41" s="338">
        <f t="shared" si="1"/>
        <v>138.68532000000002</v>
      </c>
    </row>
    <row r="42" spans="1:29" ht="12" customHeight="1" outlineLevel="1">
      <c r="C42" s="61"/>
      <c r="E42" s="92"/>
      <c r="F42" s="26"/>
      <c r="G42" s="27"/>
      <c r="H42" s="92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</row>
    <row r="43" spans="1:29" ht="12" customHeight="1" outlineLevel="1">
      <c r="C43" s="61"/>
      <c r="E43" s="92" t="s">
        <v>156</v>
      </c>
      <c r="F43" s="318">
        <f xml:space="preserve"> M41</f>
        <v>101.8</v>
      </c>
      <c r="G43" s="27" t="s">
        <v>151</v>
      </c>
      <c r="H43" s="92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</row>
    <row r="44" spans="1:29" ht="12" customHeight="1" outlineLevel="1">
      <c r="C44" s="61"/>
      <c r="E44" s="92"/>
      <c r="F44" s="26"/>
      <c r="G44" s="27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</row>
    <row r="45" spans="1:29" ht="12.75" customHeight="1">
      <c r="A45" s="113" t="s">
        <v>157</v>
      </c>
      <c r="B45" s="113"/>
      <c r="C45" s="112"/>
      <c r="D45" s="113"/>
      <c r="E45" s="113"/>
      <c r="F45" s="452"/>
      <c r="G45" s="113"/>
      <c r="H45" s="113"/>
      <c r="I45" s="113"/>
      <c r="J45" s="452"/>
      <c r="K45" s="452"/>
      <c r="L45" s="452"/>
      <c r="M45" s="452"/>
      <c r="N45" s="452"/>
      <c r="O45" s="452"/>
      <c r="P45" s="452"/>
      <c r="Q45" s="452"/>
      <c r="R45" s="452"/>
      <c r="S45" s="452"/>
      <c r="T45" s="452"/>
      <c r="U45" s="452"/>
      <c r="V45" s="452"/>
      <c r="W45" s="452"/>
    </row>
    <row r="46" spans="1:29">
      <c r="A46" s="172"/>
    </row>
    <row r="47" spans="1:29" s="5" customFormat="1" ht="12.75" customHeight="1" outlineLevel="1">
      <c r="A47" s="172"/>
      <c r="B47" s="74"/>
      <c r="C47" s="75"/>
      <c r="D47" s="74"/>
      <c r="E47" s="78" t="s">
        <v>158</v>
      </c>
      <c r="F47" s="466" t="s">
        <v>453</v>
      </c>
      <c r="G47" s="309" t="s">
        <v>159</v>
      </c>
      <c r="H47" s="309" t="s">
        <v>146</v>
      </c>
      <c r="I47" s="173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6"/>
      <c r="U47" s="77"/>
      <c r="V47" s="77"/>
      <c r="W47" s="77"/>
      <c r="X47"/>
      <c r="Y47"/>
      <c r="Z47"/>
      <c r="AA47"/>
      <c r="AB47"/>
      <c r="AC47"/>
    </row>
    <row r="48" spans="1:29" outlineLevel="1">
      <c r="A48" s="172"/>
      <c r="G48" s="107"/>
      <c r="H48" s="107"/>
      <c r="I48" s="107"/>
    </row>
    <row r="49" spans="1:29" s="5" customFormat="1" ht="12.75" customHeight="1" outlineLevel="1">
      <c r="A49" s="172"/>
      <c r="B49" s="74"/>
      <c r="C49" s="75"/>
      <c r="D49" s="74"/>
      <c r="E49" s="78" t="s">
        <v>160</v>
      </c>
      <c r="F49" s="454" t="s">
        <v>89</v>
      </c>
      <c r="G49" s="309" t="s">
        <v>159</v>
      </c>
      <c r="H49" s="309" t="s">
        <v>146</v>
      </c>
      <c r="I49" s="173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6"/>
      <c r="U49" s="77"/>
      <c r="V49" s="77"/>
      <c r="W49" s="77"/>
      <c r="X49"/>
      <c r="Y49"/>
      <c r="Z49"/>
      <c r="AA49"/>
      <c r="AB49"/>
      <c r="AC49"/>
    </row>
    <row r="50" spans="1:29" outlineLevel="1">
      <c r="A50" s="172"/>
      <c r="G50" s="107"/>
      <c r="H50" s="107"/>
      <c r="I50" s="107"/>
    </row>
    <row r="51" spans="1:29" ht="12.75" customHeight="1">
      <c r="A51" s="113" t="s">
        <v>161</v>
      </c>
      <c r="B51" s="113"/>
      <c r="C51" s="112"/>
      <c r="D51" s="113"/>
      <c r="E51" s="113"/>
      <c r="F51" s="452"/>
      <c r="G51" s="113"/>
      <c r="H51" s="113"/>
      <c r="I51" s="113"/>
      <c r="J51" s="452"/>
      <c r="K51" s="452"/>
      <c r="L51" s="452"/>
      <c r="M51" s="452"/>
      <c r="N51" s="452"/>
      <c r="O51" s="452"/>
      <c r="P51" s="452"/>
      <c r="Q51" s="452"/>
      <c r="R51" s="452"/>
      <c r="S51" s="452"/>
      <c r="T51" s="452"/>
      <c r="U51" s="452"/>
      <c r="V51" s="452"/>
      <c r="W51" s="452"/>
    </row>
    <row r="52" spans="1:29" s="5" customFormat="1">
      <c r="A52" s="172"/>
      <c r="B52" s="62"/>
      <c r="C52" s="60"/>
      <c r="D52" s="99"/>
      <c r="E52" s="99"/>
      <c r="F52" s="55"/>
      <c r="G52" s="56"/>
      <c r="H52" s="56"/>
      <c r="I52" s="56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/>
      <c r="Y52"/>
      <c r="Z52"/>
      <c r="AA52"/>
      <c r="AB52"/>
      <c r="AC52"/>
    </row>
    <row r="53" spans="1:29" outlineLevel="1">
      <c r="B53" s="97" t="s">
        <v>162</v>
      </c>
      <c r="C53" s="97"/>
      <c r="D53" s="98"/>
      <c r="E53" s="98"/>
      <c r="G53" s="107"/>
      <c r="H53" s="56"/>
      <c r="I53" s="56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1:29" s="5" customFormat="1" outlineLevel="1">
      <c r="A54" s="172"/>
      <c r="B54" s="62"/>
      <c r="C54" s="60"/>
      <c r="D54" s="99"/>
      <c r="E54" s="99"/>
      <c r="F54" s="55"/>
      <c r="G54" s="56"/>
      <c r="H54" s="56"/>
      <c r="I54" s="56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/>
      <c r="Y54"/>
      <c r="Z54"/>
      <c r="AA54"/>
      <c r="AB54"/>
      <c r="AC54"/>
    </row>
    <row r="55" spans="1:29" s="5" customFormat="1" outlineLevel="1">
      <c r="A55" s="172"/>
      <c r="B55" s="62"/>
      <c r="C55" s="60" t="s">
        <v>163</v>
      </c>
      <c r="D55" s="99"/>
      <c r="E55" s="99"/>
      <c r="F55" s="55"/>
      <c r="G55" s="56"/>
      <c r="H55" s="56"/>
      <c r="I55" s="56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/>
      <c r="Y55"/>
      <c r="Z55"/>
      <c r="AA55"/>
      <c r="AB55"/>
      <c r="AC55"/>
    </row>
    <row r="56" spans="1:29" s="5" customFormat="1" outlineLevel="1">
      <c r="A56" s="172"/>
      <c r="B56" s="62"/>
      <c r="C56" s="60"/>
      <c r="D56" s="99"/>
      <c r="E56" s="99"/>
      <c r="F56" s="55"/>
      <c r="G56" s="56"/>
      <c r="H56" s="56"/>
      <c r="I56" s="56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/>
      <c r="Y56"/>
      <c r="Z56"/>
      <c r="AA56"/>
      <c r="AB56"/>
      <c r="AC56"/>
    </row>
    <row r="57" spans="1:29" s="5" customFormat="1" outlineLevel="1">
      <c r="A57" s="172"/>
      <c r="B57" s="62"/>
      <c r="C57" s="60"/>
      <c r="D57" s="99"/>
      <c r="E57" s="70" t="s">
        <v>164</v>
      </c>
      <c r="F57" s="310">
        <v>0.02</v>
      </c>
      <c r="G57" s="233" t="s">
        <v>153</v>
      </c>
      <c r="H57" s="56"/>
      <c r="I57" s="56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/>
      <c r="Y57"/>
      <c r="Z57"/>
      <c r="AA57"/>
      <c r="AB57"/>
      <c r="AC57"/>
    </row>
    <row r="58" spans="1:29" s="5" customFormat="1" outlineLevel="1">
      <c r="A58" s="172"/>
      <c r="B58" s="62"/>
      <c r="C58" s="60"/>
      <c r="D58" s="99"/>
      <c r="E58" s="72"/>
      <c r="F58" s="143"/>
      <c r="G58" s="107"/>
      <c r="H58" s="56"/>
      <c r="I58" s="56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/>
      <c r="Y58"/>
      <c r="Z58"/>
      <c r="AA58"/>
      <c r="AB58"/>
      <c r="AC58"/>
    </row>
    <row r="59" spans="1:29" s="5" customFormat="1" outlineLevel="1">
      <c r="A59" s="172"/>
      <c r="B59" s="62"/>
      <c r="C59" s="60"/>
      <c r="D59" s="99"/>
      <c r="E59" s="72" t="s">
        <v>165</v>
      </c>
      <c r="F59" s="310">
        <v>0.03</v>
      </c>
      <c r="G59" s="107" t="s">
        <v>153</v>
      </c>
      <c r="H59" s="56"/>
      <c r="I59" s="56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/>
      <c r="Y59"/>
      <c r="Z59"/>
      <c r="AA59"/>
      <c r="AB59"/>
      <c r="AC59"/>
    </row>
    <row r="60" spans="1:29" s="5" customFormat="1" outlineLevel="1">
      <c r="A60" s="172"/>
      <c r="B60" s="62"/>
      <c r="C60" s="60"/>
      <c r="D60" s="99"/>
      <c r="E60" s="72"/>
      <c r="F60" s="143"/>
      <c r="G60" s="107"/>
      <c r="H60" s="56"/>
      <c r="I60" s="56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/>
      <c r="Y60"/>
      <c r="Z60"/>
      <c r="AA60"/>
      <c r="AB60"/>
      <c r="AC60"/>
    </row>
    <row r="61" spans="1:29" s="5" customFormat="1" outlineLevel="1">
      <c r="A61" s="172"/>
      <c r="B61" s="62"/>
      <c r="C61" s="60"/>
      <c r="D61" s="99"/>
      <c r="E61" s="72" t="s">
        <v>166</v>
      </c>
      <c r="F61" s="310">
        <v>0.03</v>
      </c>
      <c r="G61" s="107" t="s">
        <v>153</v>
      </c>
      <c r="H61" s="56"/>
      <c r="I61" s="56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/>
      <c r="Y61"/>
      <c r="Z61"/>
      <c r="AA61"/>
      <c r="AB61"/>
      <c r="AC61"/>
    </row>
    <row r="62" spans="1:29" s="5" customFormat="1" outlineLevel="1">
      <c r="A62" s="172"/>
      <c r="B62" s="62"/>
      <c r="C62" s="60"/>
      <c r="D62" s="99"/>
      <c r="E62" s="127"/>
      <c r="F62" s="143"/>
      <c r="G62" s="56"/>
      <c r="H62" s="56"/>
      <c r="I62" s="56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/>
      <c r="Y62"/>
      <c r="Z62"/>
      <c r="AA62"/>
      <c r="AB62"/>
      <c r="AC62"/>
    </row>
    <row r="63" spans="1:29" s="5" customFormat="1" outlineLevel="1">
      <c r="A63" s="172"/>
      <c r="B63" s="62"/>
      <c r="C63" s="60"/>
      <c r="D63" s="99"/>
      <c r="E63" s="72" t="s">
        <v>167</v>
      </c>
      <c r="F63" s="323">
        <v>2.92E-2</v>
      </c>
      <c r="G63" s="80" t="s">
        <v>153</v>
      </c>
      <c r="H63" s="56"/>
      <c r="I63" s="56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/>
      <c r="Y63"/>
      <c r="Z63"/>
      <c r="AA63"/>
      <c r="AB63"/>
      <c r="AC63"/>
    </row>
    <row r="64" spans="1:29" s="5" customFormat="1" outlineLevel="1">
      <c r="A64" s="172"/>
      <c r="B64" s="62"/>
      <c r="C64" s="60"/>
      <c r="D64" s="99"/>
      <c r="E64" s="127"/>
      <c r="F64" s="143"/>
      <c r="G64" s="56"/>
      <c r="H64" s="56"/>
      <c r="I64" s="56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/>
      <c r="Y64"/>
      <c r="Z64"/>
      <c r="AA64"/>
      <c r="AB64"/>
      <c r="AC64"/>
    </row>
    <row r="65" spans="1:29" s="5" customFormat="1" outlineLevel="1">
      <c r="A65" s="172"/>
      <c r="B65" s="62"/>
      <c r="C65" s="60"/>
      <c r="D65" s="99"/>
      <c r="E65" s="72" t="s">
        <v>168</v>
      </c>
      <c r="F65" s="310">
        <v>0.06</v>
      </c>
      <c r="G65" s="107" t="s">
        <v>153</v>
      </c>
      <c r="H65" s="56"/>
      <c r="I65" s="56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/>
      <c r="Y65"/>
      <c r="Z65"/>
      <c r="AA65"/>
      <c r="AB65"/>
      <c r="AC65"/>
    </row>
    <row r="66" spans="1:29" s="5" customFormat="1" outlineLevel="1">
      <c r="A66" s="172"/>
      <c r="B66" s="62"/>
      <c r="C66" s="60"/>
      <c r="D66" s="99"/>
      <c r="E66" s="127"/>
      <c r="F66" s="143"/>
      <c r="G66" s="56"/>
      <c r="H66" s="56"/>
      <c r="I66" s="56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/>
      <c r="Y66"/>
      <c r="Z66"/>
      <c r="AA66"/>
      <c r="AB66"/>
      <c r="AC66"/>
    </row>
    <row r="67" spans="1:29" s="5" customFormat="1" outlineLevel="1">
      <c r="A67" s="172"/>
      <c r="B67" s="62"/>
      <c r="C67" s="60" t="s">
        <v>169</v>
      </c>
      <c r="D67" s="99"/>
      <c r="E67" s="127"/>
      <c r="F67" s="143"/>
      <c r="G67" s="56"/>
      <c r="H67" s="56"/>
      <c r="I67" s="56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/>
      <c r="Y67"/>
      <c r="Z67"/>
      <c r="AA67"/>
      <c r="AB67"/>
      <c r="AC67"/>
    </row>
    <row r="68" spans="1:29" s="5" customFormat="1" outlineLevel="1">
      <c r="A68" s="172"/>
      <c r="B68" s="62"/>
      <c r="C68" s="60"/>
      <c r="D68" s="99"/>
      <c r="E68" s="127"/>
      <c r="F68" s="143"/>
      <c r="G68" s="56"/>
      <c r="H68" s="56"/>
      <c r="I68" s="56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/>
      <c r="Y68"/>
      <c r="Z68"/>
      <c r="AA68"/>
      <c r="AB68"/>
      <c r="AC68"/>
    </row>
    <row r="69" spans="1:29" s="5" customFormat="1" outlineLevel="1">
      <c r="A69" s="172"/>
      <c r="B69" s="62"/>
      <c r="C69" s="60"/>
      <c r="D69" s="99"/>
      <c r="E69" s="72" t="s">
        <v>169</v>
      </c>
      <c r="F69" s="470">
        <v>2</v>
      </c>
      <c r="G69" s="80" t="s">
        <v>170</v>
      </c>
      <c r="H69" s="56"/>
      <c r="I69" s="56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/>
      <c r="Y69"/>
      <c r="Z69"/>
      <c r="AA69"/>
      <c r="AB69"/>
      <c r="AC69"/>
    </row>
    <row r="70" spans="1:29" s="5" customFormat="1" outlineLevel="1">
      <c r="A70" s="172"/>
      <c r="B70" s="62"/>
      <c r="C70" s="60"/>
      <c r="D70" s="99"/>
      <c r="E70" s="127"/>
      <c r="F70" s="55"/>
      <c r="G70" s="151"/>
      <c r="H70" s="56"/>
      <c r="I70" s="56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/>
      <c r="Y70"/>
      <c r="Z70"/>
      <c r="AA70"/>
      <c r="AB70"/>
      <c r="AC70"/>
    </row>
    <row r="71" spans="1:29" s="5" customFormat="1" outlineLevel="1">
      <c r="A71" s="172"/>
      <c r="B71" s="62"/>
      <c r="C71" s="60" t="s">
        <v>171</v>
      </c>
      <c r="D71" s="99"/>
      <c r="E71" s="72"/>
      <c r="F71" s="55"/>
      <c r="G71" s="446" t="s">
        <v>172</v>
      </c>
      <c r="H71" s="446" t="s">
        <v>173</v>
      </c>
      <c r="I71" s="56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/>
      <c r="Y71"/>
      <c r="Z71"/>
      <c r="AA71"/>
      <c r="AB71"/>
      <c r="AC71"/>
    </row>
    <row r="72" spans="1:29" s="5" customFormat="1" outlineLevel="1">
      <c r="A72" s="172"/>
      <c r="B72" s="62"/>
      <c r="C72" s="60"/>
      <c r="D72" s="99"/>
      <c r="E72" s="72"/>
      <c r="F72" s="55"/>
      <c r="G72" s="99"/>
      <c r="H72" s="56"/>
      <c r="I72" s="56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/>
      <c r="Y72"/>
      <c r="Z72"/>
      <c r="AA72"/>
      <c r="AB72"/>
      <c r="AC72"/>
    </row>
    <row r="73" spans="1:29" s="32" customFormat="1" outlineLevel="1">
      <c r="A73" s="172"/>
      <c r="B73" s="62"/>
      <c r="C73" s="60"/>
      <c r="D73" s="99"/>
      <c r="E73" s="72" t="s">
        <v>174</v>
      </c>
      <c r="F73" s="455" t="s">
        <v>175</v>
      </c>
      <c r="G73" s="447" t="str">
        <f>IF('Wholesale Water'!F166&gt;0,"Error","No error")</f>
        <v>No error</v>
      </c>
      <c r="H73" s="56" t="str">
        <f>IF($F73=H$71,"Input amount on right","Waiver reflected in calculations")</f>
        <v>Waiver reflected in calculations</v>
      </c>
      <c r="I73" s="56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460"/>
      <c r="Y73" s="460"/>
      <c r="Z73" s="460"/>
      <c r="AA73" s="460"/>
      <c r="AB73" s="460"/>
      <c r="AC73" s="460"/>
    </row>
    <row r="74" spans="1:29" s="32" customFormat="1" outlineLevel="1">
      <c r="A74" s="172"/>
      <c r="B74" s="62"/>
      <c r="C74" s="60"/>
      <c r="D74" s="99"/>
      <c r="E74" s="72" t="s">
        <v>176</v>
      </c>
      <c r="F74" s="455" t="s">
        <v>175</v>
      </c>
      <c r="G74" s="447" t="str">
        <f>IF('Wastewater Network-Plus'!F89&gt;0,"Error","No error")</f>
        <v>No error</v>
      </c>
      <c r="H74" s="56" t="str">
        <f>IF($F74=H$71,"Input amount on right","Waiver reflected in calculations")</f>
        <v>Waiver reflected in calculations</v>
      </c>
      <c r="I74" s="56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460"/>
      <c r="Y74" s="460"/>
      <c r="Z74" s="460"/>
      <c r="AA74" s="460"/>
      <c r="AB74" s="460"/>
      <c r="AC74" s="460"/>
    </row>
    <row r="75" spans="1:29" s="5" customFormat="1" outlineLevel="1">
      <c r="A75" s="172"/>
      <c r="B75" s="62"/>
      <c r="C75" s="60"/>
      <c r="D75" s="99"/>
      <c r="E75" s="72"/>
      <c r="F75" s="55"/>
      <c r="G75" s="445" t="s">
        <v>177</v>
      </c>
      <c r="H75" s="56"/>
      <c r="I75" s="56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/>
      <c r="Y75"/>
      <c r="Z75"/>
      <c r="AA75"/>
      <c r="AB75"/>
      <c r="AC75"/>
    </row>
    <row r="76" spans="1:29" ht="12.75" customHeight="1">
      <c r="A76" s="113" t="s">
        <v>178</v>
      </c>
      <c r="B76" s="113"/>
      <c r="C76" s="112"/>
      <c r="D76" s="113"/>
      <c r="E76" s="113"/>
      <c r="F76" s="452"/>
      <c r="G76" s="113"/>
      <c r="H76" s="113"/>
      <c r="I76" s="113"/>
      <c r="J76" s="452"/>
      <c r="K76" s="452"/>
      <c r="L76" s="452"/>
      <c r="M76" s="452"/>
      <c r="N76" s="452"/>
      <c r="O76" s="452"/>
      <c r="P76" s="452"/>
      <c r="Q76" s="452"/>
      <c r="R76" s="452"/>
      <c r="S76" s="452"/>
      <c r="T76" s="452"/>
      <c r="U76" s="452"/>
      <c r="V76" s="452"/>
      <c r="W76" s="452"/>
    </row>
    <row r="77" spans="1:29">
      <c r="B77" s="158"/>
      <c r="C77" s="60"/>
      <c r="D77" s="99"/>
      <c r="G77" s="107"/>
      <c r="H77" s="107"/>
      <c r="I77" s="107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</row>
    <row r="78" spans="1:29" outlineLevel="1">
      <c r="B78" s="97" t="s">
        <v>179</v>
      </c>
      <c r="C78" s="97"/>
      <c r="D78" s="98"/>
      <c r="E78" s="98"/>
      <c r="G78" s="107"/>
      <c r="H78" s="56"/>
      <c r="I78" s="56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</row>
    <row r="79" spans="1:29" outlineLevel="1">
      <c r="B79" s="158"/>
      <c r="C79" s="60"/>
      <c r="D79" s="99"/>
      <c r="G79" s="107"/>
      <c r="H79" s="107"/>
      <c r="I79" s="107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</row>
    <row r="80" spans="1:29" outlineLevel="1">
      <c r="B80" s="158"/>
      <c r="C80" s="60"/>
      <c r="D80" s="99"/>
      <c r="E80" s="72" t="s">
        <v>180</v>
      </c>
      <c r="F80" s="467">
        <v>35.896000000000001</v>
      </c>
      <c r="G80" s="80" t="s">
        <v>77</v>
      </c>
      <c r="H80" s="80"/>
      <c r="I80" s="80"/>
      <c r="J80" s="324"/>
      <c r="K80" s="324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</row>
    <row r="81" spans="1:29" s="5" customFormat="1" outlineLevel="1">
      <c r="A81" s="62"/>
      <c r="B81" s="88"/>
      <c r="C81" s="60"/>
      <c r="D81" s="99"/>
      <c r="E81" s="127"/>
      <c r="F81" s="273"/>
      <c r="G81" s="151"/>
      <c r="H81" s="151"/>
      <c r="I81" s="151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/>
      <c r="Y81"/>
      <c r="Z81"/>
      <c r="AA81"/>
      <c r="AB81"/>
      <c r="AC81"/>
    </row>
    <row r="82" spans="1:29" s="5" customFormat="1" outlineLevel="1">
      <c r="A82" s="62"/>
      <c r="B82" s="88"/>
      <c r="C82" s="60"/>
      <c r="D82" s="99"/>
      <c r="E82" s="127" t="s">
        <v>181</v>
      </c>
      <c r="F82" s="273"/>
      <c r="G82" s="80" t="s">
        <v>77</v>
      </c>
      <c r="H82" s="324">
        <f>SUM(J82:W82)</f>
        <v>0</v>
      </c>
      <c r="I82" s="151"/>
      <c r="J82" s="273"/>
      <c r="K82" s="273"/>
      <c r="L82" s="273"/>
      <c r="M82" s="273"/>
      <c r="N82" s="273"/>
      <c r="O82" s="273"/>
      <c r="P82" s="273"/>
      <c r="Q82" s="273"/>
      <c r="R82" s="467"/>
      <c r="S82" s="467"/>
      <c r="T82" s="467"/>
      <c r="U82" s="273"/>
      <c r="V82" s="273"/>
      <c r="W82" s="273"/>
      <c r="X82"/>
      <c r="Y82"/>
      <c r="Z82"/>
      <c r="AA82"/>
      <c r="AB82"/>
      <c r="AC82"/>
    </row>
    <row r="83" spans="1:29" s="5" customFormat="1" outlineLevel="1">
      <c r="A83" s="62"/>
      <c r="B83" s="88"/>
      <c r="C83" s="60"/>
      <c r="D83" s="99"/>
      <c r="E83" s="127"/>
      <c r="F83" s="273"/>
      <c r="G83" s="151"/>
      <c r="H83" s="151"/>
      <c r="I83" s="151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/>
      <c r="Y83"/>
      <c r="Z83"/>
      <c r="AA83"/>
      <c r="AB83"/>
      <c r="AC83"/>
    </row>
    <row r="84" spans="1:29" s="5" customFormat="1" outlineLevel="1">
      <c r="A84" s="62"/>
      <c r="B84" s="88"/>
      <c r="C84" s="60"/>
      <c r="D84" s="99"/>
      <c r="E84" s="127" t="s">
        <v>182</v>
      </c>
      <c r="F84" s="273"/>
      <c r="G84" s="151" t="s">
        <v>85</v>
      </c>
      <c r="H84" s="324">
        <f>SUM(J84:W84)</f>
        <v>9.9</v>
      </c>
      <c r="I84" s="151"/>
      <c r="J84" s="273"/>
      <c r="K84" s="273"/>
      <c r="L84" s="273"/>
      <c r="M84" s="273"/>
      <c r="N84" s="273"/>
      <c r="O84" s="273"/>
      <c r="P84" s="467">
        <v>0</v>
      </c>
      <c r="Q84" s="467">
        <v>6.76</v>
      </c>
      <c r="R84" s="467">
        <v>3.24</v>
      </c>
      <c r="S84" s="467">
        <v>5.14</v>
      </c>
      <c r="T84" s="467">
        <v>-5.24</v>
      </c>
      <c r="U84" s="273"/>
      <c r="V84" s="273"/>
      <c r="W84" s="273"/>
      <c r="X84"/>
      <c r="Y84"/>
      <c r="Z84"/>
      <c r="AA84"/>
      <c r="AB84"/>
      <c r="AC84"/>
    </row>
    <row r="85" spans="1:29" s="5" customFormat="1" outlineLevel="1">
      <c r="A85" s="62"/>
      <c r="B85" s="88"/>
      <c r="C85" s="60"/>
      <c r="D85" s="99"/>
      <c r="E85" s="127"/>
      <c r="F85" s="273"/>
      <c r="G85" s="151"/>
      <c r="H85" s="151"/>
      <c r="I85" s="151"/>
      <c r="J85" s="324"/>
      <c r="K85" s="324"/>
      <c r="L85" s="324"/>
      <c r="M85" s="324"/>
      <c r="N85" s="324"/>
      <c r="O85" s="324"/>
      <c r="P85" s="324"/>
      <c r="Q85" s="324"/>
      <c r="R85" s="324"/>
      <c r="S85" s="324"/>
      <c r="T85" s="324"/>
      <c r="U85" s="324"/>
      <c r="V85" s="324"/>
      <c r="W85" s="324"/>
      <c r="X85"/>
      <c r="Y85"/>
      <c r="Z85"/>
      <c r="AA85"/>
      <c r="AB85"/>
      <c r="AC85"/>
    </row>
    <row r="86" spans="1:29" s="5" customFormat="1" ht="12.75" customHeight="1" outlineLevel="1">
      <c r="A86" s="62"/>
      <c r="B86" s="62"/>
      <c r="C86" s="60"/>
      <c r="D86" s="157"/>
      <c r="E86" s="127" t="s">
        <v>183</v>
      </c>
      <c r="F86" s="151"/>
      <c r="G86" s="151" t="s">
        <v>77</v>
      </c>
      <c r="H86" s="324">
        <f>SUM(J86:W86)</f>
        <v>224.2990165509685</v>
      </c>
      <c r="I86" s="151"/>
      <c r="J86" s="273"/>
      <c r="K86" s="273"/>
      <c r="L86" s="273"/>
      <c r="M86" s="273"/>
      <c r="N86" s="273"/>
      <c r="O86" s="273"/>
      <c r="P86" s="467">
        <v>37.725999999999999</v>
      </c>
      <c r="Q86" s="467">
        <v>45.613999999999997</v>
      </c>
      <c r="R86" s="467">
        <v>44.220999999999997</v>
      </c>
      <c r="S86" s="467">
        <v>53.280999999999999</v>
      </c>
      <c r="T86" s="467">
        <v>43.45701655096849</v>
      </c>
      <c r="U86" s="273"/>
      <c r="V86" s="273"/>
      <c r="W86" s="273"/>
      <c r="X86"/>
      <c r="Y86"/>
      <c r="Z86"/>
      <c r="AA86"/>
      <c r="AB86"/>
      <c r="AC86"/>
    </row>
    <row r="87" spans="1:29" s="5" customFormat="1" ht="12.75" customHeight="1" outlineLevel="1">
      <c r="A87" s="62"/>
      <c r="B87" s="62"/>
      <c r="C87" s="60"/>
      <c r="D87" s="157"/>
      <c r="E87" s="127"/>
      <c r="F87" s="151"/>
      <c r="G87" s="151"/>
      <c r="H87" s="151"/>
      <c r="I87" s="151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/>
      <c r="Y87"/>
      <c r="Z87"/>
      <c r="AA87"/>
      <c r="AB87"/>
      <c r="AC87"/>
    </row>
    <row r="88" spans="1:29" outlineLevel="1">
      <c r="B88" s="97" t="s">
        <v>184</v>
      </c>
      <c r="C88" s="97"/>
      <c r="D88" s="98"/>
      <c r="E88" s="98"/>
      <c r="F88" s="80"/>
      <c r="G88" s="80"/>
      <c r="H88" s="151"/>
      <c r="I88" s="151"/>
      <c r="J88" s="324"/>
      <c r="K88" s="324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</row>
    <row r="89" spans="1:29" s="5" customFormat="1" ht="12.75" customHeight="1" outlineLevel="1">
      <c r="A89" s="62"/>
      <c r="B89" s="62"/>
      <c r="C89" s="60"/>
      <c r="D89" s="157"/>
      <c r="E89" s="127"/>
      <c r="F89" s="151"/>
      <c r="G89" s="151"/>
      <c r="H89" s="151"/>
      <c r="I89" s="151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/>
      <c r="Y89"/>
      <c r="Z89"/>
      <c r="AA89"/>
      <c r="AB89"/>
      <c r="AC89"/>
    </row>
    <row r="90" spans="1:29" s="5" customFormat="1" ht="12.75" customHeight="1" outlineLevel="1">
      <c r="A90" s="62"/>
      <c r="B90" s="62"/>
      <c r="C90" s="60"/>
      <c r="D90" s="157"/>
      <c r="E90" s="72" t="s">
        <v>185</v>
      </c>
      <c r="F90" s="467">
        <v>0</v>
      </c>
      <c r="G90" s="80" t="s">
        <v>77</v>
      </c>
      <c r="H90" s="151"/>
      <c r="I90" s="151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/>
      <c r="Y90"/>
      <c r="Z90"/>
      <c r="AA90"/>
      <c r="AB90"/>
      <c r="AC90"/>
    </row>
    <row r="91" spans="1:29" s="5" customFormat="1" ht="12.75" customHeight="1" outlineLevel="1">
      <c r="A91" s="62"/>
      <c r="B91" s="62"/>
      <c r="C91" s="60"/>
      <c r="D91" s="157"/>
      <c r="E91" s="72"/>
      <c r="F91" s="273"/>
      <c r="G91" s="80"/>
      <c r="H91" s="151"/>
      <c r="I91" s="151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/>
      <c r="Y91"/>
      <c r="Z91"/>
      <c r="AA91"/>
      <c r="AB91"/>
      <c r="AC91"/>
    </row>
    <row r="92" spans="1:29" s="5" customFormat="1" ht="12.75" customHeight="1" outlineLevel="1">
      <c r="A92" s="62"/>
      <c r="B92" s="62"/>
      <c r="C92" s="60"/>
      <c r="D92" s="157"/>
      <c r="E92" s="72" t="s">
        <v>186</v>
      </c>
      <c r="F92" s="273"/>
      <c r="G92" s="80" t="s">
        <v>153</v>
      </c>
      <c r="H92" s="325">
        <f>SUM(J92:W92)</f>
        <v>1</v>
      </c>
      <c r="I92" s="151"/>
      <c r="J92" s="273"/>
      <c r="K92" s="273"/>
      <c r="L92" s="273"/>
      <c r="M92" s="273"/>
      <c r="N92" s="273"/>
      <c r="O92" s="273"/>
      <c r="P92" s="273"/>
      <c r="Q92" s="326">
        <v>0.25</v>
      </c>
      <c r="R92" s="326">
        <v>0.25</v>
      </c>
      <c r="S92" s="326">
        <v>0.25</v>
      </c>
      <c r="T92" s="326">
        <v>0.25</v>
      </c>
      <c r="U92" s="273"/>
      <c r="V92" s="273"/>
      <c r="W92" s="273"/>
      <c r="X92"/>
      <c r="Y92"/>
      <c r="Z92"/>
      <c r="AA92"/>
      <c r="AB92"/>
      <c r="AC92"/>
    </row>
    <row r="93" spans="1:29" s="5" customFormat="1" ht="12.75" customHeight="1" outlineLevel="1">
      <c r="A93" s="62"/>
      <c r="B93" s="62"/>
      <c r="C93" s="60"/>
      <c r="D93" s="157"/>
      <c r="E93" s="72"/>
      <c r="F93" s="273"/>
      <c r="G93" s="80"/>
      <c r="H93" s="325"/>
      <c r="I93" s="151"/>
      <c r="J93" s="273"/>
      <c r="K93" s="273"/>
      <c r="L93" s="273"/>
      <c r="M93" s="273"/>
      <c r="N93" s="273"/>
      <c r="O93" s="273"/>
      <c r="P93" s="273"/>
      <c r="Q93" s="327"/>
      <c r="R93" s="327"/>
      <c r="S93" s="327"/>
      <c r="T93" s="327"/>
      <c r="U93" s="273"/>
      <c r="V93" s="273"/>
      <c r="W93" s="273"/>
      <c r="X93"/>
      <c r="Y93"/>
      <c r="Z93"/>
      <c r="AA93"/>
      <c r="AB93"/>
      <c r="AC93"/>
    </row>
    <row r="94" spans="1:29" s="5" customFormat="1" ht="12.75" customHeight="1" outlineLevel="1">
      <c r="A94" s="62"/>
      <c r="B94" s="62"/>
      <c r="C94" s="60"/>
      <c r="D94" s="157"/>
      <c r="E94" s="127" t="s">
        <v>187</v>
      </c>
      <c r="F94" s="468">
        <f>IF(H92&gt;100%, 1, 0)</f>
        <v>0</v>
      </c>
      <c r="G94" s="80" t="s">
        <v>188</v>
      </c>
      <c r="H94" s="325"/>
      <c r="I94" s="151"/>
      <c r="J94" s="273"/>
      <c r="K94" s="273"/>
      <c r="L94" s="273"/>
      <c r="M94" s="273"/>
      <c r="N94" s="273"/>
      <c r="O94" s="273"/>
      <c r="P94" s="273"/>
      <c r="Q94" s="327"/>
      <c r="R94" s="327"/>
      <c r="S94" s="327"/>
      <c r="T94" s="327"/>
      <c r="U94" s="273"/>
      <c r="V94" s="273"/>
      <c r="W94" s="273"/>
      <c r="X94"/>
      <c r="Y94"/>
      <c r="Z94"/>
      <c r="AA94"/>
      <c r="AB94"/>
      <c r="AC94"/>
    </row>
    <row r="95" spans="1:29" s="5" customFormat="1" ht="12.75" customHeight="1" outlineLevel="1">
      <c r="A95" s="62"/>
      <c r="B95" s="62"/>
      <c r="C95" s="60"/>
      <c r="D95" s="157"/>
      <c r="E95" s="127"/>
      <c r="F95" s="72"/>
      <c r="G95" s="151"/>
      <c r="H95" s="151"/>
      <c r="I95" s="151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/>
      <c r="Y95"/>
      <c r="Z95"/>
      <c r="AA95"/>
      <c r="AB95"/>
      <c r="AC95"/>
    </row>
    <row r="96" spans="1:29" ht="12.75" customHeight="1">
      <c r="A96" s="113" t="s">
        <v>189</v>
      </c>
      <c r="B96" s="113"/>
      <c r="C96" s="112"/>
      <c r="D96" s="113"/>
      <c r="E96" s="113"/>
      <c r="F96" s="457"/>
      <c r="G96" s="328"/>
      <c r="H96" s="328"/>
      <c r="I96" s="328"/>
      <c r="J96" s="457"/>
      <c r="K96" s="457"/>
      <c r="L96" s="457"/>
      <c r="M96" s="457"/>
      <c r="N96" s="457"/>
      <c r="O96" s="457"/>
      <c r="P96" s="457"/>
      <c r="Q96" s="457"/>
      <c r="R96" s="457"/>
      <c r="S96" s="457"/>
      <c r="T96" s="457"/>
      <c r="U96" s="457"/>
      <c r="V96" s="457"/>
      <c r="W96" s="457"/>
    </row>
    <row r="97" spans="1:29">
      <c r="B97" s="158"/>
      <c r="C97" s="60"/>
      <c r="D97" s="99"/>
      <c r="F97" s="72"/>
      <c r="G97" s="80"/>
      <c r="H97" s="80"/>
      <c r="I97" s="80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</row>
    <row r="98" spans="1:29" outlineLevel="1">
      <c r="B98" s="97" t="s">
        <v>179</v>
      </c>
      <c r="C98" s="97"/>
      <c r="D98" s="98"/>
      <c r="E98" s="98"/>
      <c r="F98" s="72"/>
      <c r="G98" s="80"/>
      <c r="H98" s="151"/>
      <c r="I98" s="151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</row>
    <row r="99" spans="1:29" outlineLevel="1">
      <c r="B99" s="158"/>
      <c r="C99" s="60"/>
      <c r="D99" s="99"/>
      <c r="F99" s="72"/>
      <c r="G99" s="80"/>
      <c r="H99" s="80"/>
      <c r="I99" s="80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</row>
    <row r="100" spans="1:29" outlineLevel="1">
      <c r="B100" s="158"/>
      <c r="C100" s="60"/>
      <c r="D100" s="99"/>
      <c r="E100" s="72" t="s">
        <v>190</v>
      </c>
      <c r="F100" s="467">
        <v>283.34199999999998</v>
      </c>
      <c r="G100" s="80" t="s">
        <v>77</v>
      </c>
      <c r="H100" s="80"/>
      <c r="I100" s="80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</row>
    <row r="101" spans="1:29" s="5" customFormat="1" outlineLevel="1">
      <c r="A101" s="62"/>
      <c r="B101" s="88"/>
      <c r="C101" s="60"/>
      <c r="D101" s="99"/>
      <c r="E101" s="127"/>
      <c r="F101" s="273"/>
      <c r="G101" s="151"/>
      <c r="H101" s="151"/>
      <c r="I101" s="151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/>
      <c r="Y101"/>
      <c r="Z101"/>
      <c r="AA101"/>
      <c r="AB101"/>
      <c r="AC101"/>
    </row>
    <row r="102" spans="1:29" s="173" customFormat="1" outlineLevel="1">
      <c r="A102" s="62"/>
      <c r="B102" s="88"/>
      <c r="C102" s="60"/>
      <c r="D102" s="99"/>
      <c r="E102" s="127" t="s">
        <v>191</v>
      </c>
      <c r="F102" s="273"/>
      <c r="G102" s="151" t="s">
        <v>85</v>
      </c>
      <c r="H102" s="324">
        <f>SUM(J102:W102)</f>
        <v>-16.75</v>
      </c>
      <c r="I102" s="151"/>
      <c r="J102" s="273"/>
      <c r="K102" s="273"/>
      <c r="L102" s="273"/>
      <c r="M102" s="273"/>
      <c r="N102" s="273"/>
      <c r="O102" s="273"/>
      <c r="P102" s="467">
        <v>0</v>
      </c>
      <c r="Q102" s="467">
        <v>-5.71</v>
      </c>
      <c r="R102" s="467">
        <v>-1.25</v>
      </c>
      <c r="S102" s="467">
        <v>-2.8</v>
      </c>
      <c r="T102" s="467">
        <v>-6.99</v>
      </c>
      <c r="U102" s="273"/>
      <c r="V102" s="273"/>
      <c r="W102" s="273"/>
      <c r="X102"/>
      <c r="Y102"/>
      <c r="Z102"/>
      <c r="AA102"/>
      <c r="AB102"/>
      <c r="AC102"/>
    </row>
    <row r="103" spans="1:29" s="5" customFormat="1" outlineLevel="1">
      <c r="A103" s="62"/>
      <c r="B103" s="88"/>
      <c r="C103" s="60"/>
      <c r="D103" s="99"/>
      <c r="E103" s="127"/>
      <c r="F103" s="273"/>
      <c r="G103" s="151"/>
      <c r="H103" s="151"/>
      <c r="I103" s="151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  <c r="T103" s="324"/>
      <c r="U103" s="324"/>
      <c r="V103" s="324"/>
      <c r="W103" s="324"/>
      <c r="X103"/>
      <c r="Y103"/>
      <c r="Z103"/>
      <c r="AA103"/>
      <c r="AB103"/>
      <c r="AC103"/>
    </row>
    <row r="104" spans="1:29" s="5" customFormat="1" ht="12.75" customHeight="1" outlineLevel="1">
      <c r="A104" s="62"/>
      <c r="B104" s="62"/>
      <c r="C104" s="60"/>
      <c r="D104" s="157"/>
      <c r="E104" s="127" t="s">
        <v>192</v>
      </c>
      <c r="F104" s="151"/>
      <c r="G104" s="151" t="s">
        <v>77</v>
      </c>
      <c r="H104" s="324">
        <f>SUM(J104:W104)</f>
        <v>1455.5126529727556</v>
      </c>
      <c r="I104" s="151"/>
      <c r="J104" s="273"/>
      <c r="K104" s="273"/>
      <c r="L104" s="273"/>
      <c r="M104" s="273"/>
      <c r="N104" s="273"/>
      <c r="O104" s="273"/>
      <c r="P104" s="467">
        <v>279.096</v>
      </c>
      <c r="Q104" s="467">
        <v>271.66000000000003</v>
      </c>
      <c r="R104" s="467">
        <v>295.32</v>
      </c>
      <c r="S104" s="467">
        <v>321.19500000000005</v>
      </c>
      <c r="T104" s="467">
        <v>288.2416529727555</v>
      </c>
      <c r="U104" s="273"/>
      <c r="V104" s="273"/>
      <c r="W104" s="273"/>
      <c r="X104"/>
      <c r="Y104"/>
      <c r="Z104"/>
      <c r="AA104"/>
      <c r="AB104"/>
      <c r="AC104"/>
    </row>
    <row r="105" spans="1:29" s="5" customFormat="1" ht="12.75" customHeight="1" outlineLevel="1">
      <c r="A105" s="62"/>
      <c r="B105" s="62"/>
      <c r="C105" s="60"/>
      <c r="D105" s="157"/>
      <c r="E105" s="127"/>
      <c r="F105" s="151"/>
      <c r="G105" s="151"/>
      <c r="H105" s="324"/>
      <c r="I105" s="151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/>
      <c r="Y105"/>
      <c r="Z105"/>
      <c r="AA105"/>
      <c r="AB105"/>
      <c r="AC105"/>
    </row>
    <row r="106" spans="1:29" s="225" customFormat="1" ht="12.75" customHeight="1" outlineLevel="1">
      <c r="A106" s="268"/>
      <c r="B106" s="164"/>
      <c r="C106" s="165"/>
      <c r="D106" s="73"/>
      <c r="E106" s="151" t="s">
        <v>193</v>
      </c>
      <c r="F106" s="208"/>
      <c r="G106" s="151" t="s">
        <v>153</v>
      </c>
      <c r="H106" s="273"/>
      <c r="I106" s="151"/>
      <c r="J106" s="208"/>
      <c r="K106" s="208"/>
      <c r="L106" s="208"/>
      <c r="M106" s="208"/>
      <c r="N106" s="208"/>
      <c r="O106" s="208"/>
      <c r="P106" s="323"/>
      <c r="Q106" s="323"/>
      <c r="R106" s="323">
        <v>0.48452766084750526</v>
      </c>
      <c r="S106" s="323">
        <v>0.58993557856769874</v>
      </c>
      <c r="T106" s="323"/>
      <c r="U106" s="208"/>
      <c r="V106" s="208"/>
      <c r="W106" s="208"/>
    </row>
    <row r="107" spans="1:29" s="5" customFormat="1" ht="12.75" customHeight="1" outlineLevel="1">
      <c r="A107" s="62"/>
      <c r="B107" s="62"/>
      <c r="C107" s="60"/>
      <c r="D107" s="157"/>
      <c r="E107" s="127"/>
      <c r="F107" s="151"/>
      <c r="G107" s="151"/>
      <c r="H107" s="151"/>
      <c r="I107" s="151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/>
      <c r="Y107"/>
      <c r="Z107"/>
      <c r="AA107"/>
      <c r="AB107"/>
      <c r="AC107"/>
    </row>
    <row r="108" spans="1:29" outlineLevel="1">
      <c r="B108" s="97" t="s">
        <v>184</v>
      </c>
      <c r="C108" s="97"/>
      <c r="D108" s="98"/>
      <c r="E108" s="98"/>
      <c r="F108" s="80"/>
      <c r="G108" s="80"/>
      <c r="H108" s="151"/>
      <c r="I108" s="151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  <c r="T108" s="324"/>
      <c r="U108" s="324"/>
      <c r="V108" s="324"/>
      <c r="W108" s="324"/>
    </row>
    <row r="109" spans="1:29" s="5" customFormat="1" ht="12.75" customHeight="1" outlineLevel="1">
      <c r="A109" s="62"/>
      <c r="B109" s="62"/>
      <c r="C109" s="60"/>
      <c r="D109" s="157"/>
      <c r="E109" s="127"/>
      <c r="F109" s="151"/>
      <c r="G109" s="151"/>
      <c r="H109" s="151"/>
      <c r="I109" s="151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/>
      <c r="Y109"/>
      <c r="Z109"/>
      <c r="AA109"/>
      <c r="AB109"/>
      <c r="AC109"/>
    </row>
    <row r="110" spans="1:29" s="5" customFormat="1" ht="12.75" customHeight="1" outlineLevel="1">
      <c r="A110" s="62"/>
      <c r="B110" s="62"/>
      <c r="C110" s="60"/>
      <c r="D110" s="157"/>
      <c r="E110" s="72" t="s">
        <v>194</v>
      </c>
      <c r="F110" s="467">
        <v>2.3260000265723297</v>
      </c>
      <c r="G110" s="80" t="s">
        <v>77</v>
      </c>
      <c r="H110" s="151"/>
      <c r="I110" s="151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/>
      <c r="Y110"/>
      <c r="Z110"/>
      <c r="AA110"/>
      <c r="AB110"/>
      <c r="AC110"/>
    </row>
    <row r="111" spans="1:29" s="5" customFormat="1" ht="12.75" customHeight="1" outlineLevel="1">
      <c r="A111" s="62"/>
      <c r="B111" s="62"/>
      <c r="C111" s="60"/>
      <c r="D111" s="157"/>
      <c r="E111" s="72"/>
      <c r="F111" s="273"/>
      <c r="G111" s="80"/>
      <c r="H111" s="151"/>
      <c r="I111" s="151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/>
      <c r="Y111"/>
      <c r="Z111"/>
      <c r="AA111"/>
      <c r="AB111"/>
      <c r="AC111"/>
    </row>
    <row r="112" spans="1:29" s="5" customFormat="1" ht="12.75" customHeight="1" outlineLevel="1">
      <c r="A112" s="62"/>
      <c r="B112" s="62"/>
      <c r="C112" s="60"/>
      <c r="D112" s="157"/>
      <c r="E112" s="72" t="s">
        <v>195</v>
      </c>
      <c r="F112" s="273"/>
      <c r="G112" s="80" t="s">
        <v>153</v>
      </c>
      <c r="H112" s="325">
        <f>SUM(J112:W112)</f>
        <v>1</v>
      </c>
      <c r="I112" s="151"/>
      <c r="J112" s="273"/>
      <c r="K112" s="273"/>
      <c r="L112" s="273"/>
      <c r="M112" s="273"/>
      <c r="N112" s="273"/>
      <c r="O112" s="273"/>
      <c r="P112" s="273"/>
      <c r="Q112" s="326">
        <v>0.25</v>
      </c>
      <c r="R112" s="326">
        <v>0.25</v>
      </c>
      <c r="S112" s="326">
        <v>0.25</v>
      </c>
      <c r="T112" s="326">
        <v>0.25</v>
      </c>
      <c r="U112" s="273"/>
      <c r="V112" s="273"/>
      <c r="W112" s="273"/>
      <c r="X112"/>
      <c r="Y112"/>
      <c r="Z112"/>
      <c r="AA112"/>
      <c r="AB112"/>
      <c r="AC112"/>
    </row>
    <row r="113" spans="1:29" s="5" customFormat="1" ht="12.75" customHeight="1" outlineLevel="1">
      <c r="A113" s="62"/>
      <c r="B113" s="62"/>
      <c r="C113" s="60"/>
      <c r="D113" s="157"/>
      <c r="E113" s="72"/>
      <c r="F113" s="273"/>
      <c r="G113" s="80"/>
      <c r="H113" s="325"/>
      <c r="I113" s="151"/>
      <c r="J113" s="273"/>
      <c r="K113" s="273"/>
      <c r="L113" s="273"/>
      <c r="M113" s="273"/>
      <c r="N113" s="273"/>
      <c r="O113" s="273"/>
      <c r="P113" s="273"/>
      <c r="Q113" s="327"/>
      <c r="R113" s="327"/>
      <c r="S113" s="327"/>
      <c r="T113" s="327"/>
      <c r="U113" s="273"/>
      <c r="V113" s="273"/>
      <c r="W113" s="273"/>
      <c r="X113"/>
      <c r="Y113"/>
      <c r="Z113"/>
      <c r="AA113"/>
      <c r="AB113"/>
      <c r="AC113"/>
    </row>
    <row r="114" spans="1:29" s="5" customFormat="1" ht="12.75" customHeight="1" outlineLevel="1">
      <c r="A114" s="62"/>
      <c r="B114" s="62"/>
      <c r="C114" s="60"/>
      <c r="D114" s="157"/>
      <c r="E114" s="127" t="s">
        <v>196</v>
      </c>
      <c r="F114" s="468">
        <f>IF(H112&gt;100%, 1, 0)</f>
        <v>0</v>
      </c>
      <c r="G114" s="80" t="s">
        <v>188</v>
      </c>
      <c r="H114" s="325"/>
      <c r="I114" s="151"/>
      <c r="J114" s="273"/>
      <c r="K114" s="273"/>
      <c r="L114" s="273"/>
      <c r="M114" s="273"/>
      <c r="N114" s="273"/>
      <c r="O114" s="273"/>
      <c r="P114" s="273"/>
      <c r="Q114" s="327"/>
      <c r="R114" s="327"/>
      <c r="S114" s="327"/>
      <c r="T114" s="327"/>
      <c r="U114" s="273"/>
      <c r="V114" s="273"/>
      <c r="W114" s="273"/>
      <c r="X114"/>
      <c r="Y114"/>
      <c r="Z114"/>
      <c r="AA114"/>
      <c r="AB114"/>
      <c r="AC114"/>
    </row>
    <row r="115" spans="1:29" outlineLevel="1">
      <c r="B115" s="158"/>
      <c r="C115" s="60"/>
      <c r="D115" s="99"/>
      <c r="F115" s="72"/>
      <c r="G115" s="80"/>
      <c r="H115" s="80"/>
      <c r="I115" s="80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</row>
    <row r="116" spans="1:29" ht="12.75" customHeight="1">
      <c r="A116" s="113" t="s">
        <v>197</v>
      </c>
      <c r="B116" s="113"/>
      <c r="C116" s="112"/>
      <c r="D116" s="113"/>
      <c r="E116" s="113"/>
      <c r="F116" s="457"/>
      <c r="G116" s="328"/>
      <c r="H116" s="328"/>
      <c r="I116" s="328"/>
      <c r="J116" s="457"/>
      <c r="K116" s="457"/>
      <c r="L116" s="457"/>
      <c r="M116" s="457"/>
      <c r="N116" s="457"/>
      <c r="O116" s="457"/>
      <c r="P116" s="457"/>
      <c r="Q116" s="457"/>
      <c r="R116" s="457"/>
      <c r="S116" s="457"/>
      <c r="T116" s="457"/>
      <c r="U116" s="457"/>
      <c r="V116" s="457"/>
      <c r="W116" s="457"/>
    </row>
    <row r="117" spans="1:29">
      <c r="B117" s="158"/>
      <c r="C117" s="60"/>
      <c r="D117" s="99"/>
      <c r="F117" s="72"/>
      <c r="G117" s="80"/>
      <c r="H117" s="80"/>
      <c r="I117" s="80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</row>
    <row r="118" spans="1:29" outlineLevel="1">
      <c r="B118" s="97" t="s">
        <v>179</v>
      </c>
      <c r="C118" s="97"/>
      <c r="D118" s="98"/>
      <c r="E118" s="98"/>
      <c r="F118" s="72"/>
      <c r="G118" s="80"/>
      <c r="H118" s="151"/>
      <c r="I118" s="151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</row>
    <row r="119" spans="1:29" outlineLevel="1">
      <c r="B119" s="158"/>
      <c r="C119" s="60"/>
      <c r="D119" s="99"/>
      <c r="F119" s="72"/>
      <c r="G119" s="80"/>
      <c r="H119" s="80"/>
      <c r="I119" s="80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</row>
    <row r="120" spans="1:29" outlineLevel="1">
      <c r="B120" s="158"/>
      <c r="C120" s="60"/>
      <c r="D120" s="99"/>
      <c r="E120" s="72" t="s">
        <v>198</v>
      </c>
      <c r="F120" s="467">
        <v>391.91500000000002</v>
      </c>
      <c r="G120" s="80" t="s">
        <v>77</v>
      </c>
      <c r="H120" s="80"/>
      <c r="I120" s="80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</row>
    <row r="121" spans="1:29" s="5" customFormat="1" outlineLevel="1">
      <c r="A121" s="62"/>
      <c r="B121" s="88"/>
      <c r="C121" s="60"/>
      <c r="D121" s="99"/>
      <c r="E121" s="127"/>
      <c r="F121" s="273"/>
      <c r="G121" s="151"/>
      <c r="H121" s="151"/>
      <c r="I121" s="151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/>
      <c r="Y121"/>
      <c r="Z121"/>
      <c r="AA121"/>
      <c r="AB121"/>
      <c r="AC121"/>
    </row>
    <row r="122" spans="1:29" s="5" customFormat="1" outlineLevel="1">
      <c r="A122" s="62"/>
      <c r="B122" s="88"/>
      <c r="C122" s="60"/>
      <c r="D122" s="99"/>
      <c r="E122" s="127" t="s">
        <v>199</v>
      </c>
      <c r="F122" s="273"/>
      <c r="G122" s="151" t="s">
        <v>85</v>
      </c>
      <c r="H122" s="324">
        <f>SUM(J122:W122)</f>
        <v>-4.03</v>
      </c>
      <c r="I122" s="151"/>
      <c r="J122" s="273"/>
      <c r="K122" s="273"/>
      <c r="L122" s="273"/>
      <c r="M122" s="273"/>
      <c r="N122" s="273"/>
      <c r="O122" s="273"/>
      <c r="P122" s="467">
        <v>0</v>
      </c>
      <c r="Q122" s="467">
        <v>-0.3</v>
      </c>
      <c r="R122" s="467">
        <v>-1.31</v>
      </c>
      <c r="S122" s="467">
        <v>-1.05</v>
      </c>
      <c r="T122" s="467">
        <v>-1.37</v>
      </c>
      <c r="U122" s="273"/>
      <c r="V122" s="273"/>
      <c r="W122" s="273"/>
      <c r="X122"/>
      <c r="Y122"/>
      <c r="Z122"/>
      <c r="AA122"/>
      <c r="AB122"/>
      <c r="AC122"/>
    </row>
    <row r="123" spans="1:29" s="5" customFormat="1" outlineLevel="1">
      <c r="A123" s="62"/>
      <c r="B123" s="88"/>
      <c r="C123" s="60"/>
      <c r="D123" s="99"/>
      <c r="E123" s="127"/>
      <c r="F123" s="273"/>
      <c r="G123" s="151"/>
      <c r="H123" s="151"/>
      <c r="I123" s="151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/>
      <c r="Y123"/>
      <c r="Z123"/>
      <c r="AA123"/>
      <c r="AB123"/>
      <c r="AC123"/>
    </row>
    <row r="124" spans="1:29" s="5" customFormat="1" ht="12.75" customHeight="1" outlineLevel="1">
      <c r="A124" s="62"/>
      <c r="B124" s="62"/>
      <c r="C124" s="60"/>
      <c r="D124" s="157"/>
      <c r="E124" s="127" t="s">
        <v>200</v>
      </c>
      <c r="F124" s="151"/>
      <c r="G124" s="151" t="s">
        <v>77</v>
      </c>
      <c r="H124" s="324">
        <f>SUM(J124:W124)</f>
        <v>2119.4942935739541</v>
      </c>
      <c r="I124" s="151"/>
      <c r="J124" s="273"/>
      <c r="K124" s="273"/>
      <c r="L124" s="273"/>
      <c r="M124" s="273"/>
      <c r="N124" s="273"/>
      <c r="O124" s="273"/>
      <c r="P124" s="467">
        <v>373.41799999999995</v>
      </c>
      <c r="Q124" s="467">
        <v>393.447</v>
      </c>
      <c r="R124" s="467">
        <v>422.76</v>
      </c>
      <c r="S124" s="467">
        <v>454.89399999999995</v>
      </c>
      <c r="T124" s="467">
        <v>474.97529357395405</v>
      </c>
      <c r="U124" s="273"/>
      <c r="V124" s="273"/>
      <c r="W124" s="273"/>
      <c r="X124"/>
      <c r="Y124"/>
      <c r="Z124"/>
      <c r="AA124"/>
      <c r="AB124"/>
      <c r="AC124"/>
    </row>
    <row r="125" spans="1:29" s="5" customFormat="1" ht="12.75" customHeight="1" outlineLevel="1">
      <c r="A125" s="62"/>
      <c r="B125" s="62"/>
      <c r="C125" s="60"/>
      <c r="D125" s="157"/>
      <c r="E125" s="127"/>
      <c r="F125" s="151"/>
      <c r="G125" s="151"/>
      <c r="H125" s="151"/>
      <c r="I125" s="151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/>
      <c r="Y125"/>
      <c r="Z125"/>
      <c r="AA125"/>
      <c r="AB125"/>
      <c r="AC125"/>
    </row>
    <row r="126" spans="1:29" outlineLevel="1">
      <c r="B126" s="97" t="s">
        <v>184</v>
      </c>
      <c r="C126" s="97"/>
      <c r="D126" s="98"/>
      <c r="E126" s="98"/>
      <c r="F126" s="80"/>
      <c r="G126" s="80"/>
      <c r="H126" s="151"/>
      <c r="I126" s="151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</row>
    <row r="127" spans="1:29" s="5" customFormat="1" ht="12.75" customHeight="1" outlineLevel="1">
      <c r="A127" s="62"/>
      <c r="B127" s="62"/>
      <c r="C127" s="60"/>
      <c r="D127" s="157"/>
      <c r="E127" s="127"/>
      <c r="F127" s="151"/>
      <c r="G127" s="151"/>
      <c r="H127" s="151"/>
      <c r="I127" s="151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/>
      <c r="Y127"/>
      <c r="Z127"/>
      <c r="AA127"/>
      <c r="AB127"/>
      <c r="AC127"/>
    </row>
    <row r="128" spans="1:29" s="5" customFormat="1" ht="12.75" customHeight="1" outlineLevel="1">
      <c r="A128" s="62"/>
      <c r="B128" s="62"/>
      <c r="C128" s="60"/>
      <c r="D128" s="157"/>
      <c r="E128" s="72" t="s">
        <v>201</v>
      </c>
      <c r="F128" s="467">
        <v>-0.67540250747777653</v>
      </c>
      <c r="G128" s="80" t="s">
        <v>77</v>
      </c>
      <c r="H128" s="151"/>
      <c r="I128" s="151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/>
      <c r="Y128"/>
      <c r="Z128"/>
      <c r="AA128"/>
      <c r="AB128"/>
      <c r="AC128"/>
    </row>
    <row r="129" spans="1:29" s="5" customFormat="1" ht="12.75" customHeight="1" outlineLevel="1">
      <c r="A129" s="62"/>
      <c r="B129" s="62"/>
      <c r="C129" s="60"/>
      <c r="D129" s="157"/>
      <c r="E129" s="72"/>
      <c r="F129" s="273"/>
      <c r="G129" s="80"/>
      <c r="H129" s="151"/>
      <c r="I129" s="151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/>
      <c r="Y129"/>
      <c r="Z129"/>
      <c r="AA129"/>
      <c r="AB129"/>
      <c r="AC129"/>
    </row>
    <row r="130" spans="1:29" s="5" customFormat="1" ht="12.75" customHeight="1" outlineLevel="1">
      <c r="A130" s="62"/>
      <c r="B130" s="62"/>
      <c r="C130" s="60"/>
      <c r="D130" s="157"/>
      <c r="E130" s="72" t="s">
        <v>202</v>
      </c>
      <c r="F130" s="273"/>
      <c r="G130" s="80" t="s">
        <v>153</v>
      </c>
      <c r="H130" s="325">
        <f>SUM(J130:W130)</f>
        <v>1</v>
      </c>
      <c r="I130" s="151"/>
      <c r="J130" s="273"/>
      <c r="K130" s="273"/>
      <c r="L130" s="273"/>
      <c r="M130" s="273"/>
      <c r="N130" s="273"/>
      <c r="O130" s="273"/>
      <c r="P130" s="273"/>
      <c r="Q130" s="326">
        <v>0.25</v>
      </c>
      <c r="R130" s="326">
        <v>0.25</v>
      </c>
      <c r="S130" s="326">
        <v>0.25</v>
      </c>
      <c r="T130" s="326">
        <v>0.25</v>
      </c>
      <c r="U130" s="273"/>
      <c r="V130" s="273"/>
      <c r="W130" s="273"/>
      <c r="X130"/>
      <c r="Y130"/>
      <c r="Z130"/>
      <c r="AA130"/>
      <c r="AB130"/>
      <c r="AC130"/>
    </row>
    <row r="131" spans="1:29" s="5" customFormat="1" ht="12.75" customHeight="1" outlineLevel="1">
      <c r="A131" s="62"/>
      <c r="B131" s="62"/>
      <c r="C131" s="60"/>
      <c r="D131" s="157"/>
      <c r="E131" s="72"/>
      <c r="F131" s="273"/>
      <c r="G131" s="80"/>
      <c r="H131" s="325"/>
      <c r="I131" s="151"/>
      <c r="J131" s="273"/>
      <c r="K131" s="273"/>
      <c r="L131" s="273"/>
      <c r="M131" s="273"/>
      <c r="N131" s="273"/>
      <c r="O131" s="273"/>
      <c r="P131" s="273"/>
      <c r="Q131" s="327"/>
      <c r="R131" s="327"/>
      <c r="S131" s="327"/>
      <c r="T131" s="327"/>
      <c r="U131" s="273"/>
      <c r="V131" s="273"/>
      <c r="W131" s="273"/>
      <c r="X131"/>
      <c r="Y131"/>
      <c r="Z131"/>
      <c r="AA131"/>
      <c r="AB131"/>
      <c r="AC131"/>
    </row>
    <row r="132" spans="1:29" s="5" customFormat="1" ht="12.75" customHeight="1" outlineLevel="1">
      <c r="A132" s="62"/>
      <c r="B132" s="62"/>
      <c r="C132" s="60"/>
      <c r="D132" s="157"/>
      <c r="E132" s="127" t="s">
        <v>203</v>
      </c>
      <c r="F132" s="468">
        <f>IF(H130&gt;100%, 1, 0)</f>
        <v>0</v>
      </c>
      <c r="G132" s="80" t="s">
        <v>188</v>
      </c>
      <c r="H132" s="325"/>
      <c r="I132" s="151"/>
      <c r="J132" s="273"/>
      <c r="K132" s="273"/>
      <c r="L132" s="273"/>
      <c r="M132" s="273"/>
      <c r="N132" s="273"/>
      <c r="O132" s="273"/>
      <c r="P132" s="273"/>
      <c r="Q132" s="327"/>
      <c r="R132" s="327"/>
      <c r="S132" s="327"/>
      <c r="T132" s="327"/>
      <c r="U132" s="273"/>
      <c r="V132" s="273"/>
      <c r="W132" s="273"/>
      <c r="X132"/>
      <c r="Y132"/>
      <c r="Z132"/>
      <c r="AA132"/>
      <c r="AB132"/>
      <c r="AC132"/>
    </row>
    <row r="133" spans="1:29" outlineLevel="1">
      <c r="F133" s="72"/>
      <c r="G133" s="80"/>
      <c r="H133" s="80"/>
      <c r="I133" s="80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</row>
    <row r="134" spans="1:29" ht="12.75" customHeight="1">
      <c r="A134" s="113" t="s">
        <v>204</v>
      </c>
      <c r="B134" s="113"/>
      <c r="C134" s="112"/>
      <c r="D134" s="113"/>
      <c r="E134" s="113"/>
      <c r="F134" s="457"/>
      <c r="G134" s="328"/>
      <c r="H134" s="328"/>
      <c r="I134" s="328"/>
      <c r="J134" s="457"/>
      <c r="K134" s="457"/>
      <c r="L134" s="457"/>
      <c r="M134" s="457"/>
      <c r="N134" s="457"/>
      <c r="O134" s="457"/>
      <c r="P134" s="457"/>
      <c r="Q134" s="457"/>
      <c r="R134" s="457"/>
      <c r="S134" s="457"/>
      <c r="T134" s="457"/>
      <c r="U134" s="457"/>
      <c r="V134" s="457"/>
      <c r="W134" s="457"/>
    </row>
    <row r="135" spans="1:29">
      <c r="B135" s="158"/>
      <c r="C135" s="60"/>
      <c r="D135" s="99"/>
      <c r="F135" s="72"/>
      <c r="G135" s="80"/>
      <c r="H135" s="80"/>
      <c r="I135" s="80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</row>
    <row r="136" spans="1:29" outlineLevel="1">
      <c r="B136" s="97" t="s">
        <v>179</v>
      </c>
      <c r="C136" s="97"/>
      <c r="D136" s="98"/>
      <c r="E136" s="98"/>
      <c r="F136" s="72"/>
      <c r="G136" s="80"/>
      <c r="H136" s="151"/>
      <c r="I136" s="151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</row>
    <row r="137" spans="1:29" outlineLevel="1">
      <c r="B137" s="158"/>
      <c r="C137" s="60"/>
      <c r="D137" s="99"/>
      <c r="F137" s="72"/>
      <c r="G137" s="80"/>
      <c r="H137" s="80"/>
      <c r="I137" s="80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</row>
    <row r="138" spans="1:29" outlineLevel="1">
      <c r="B138" s="158"/>
      <c r="C138" s="60"/>
      <c r="D138" s="99"/>
      <c r="E138" s="72" t="s">
        <v>205</v>
      </c>
      <c r="F138" s="467"/>
      <c r="G138" s="80" t="s">
        <v>77</v>
      </c>
      <c r="H138" s="80"/>
      <c r="I138" s="80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</row>
    <row r="139" spans="1:29" s="5" customFormat="1" outlineLevel="1">
      <c r="A139" s="62"/>
      <c r="B139" s="88"/>
      <c r="C139" s="60"/>
      <c r="D139" s="99"/>
      <c r="E139" s="127"/>
      <c r="F139" s="273"/>
      <c r="G139" s="151"/>
      <c r="H139" s="151"/>
      <c r="I139" s="151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/>
      <c r="Y139"/>
      <c r="Z139"/>
      <c r="AA139"/>
      <c r="AB139"/>
      <c r="AC139"/>
    </row>
    <row r="140" spans="1:29" s="5" customFormat="1" outlineLevel="1">
      <c r="A140" s="62"/>
      <c r="B140" s="88"/>
      <c r="C140" s="60"/>
      <c r="D140" s="99"/>
      <c r="E140" s="127" t="s">
        <v>206</v>
      </c>
      <c r="F140" s="273"/>
      <c r="G140" s="151" t="s">
        <v>85</v>
      </c>
      <c r="H140" s="324">
        <f>SUM(J140:W140)</f>
        <v>0</v>
      </c>
      <c r="I140" s="151"/>
      <c r="J140" s="68"/>
      <c r="K140" s="68"/>
      <c r="L140" s="68"/>
      <c r="M140" s="68"/>
      <c r="N140" s="68"/>
      <c r="O140" s="68"/>
      <c r="P140" s="456"/>
      <c r="Q140" s="456"/>
      <c r="R140" s="456"/>
      <c r="S140" s="456"/>
      <c r="T140" s="456"/>
      <c r="U140" s="68"/>
      <c r="V140" s="68"/>
      <c r="W140" s="68"/>
      <c r="X140"/>
      <c r="Y140"/>
      <c r="Z140"/>
      <c r="AA140"/>
      <c r="AB140"/>
      <c r="AC140"/>
    </row>
    <row r="141" spans="1:29" s="5" customFormat="1" outlineLevel="1">
      <c r="A141" s="62"/>
      <c r="B141" s="88"/>
      <c r="C141" s="60"/>
      <c r="D141" s="99"/>
      <c r="E141" s="127"/>
      <c r="F141" s="273"/>
      <c r="G141" s="151"/>
      <c r="H141" s="151"/>
      <c r="I141" s="151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/>
      <c r="Y141"/>
      <c r="Z141"/>
      <c r="AA141"/>
      <c r="AB141"/>
      <c r="AC141"/>
    </row>
    <row r="142" spans="1:29" s="5" customFormat="1" ht="12.75" customHeight="1" outlineLevel="1">
      <c r="A142" s="62"/>
      <c r="B142" s="62"/>
      <c r="C142" s="60"/>
      <c r="D142" s="157"/>
      <c r="E142" s="127" t="s">
        <v>207</v>
      </c>
      <c r="F142" s="151"/>
      <c r="G142" s="151" t="s">
        <v>77</v>
      </c>
      <c r="H142" s="324">
        <f>SUM(J142:W142)</f>
        <v>0</v>
      </c>
      <c r="I142" s="151"/>
      <c r="J142" s="68"/>
      <c r="K142" s="68"/>
      <c r="L142" s="68"/>
      <c r="M142" s="68"/>
      <c r="N142" s="68"/>
      <c r="O142" s="68"/>
      <c r="P142" s="456"/>
      <c r="Q142" s="456"/>
      <c r="R142" s="456"/>
      <c r="S142" s="456"/>
      <c r="T142" s="456"/>
      <c r="U142" s="68"/>
      <c r="V142" s="68"/>
      <c r="W142" s="68"/>
      <c r="X142"/>
      <c r="Y142"/>
      <c r="Z142"/>
      <c r="AA142"/>
      <c r="AB142"/>
      <c r="AC142"/>
    </row>
    <row r="143" spans="1:29" s="5" customFormat="1" ht="12.75" customHeight="1" outlineLevel="1">
      <c r="A143" s="62"/>
      <c r="B143" s="62"/>
      <c r="C143" s="60"/>
      <c r="D143" s="157"/>
      <c r="E143" s="127"/>
      <c r="F143" s="151"/>
      <c r="G143" s="151"/>
      <c r="H143" s="151"/>
      <c r="I143" s="151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/>
      <c r="Y143"/>
      <c r="Z143"/>
      <c r="AA143"/>
      <c r="AB143"/>
      <c r="AC143"/>
    </row>
    <row r="144" spans="1:29" outlineLevel="1">
      <c r="B144" s="97" t="s">
        <v>184</v>
      </c>
      <c r="C144" s="97"/>
      <c r="D144" s="98"/>
      <c r="E144" s="98"/>
      <c r="F144" s="80"/>
      <c r="G144" s="80"/>
      <c r="H144" s="151"/>
      <c r="I144" s="151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</row>
    <row r="145" spans="1:29" s="5" customFormat="1" ht="12.75" customHeight="1" outlineLevel="1">
      <c r="A145" s="62"/>
      <c r="B145" s="62"/>
      <c r="C145" s="60"/>
      <c r="D145" s="157"/>
      <c r="E145" s="127"/>
      <c r="F145" s="151"/>
      <c r="G145" s="151"/>
      <c r="H145" s="151"/>
      <c r="I145" s="151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/>
      <c r="Y145"/>
      <c r="Z145"/>
      <c r="AA145"/>
      <c r="AB145"/>
      <c r="AC145"/>
    </row>
    <row r="146" spans="1:29" s="5" customFormat="1" ht="12.75" customHeight="1" outlineLevel="1">
      <c r="A146" s="62"/>
      <c r="B146" s="62"/>
      <c r="C146" s="60"/>
      <c r="D146" s="157"/>
      <c r="E146" s="72" t="s">
        <v>208</v>
      </c>
      <c r="F146" s="467"/>
      <c r="G146" s="80" t="s">
        <v>77</v>
      </c>
      <c r="H146" s="151"/>
      <c r="I146" s="151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/>
      <c r="Y146"/>
      <c r="Z146"/>
      <c r="AA146"/>
      <c r="AB146"/>
      <c r="AC146"/>
    </row>
    <row r="147" spans="1:29" s="5" customFormat="1" ht="12.75" customHeight="1" outlineLevel="1">
      <c r="A147" s="62"/>
      <c r="B147" s="62"/>
      <c r="C147" s="60"/>
      <c r="D147" s="157"/>
      <c r="E147" s="72"/>
      <c r="F147" s="273"/>
      <c r="G147" s="80"/>
      <c r="H147" s="151"/>
      <c r="I147" s="151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/>
      <c r="Y147"/>
      <c r="Z147"/>
      <c r="AA147"/>
      <c r="AB147"/>
      <c r="AC147"/>
    </row>
    <row r="148" spans="1:29" s="5" customFormat="1" ht="12.75" customHeight="1" outlineLevel="1">
      <c r="A148" s="62"/>
      <c r="B148" s="62"/>
      <c r="C148" s="60"/>
      <c r="D148" s="157"/>
      <c r="E148" s="72" t="s">
        <v>209</v>
      </c>
      <c r="F148" s="273"/>
      <c r="G148" s="80" t="s">
        <v>153</v>
      </c>
      <c r="H148" s="325">
        <f>SUM(J148:W148)</f>
        <v>0</v>
      </c>
      <c r="I148" s="151"/>
      <c r="J148" s="68"/>
      <c r="K148" s="68"/>
      <c r="L148" s="68"/>
      <c r="M148" s="68"/>
      <c r="N148" s="68"/>
      <c r="O148" s="68"/>
      <c r="P148" s="68"/>
      <c r="Q148" s="326"/>
      <c r="R148" s="326"/>
      <c r="S148" s="326"/>
      <c r="T148" s="326"/>
      <c r="U148" s="68"/>
      <c r="V148" s="68"/>
      <c r="W148" s="68"/>
      <c r="X148"/>
      <c r="Y148"/>
      <c r="Z148"/>
      <c r="AA148"/>
      <c r="AB148"/>
      <c r="AC148"/>
    </row>
    <row r="149" spans="1:29" s="5" customFormat="1" ht="12.75" customHeight="1" outlineLevel="1">
      <c r="A149" s="62"/>
      <c r="B149" s="62"/>
      <c r="C149" s="60"/>
      <c r="D149" s="157"/>
      <c r="E149" s="72"/>
      <c r="F149" s="273"/>
      <c r="G149" s="80"/>
      <c r="H149" s="325"/>
      <c r="I149" s="151"/>
      <c r="J149" s="68"/>
      <c r="K149" s="68"/>
      <c r="L149" s="68"/>
      <c r="M149" s="68"/>
      <c r="N149" s="68"/>
      <c r="O149" s="68"/>
      <c r="P149" s="68"/>
      <c r="Q149" s="327"/>
      <c r="R149" s="327"/>
      <c r="S149" s="327"/>
      <c r="T149" s="327"/>
      <c r="U149" s="68"/>
      <c r="V149" s="68"/>
      <c r="W149" s="68"/>
      <c r="X149"/>
      <c r="Y149"/>
      <c r="Z149"/>
      <c r="AA149"/>
      <c r="AB149"/>
      <c r="AC149"/>
    </row>
    <row r="150" spans="1:29" s="5" customFormat="1" ht="12.75" customHeight="1" outlineLevel="1">
      <c r="A150" s="62"/>
      <c r="B150" s="62"/>
      <c r="C150" s="60"/>
      <c r="D150" s="157"/>
      <c r="E150" s="127" t="s">
        <v>210</v>
      </c>
      <c r="F150" s="468">
        <f>IF(H148&gt;100%, 1, 0)</f>
        <v>0</v>
      </c>
      <c r="G150" s="80" t="s">
        <v>188</v>
      </c>
      <c r="H150" s="325"/>
      <c r="I150" s="151"/>
      <c r="J150" s="68"/>
      <c r="K150" s="68"/>
      <c r="L150" s="68"/>
      <c r="M150" s="68"/>
      <c r="N150" s="68"/>
      <c r="O150" s="68"/>
      <c r="P150" s="68"/>
      <c r="Q150" s="327"/>
      <c r="R150" s="327"/>
      <c r="S150" s="327"/>
      <c r="T150" s="327"/>
      <c r="U150" s="68"/>
      <c r="V150" s="68"/>
      <c r="W150" s="68"/>
      <c r="X150"/>
      <c r="Y150"/>
      <c r="Z150"/>
      <c r="AA150"/>
      <c r="AB150"/>
      <c r="AC150"/>
    </row>
    <row r="151" spans="1:29" outlineLevel="1">
      <c r="F151" s="80"/>
      <c r="G151" s="80"/>
      <c r="H151" s="80"/>
      <c r="I151" s="80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</row>
    <row r="152" spans="1:29" ht="12.75" customHeight="1">
      <c r="A152" s="113" t="s">
        <v>211</v>
      </c>
      <c r="B152" s="113"/>
      <c r="C152" s="112"/>
      <c r="D152" s="113"/>
      <c r="E152" s="113"/>
      <c r="F152" s="328"/>
      <c r="G152" s="328"/>
      <c r="H152" s="328"/>
      <c r="I152" s="328"/>
      <c r="J152" s="457"/>
      <c r="K152" s="457"/>
      <c r="L152" s="457"/>
      <c r="M152" s="457"/>
      <c r="N152" s="457"/>
      <c r="O152" s="457"/>
      <c r="P152" s="457"/>
      <c r="Q152" s="457"/>
      <c r="R152" s="457"/>
      <c r="S152" s="457"/>
      <c r="T152" s="457"/>
      <c r="U152" s="457"/>
      <c r="V152" s="457"/>
      <c r="W152" s="457"/>
    </row>
    <row r="153" spans="1:29" ht="12.75" customHeight="1">
      <c r="B153" s="103"/>
      <c r="C153" s="1"/>
      <c r="D153" s="99"/>
      <c r="E153" s="1"/>
      <c r="F153" s="331"/>
      <c r="G153" s="427"/>
      <c r="H153" s="427"/>
      <c r="I153" s="331"/>
      <c r="J153" s="458"/>
      <c r="K153" s="458"/>
      <c r="L153" s="458"/>
      <c r="M153" s="458"/>
      <c r="N153" s="458"/>
      <c r="O153" s="458"/>
      <c r="P153" s="458"/>
      <c r="Q153" s="458"/>
      <c r="R153" s="458"/>
      <c r="S153" s="458"/>
      <c r="T153" s="458"/>
      <c r="U153" s="458"/>
      <c r="V153" s="458"/>
      <c r="W153" s="458"/>
    </row>
    <row r="154" spans="1:29" ht="12.75" customHeight="1" outlineLevel="1">
      <c r="B154" s="47"/>
      <c r="C154" s="19"/>
      <c r="D154" s="107"/>
      <c r="E154" s="99" t="s">
        <v>212</v>
      </c>
      <c r="F154" s="266">
        <v>12</v>
      </c>
      <c r="G154" s="151" t="s">
        <v>213</v>
      </c>
      <c r="H154" s="151"/>
      <c r="I154" s="330"/>
      <c r="J154" s="458"/>
      <c r="K154" s="458"/>
      <c r="L154" s="458"/>
      <c r="M154" s="458"/>
      <c r="N154" s="458"/>
      <c r="O154" s="458"/>
      <c r="P154" s="458"/>
      <c r="Q154" s="458"/>
      <c r="R154" s="458"/>
      <c r="S154" s="458"/>
      <c r="T154" s="458"/>
      <c r="U154" s="458"/>
      <c r="V154" s="458"/>
      <c r="W154" s="458"/>
    </row>
    <row r="155" spans="1:29" ht="12.75" customHeight="1" outlineLevel="1">
      <c r="B155" s="47"/>
      <c r="C155" s="19"/>
      <c r="D155" s="107"/>
      <c r="E155" s="27"/>
      <c r="F155" s="474"/>
      <c r="G155" s="329"/>
      <c r="H155" s="329"/>
      <c r="I155" s="330"/>
      <c r="J155" s="458"/>
      <c r="K155" s="458"/>
      <c r="L155" s="458"/>
      <c r="M155" s="458"/>
      <c r="N155" s="458"/>
      <c r="O155" s="458"/>
      <c r="P155" s="458"/>
      <c r="Q155" s="458"/>
      <c r="R155" s="458"/>
      <c r="S155" s="458"/>
      <c r="T155" s="458"/>
      <c r="U155" s="458"/>
      <c r="V155" s="458"/>
      <c r="W155" s="458"/>
    </row>
    <row r="156" spans="1:29" s="13" customFormat="1" ht="12.75" customHeight="1" outlineLevel="1">
      <c r="A156" s="61"/>
      <c r="B156" s="88"/>
      <c r="C156" s="107"/>
      <c r="D156" s="107"/>
      <c r="E156" s="55" t="s">
        <v>214</v>
      </c>
      <c r="F156" s="266">
        <v>100</v>
      </c>
      <c r="G156" s="80" t="s">
        <v>85</v>
      </c>
      <c r="H156" s="80"/>
      <c r="I156" s="80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/>
      <c r="Y156"/>
      <c r="Z156"/>
      <c r="AA156"/>
      <c r="AB156"/>
      <c r="AC156"/>
    </row>
    <row r="157" spans="1:29" s="13" customFormat="1" ht="12.75" customHeight="1" outlineLevel="1">
      <c r="A157" s="61"/>
      <c r="B157" s="88"/>
      <c r="C157" s="107"/>
      <c r="D157" s="107"/>
      <c r="E157" s="55"/>
      <c r="F157" s="353"/>
      <c r="G157" s="80"/>
      <c r="H157" s="80"/>
      <c r="I157" s="80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/>
      <c r="Y157"/>
      <c r="Z157"/>
      <c r="AA157"/>
      <c r="AB157"/>
      <c r="AC157"/>
    </row>
    <row r="158" spans="1:29" s="357" customFormat="1" ht="12.75" outlineLevel="1">
      <c r="A158" s="352"/>
      <c r="B158" s="353" t="s">
        <v>215</v>
      </c>
      <c r="C158" s="353"/>
      <c r="D158" s="353"/>
      <c r="E158" s="354"/>
      <c r="F158" s="353"/>
      <c r="G158" s="355"/>
      <c r="H158" s="356"/>
    </row>
    <row r="159" spans="1:29" s="357" customFormat="1" ht="12.75" outlineLevel="1">
      <c r="A159" s="352"/>
      <c r="B159" s="353"/>
      <c r="C159" s="353"/>
      <c r="D159" s="353"/>
      <c r="E159" s="354" t="s">
        <v>216</v>
      </c>
      <c r="F159" s="358">
        <v>1E-4</v>
      </c>
      <c r="G159" s="355" t="s">
        <v>217</v>
      </c>
      <c r="H159" s="356"/>
    </row>
    <row r="160" spans="1:29" s="357" customFormat="1" ht="12.75" outlineLevel="1">
      <c r="A160" s="352"/>
      <c r="B160" s="353"/>
      <c r="C160" s="353"/>
      <c r="D160" s="353"/>
      <c r="E160" s="354"/>
      <c r="F160" s="353"/>
      <c r="G160" s="355"/>
      <c r="H160" s="356"/>
    </row>
    <row r="161" spans="1:23" s="357" customFormat="1" outlineLevel="1">
      <c r="A161" s="359"/>
      <c r="B161" s="360"/>
      <c r="C161" s="360"/>
      <c r="D161" s="361"/>
      <c r="E161" s="362" t="s">
        <v>218</v>
      </c>
      <c r="F161" s="363">
        <v>1E-3</v>
      </c>
      <c r="G161" s="364" t="s">
        <v>217</v>
      </c>
      <c r="H161" s="364"/>
    </row>
    <row r="162" spans="1:23" ht="12.75" customHeight="1" outlineLevel="1">
      <c r="B162" s="47"/>
      <c r="C162" s="19"/>
      <c r="D162" s="107"/>
      <c r="E162" s="130"/>
      <c r="F162" s="459"/>
      <c r="G162" s="332"/>
      <c r="H162" s="332"/>
      <c r="I162" s="330"/>
      <c r="J162" s="458"/>
      <c r="K162" s="458"/>
      <c r="L162" s="458"/>
      <c r="M162" s="458"/>
      <c r="N162" s="458"/>
      <c r="O162" s="458"/>
      <c r="P162" s="458"/>
      <c r="Q162" s="458"/>
      <c r="R162" s="458"/>
      <c r="S162" s="458"/>
      <c r="T162" s="458"/>
      <c r="U162" s="458"/>
      <c r="V162" s="458"/>
      <c r="W162" s="458"/>
    </row>
    <row r="163" spans="1:23" s="116" customFormat="1">
      <c r="A163" s="116" t="s">
        <v>219</v>
      </c>
      <c r="C163" s="117"/>
      <c r="D163" s="118"/>
      <c r="E163" s="117"/>
      <c r="F163" s="333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</row>
    <row r="164" spans="1:23" hidden="1"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</row>
    <row r="165" spans="1:23"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</row>
    <row r="176" spans="1:23"/>
    <row r="178"/>
    <row r="179"/>
    <row r="180"/>
    <row r="181"/>
    <row r="182"/>
    <row r="183"/>
    <row r="184"/>
    <row r="185"/>
    <row r="186"/>
    <row r="192"/>
    <row r="193"/>
    <row r="194"/>
    <row r="195"/>
    <row r="196"/>
    <row r="197"/>
    <row r="198"/>
    <row r="199"/>
    <row r="200"/>
    <row r="201"/>
    <row r="202"/>
    <row r="203"/>
    <row r="204"/>
    <row r="205"/>
  </sheetData>
  <conditionalFormatting sqref="C12:D12 C15:D16">
    <cfRule type="cellIs" dxfId="112" priority="979" stopIfTrue="1" operator="equal">
      <formula>"N/A"</formula>
    </cfRule>
    <cfRule type="cellIs" dxfId="111" priority="980" stopIfTrue="1" operator="notEqual">
      <formula>""</formula>
    </cfRule>
  </conditionalFormatting>
  <conditionalFormatting sqref="E31">
    <cfRule type="duplicateValues" dxfId="110" priority="985"/>
  </conditionalFormatting>
  <conditionalFormatting sqref="E33:E34">
    <cfRule type="duplicateValues" dxfId="109" priority="64"/>
  </conditionalFormatting>
  <conditionalFormatting sqref="E39">
    <cfRule type="duplicateValues" dxfId="108" priority="51"/>
  </conditionalFormatting>
  <conditionalFormatting sqref="E71:E75">
    <cfRule type="duplicateValues" dxfId="107" priority="992"/>
  </conditionalFormatting>
  <conditionalFormatting sqref="E88:E94">
    <cfRule type="duplicateValues" dxfId="106" priority="50"/>
  </conditionalFormatting>
  <conditionalFormatting sqref="E162:E1048576 E2:E30 E35:E38 E40:E70 E95:E105 E107:E157 E76:E87">
    <cfRule type="duplicateValues" dxfId="105" priority="68"/>
  </conditionalFormatting>
  <conditionalFormatting sqref="F2">
    <cfRule type="cellIs" dxfId="104" priority="38" stopIfTrue="1" operator="notEqual">
      <formula>0</formula>
    </cfRule>
    <cfRule type="cellIs" dxfId="103" priority="39" stopIfTrue="1" operator="equal">
      <formula>""</formula>
    </cfRule>
  </conditionalFormatting>
  <conditionalFormatting sqref="F3">
    <cfRule type="cellIs" dxfId="102" priority="36" stopIfTrue="1" operator="notEqual">
      <formula>0</formula>
    </cfRule>
    <cfRule type="cellIs" dxfId="101" priority="37" stopIfTrue="1" operator="equal">
      <formula>""</formula>
    </cfRule>
  </conditionalFormatting>
  <conditionalFormatting sqref="F94">
    <cfRule type="cellIs" dxfId="100" priority="5" stopIfTrue="1" operator="notEqual">
      <formula>0</formula>
    </cfRule>
    <cfRule type="cellIs" dxfId="99" priority="6" stopIfTrue="1" operator="equal">
      <formula>""</formula>
    </cfRule>
  </conditionalFormatting>
  <conditionalFormatting sqref="F114">
    <cfRule type="cellIs" dxfId="98" priority="3" stopIfTrue="1" operator="notEqual">
      <formula>0</formula>
    </cfRule>
    <cfRule type="cellIs" dxfId="97" priority="4" stopIfTrue="1" operator="equal">
      <formula>""</formula>
    </cfRule>
  </conditionalFormatting>
  <conditionalFormatting sqref="F132">
    <cfRule type="cellIs" dxfId="96" priority="1" stopIfTrue="1" operator="notEqual">
      <formula>0</formula>
    </cfRule>
    <cfRule type="cellIs" dxfId="95" priority="2" stopIfTrue="1" operator="equal">
      <formula>""</formula>
    </cfRule>
  </conditionalFormatting>
  <conditionalFormatting sqref="F150">
    <cfRule type="cellIs" dxfId="94" priority="7" stopIfTrue="1" operator="notEqual">
      <formula>0</formula>
    </cfRule>
    <cfRule type="cellIs" dxfId="93" priority="8" stopIfTrue="1" operator="equal">
      <formula>""</formula>
    </cfRule>
  </conditionalFormatting>
  <conditionalFormatting sqref="G73:G74">
    <cfRule type="cellIs" dxfId="92" priority="42" operator="equal">
      <formula>"Error"</formula>
    </cfRule>
    <cfRule type="containsText" dxfId="91" priority="43" operator="containsText" text="No">
      <formula>NOT(ISERROR(SEARCH("No",G73)))</formula>
    </cfRule>
  </conditionalFormatting>
  <conditionalFormatting sqref="J3:W3">
    <cfRule type="cellIs" dxfId="90" priority="28" stopIfTrue="1" operator="equal">
      <formula>$F$20</formula>
    </cfRule>
    <cfRule type="cellIs" dxfId="89" priority="29" stopIfTrue="1" operator="equal">
      <formula>$F$19</formula>
    </cfRule>
  </conditionalFormatting>
  <conditionalFormatting sqref="J73:XFD73 J74:W74">
    <cfRule type="expression" dxfId="88" priority="27">
      <formula>$F73="Partial waiver"</formula>
    </cfRule>
  </conditionalFormatting>
  <dataValidations count="2">
    <dataValidation type="list" allowBlank="1" showInputMessage="1" showErrorMessage="1" sqref="F49" xr:uid="{DCA20DA8-8360-410E-9321-E4B05453054A}">
      <formula1>"WaSC, WoC"</formula1>
    </dataValidation>
    <dataValidation type="list" allowBlank="1" showInputMessage="1" showErrorMessage="1" sqref="F73:F74" xr:uid="{F72C734F-4845-4005-A305-B38344DC2123}">
      <formula1>"No waiver, Partial waiver, Full waiver"</formula1>
    </dataValidation>
  </dataValidations>
  <pageMargins left="0.7" right="0.7" top="0.75" bottom="0.75" header="0.3" footer="0.3"/>
  <pageSetup paperSize="9" scale="30" fitToHeight="0" orientation="portrait" r:id="rId1"/>
  <headerFooter>
    <oddHeader>&amp;LPage &amp;P of &amp;N&amp;CSheet: &amp;A&amp;ROFFICIAL SENSITIVE</oddHeader>
    <oddFooter>&amp;L&amp;F printed on &amp;D at &amp;T&amp;ROFWAT</oddFooter>
  </headerFooter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8211-73C9-47E4-ACBF-525EC1803AA5}">
  <sheetPr codeName="Sheet45">
    <outlinePr summaryBelow="0" summaryRight="0"/>
  </sheetPr>
  <dimension ref="A1:X134"/>
  <sheetViews>
    <sheetView showGridLines="0" zoomScale="80" zoomScaleNormal="80" workbookViewId="0">
      <pane xSplit="9" ySplit="5" topLeftCell="J97" activePane="bottomRight" state="frozen"/>
      <selection pane="topRight" activeCell="C22" sqref="C22"/>
      <selection pane="bottomLeft" activeCell="C22" sqref="C22"/>
      <selection pane="bottomRight" activeCell="C22" sqref="C22"/>
    </sheetView>
  </sheetViews>
  <sheetFormatPr defaultColWidth="0" defaultRowHeight="13.15" zeroHeight="1" outlineLevelRow="1"/>
  <cols>
    <col min="1" max="2" width="1.3984375" style="88" customWidth="1"/>
    <col min="3" max="3" width="1.3984375" style="89" customWidth="1"/>
    <col min="4" max="4" width="1.3984375" style="56" customWidth="1"/>
    <col min="5" max="5" width="34.59765625" bestFit="1" customWidth="1"/>
    <col min="6" max="6" width="12.59765625" customWidth="1"/>
    <col min="7" max="7" width="11.59765625" customWidth="1"/>
    <col min="8" max="8" width="15.59765625" customWidth="1"/>
    <col min="9" max="9" width="2.59765625" style="5" customWidth="1"/>
    <col min="10" max="23" width="12.59765625" customWidth="1"/>
    <col min="24" max="24" width="0" hidden="1" customWidth="1"/>
    <col min="25" max="16384" width="9.1328125" hidden="1"/>
  </cols>
  <sheetData>
    <row r="1" spans="1:23" ht="29.65">
      <c r="A1" s="211" t="str">
        <f ca="1" xml:space="preserve"> RIGHT(CELL("FILENAME", $A$1), LEN(CELL("FILENAME", $A$1)) - SEARCH("]", CELL("FILENAME", $A$1)))</f>
        <v>Time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E3" s="107" t="str">
        <f xml:space="preserve"> Time!E$105</f>
        <v>Timeline label</v>
      </c>
      <c r="F3" s="156">
        <f xml:space="preserve"> Check!F$24</f>
        <v>2</v>
      </c>
      <c r="G3" s="80" t="str">
        <f xml:space="preserve"> Check!G$24</f>
        <v>Alerts</v>
      </c>
      <c r="H3" s="107"/>
      <c r="I3" s="56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>
      <c r="E4" s="56" t="str">
        <f xml:space="preserve"> Time!E$127</f>
        <v>Financial year ending</v>
      </c>
      <c r="F4" s="24"/>
      <c r="G4" s="24"/>
      <c r="H4" s="107"/>
      <c r="I4" s="56"/>
      <c r="J4" s="21">
        <f xml:space="preserve"> Time!J$127</f>
        <v>2015</v>
      </c>
      <c r="K4" s="21">
        <f xml:space="preserve"> Time!K$127</f>
        <v>2016</v>
      </c>
      <c r="L4" s="21">
        <f xml:space="preserve"> Time!L$127</f>
        <v>2017</v>
      </c>
      <c r="M4" s="21">
        <f xml:space="preserve"> Time!M$127</f>
        <v>2018</v>
      </c>
      <c r="N4" s="21">
        <f xml:space="preserve"> Time!N$127</f>
        <v>2019</v>
      </c>
      <c r="O4" s="21">
        <f xml:space="preserve"> Time!O$127</f>
        <v>2020</v>
      </c>
      <c r="P4" s="21">
        <f xml:space="preserve"> Time!P$127</f>
        <v>2021</v>
      </c>
      <c r="Q4" s="21">
        <f xml:space="preserve"> Time!Q$127</f>
        <v>2022</v>
      </c>
      <c r="R4" s="21">
        <f xml:space="preserve"> Time!R$127</f>
        <v>2023</v>
      </c>
      <c r="S4" s="21">
        <f xml:space="preserve"> Time!S$127</f>
        <v>2024</v>
      </c>
      <c r="T4" s="21">
        <f xml:space="preserve"> Time!T$127</f>
        <v>2025</v>
      </c>
      <c r="U4" s="21">
        <f xml:space="preserve"> Time!U$127</f>
        <v>2026</v>
      </c>
      <c r="V4" s="21">
        <f xml:space="preserve"> Time!V$127</f>
        <v>2027</v>
      </c>
      <c r="W4" s="21">
        <f xml:space="preserve"> Time!W$127</f>
        <v>2028</v>
      </c>
    </row>
    <row r="5" spans="1:23">
      <c r="E5" s="56" t="str">
        <f xml:space="preserve"> Time!E$10</f>
        <v>Model column counter</v>
      </c>
      <c r="F5" s="48" t="s">
        <v>116</v>
      </c>
      <c r="G5" s="158" t="s">
        <v>117</v>
      </c>
      <c r="H5" s="48" t="s">
        <v>118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/>
    <row r="7" spans="1:23" ht="12.75" customHeight="1">
      <c r="A7" s="113" t="s">
        <v>220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E8" s="107"/>
      <c r="F8" s="107"/>
      <c r="G8" s="107"/>
      <c r="H8" s="107"/>
      <c r="I8" s="5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</row>
    <row r="9" spans="1:23" outlineLevel="1">
      <c r="B9" s="88" t="s">
        <v>221</v>
      </c>
      <c r="E9" s="107"/>
      <c r="F9" s="107"/>
      <c r="G9" s="107"/>
      <c r="H9" s="107"/>
      <c r="I9" s="5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</row>
    <row r="10" spans="1:23" outlineLevel="1">
      <c r="E10" s="16" t="s">
        <v>222</v>
      </c>
      <c r="F10" s="16"/>
      <c r="G10" s="16" t="s">
        <v>223</v>
      </c>
      <c r="H10" s="16"/>
      <c r="I10" s="16"/>
      <c r="J10" s="226">
        <f t="shared" ref="J10:W10" si="0" xml:space="preserve"> I10 + 1</f>
        <v>1</v>
      </c>
      <c r="K10" s="226">
        <f t="shared" si="0"/>
        <v>2</v>
      </c>
      <c r="L10" s="226">
        <f t="shared" si="0"/>
        <v>3</v>
      </c>
      <c r="M10" s="226">
        <f t="shared" si="0"/>
        <v>4</v>
      </c>
      <c r="N10" s="226">
        <f t="shared" si="0"/>
        <v>5</v>
      </c>
      <c r="O10" s="226">
        <f t="shared" si="0"/>
        <v>6</v>
      </c>
      <c r="P10" s="226">
        <f t="shared" si="0"/>
        <v>7</v>
      </c>
      <c r="Q10" s="226">
        <f t="shared" si="0"/>
        <v>8</v>
      </c>
      <c r="R10" s="226">
        <f t="shared" si="0"/>
        <v>9</v>
      </c>
      <c r="S10" s="226">
        <f t="shared" si="0"/>
        <v>10</v>
      </c>
      <c r="T10" s="226">
        <f t="shared" si="0"/>
        <v>11</v>
      </c>
      <c r="U10" s="226">
        <f t="shared" si="0"/>
        <v>12</v>
      </c>
      <c r="V10" s="226">
        <f t="shared" si="0"/>
        <v>13</v>
      </c>
      <c r="W10" s="226">
        <f t="shared" si="0"/>
        <v>14</v>
      </c>
    </row>
    <row r="11" spans="1:23" outlineLevel="1">
      <c r="E11" s="99" t="s">
        <v>224</v>
      </c>
      <c r="F11" s="10">
        <f xml:space="preserve"> MAX(J10:W10)</f>
        <v>14</v>
      </c>
      <c r="G11" s="99" t="s">
        <v>225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</row>
    <row r="12" spans="1:23" outlineLevel="1">
      <c r="E12" s="55"/>
      <c r="F12" s="55"/>
      <c r="G12" s="55"/>
      <c r="H12" s="55"/>
      <c r="I12" s="99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spans="1:23" outlineLevel="1">
      <c r="E13" s="46" t="str">
        <f t="shared" ref="E13:S13" si="1" xml:space="preserve"> E$10</f>
        <v>Model column counter</v>
      </c>
      <c r="F13" s="46">
        <f t="shared" si="1"/>
        <v>0</v>
      </c>
      <c r="G13" s="46" t="str">
        <f t="shared" si="1"/>
        <v>counter</v>
      </c>
      <c r="H13" s="46">
        <f t="shared" si="1"/>
        <v>0</v>
      </c>
      <c r="I13" s="46">
        <f t="shared" si="1"/>
        <v>0</v>
      </c>
      <c r="J13" s="99">
        <f t="shared" si="1"/>
        <v>1</v>
      </c>
      <c r="K13" s="99">
        <f t="shared" si="1"/>
        <v>2</v>
      </c>
      <c r="L13" s="99">
        <f t="shared" si="1"/>
        <v>3</v>
      </c>
      <c r="M13" s="99">
        <f t="shared" si="1"/>
        <v>4</v>
      </c>
      <c r="N13" s="99">
        <f t="shared" si="1"/>
        <v>5</v>
      </c>
      <c r="O13" s="99">
        <f t="shared" si="1"/>
        <v>6</v>
      </c>
      <c r="P13" s="99">
        <f t="shared" si="1"/>
        <v>7</v>
      </c>
      <c r="Q13" s="99">
        <f t="shared" si="1"/>
        <v>8</v>
      </c>
      <c r="R13" s="99">
        <f t="shared" si="1"/>
        <v>9</v>
      </c>
      <c r="S13" s="99">
        <f t="shared" si="1"/>
        <v>10</v>
      </c>
      <c r="T13" s="99">
        <f xml:space="preserve"> T$10</f>
        <v>11</v>
      </c>
      <c r="U13" s="99">
        <f xml:space="preserve"> U$10</f>
        <v>12</v>
      </c>
      <c r="V13" s="99">
        <f xml:space="preserve"> V$10</f>
        <v>13</v>
      </c>
      <c r="W13" s="99">
        <f xml:space="preserve"> W$10</f>
        <v>14</v>
      </c>
    </row>
    <row r="14" spans="1:23" outlineLevel="1">
      <c r="E14" s="99" t="s">
        <v>226</v>
      </c>
      <c r="F14" s="99"/>
      <c r="G14" s="99" t="s">
        <v>227</v>
      </c>
      <c r="H14" s="99">
        <f xml:space="preserve"> SUM(J14:W14)</f>
        <v>1</v>
      </c>
      <c r="I14" s="99"/>
      <c r="J14" s="99">
        <f t="shared" ref="J14:R14" si="2" xml:space="preserve"> IF(J13 = 1, 1, 0)</f>
        <v>1</v>
      </c>
      <c r="K14" s="99">
        <f t="shared" si="2"/>
        <v>0</v>
      </c>
      <c r="L14" s="99">
        <f t="shared" si="2"/>
        <v>0</v>
      </c>
      <c r="M14" s="99">
        <f t="shared" si="2"/>
        <v>0</v>
      </c>
      <c r="N14" s="99">
        <f t="shared" si="2"/>
        <v>0</v>
      </c>
      <c r="O14" s="99">
        <f t="shared" si="2"/>
        <v>0</v>
      </c>
      <c r="P14" s="99">
        <f t="shared" si="2"/>
        <v>0</v>
      </c>
      <c r="Q14" s="99">
        <f t="shared" si="2"/>
        <v>0</v>
      </c>
      <c r="R14" s="99">
        <f t="shared" si="2"/>
        <v>0</v>
      </c>
      <c r="S14" s="99">
        <f xml:space="preserve"> IF(S13 = 1, 1, 0)</f>
        <v>0</v>
      </c>
      <c r="T14" s="99">
        <f xml:space="preserve"> IF(T13 = 1, 1, 0)</f>
        <v>0</v>
      </c>
      <c r="U14" s="99">
        <f xml:space="preserve"> IF(U13 = 1, 1, 0)</f>
        <v>0</v>
      </c>
      <c r="V14" s="99">
        <f xml:space="preserve"> IF(V13 = 1, 1, 0)</f>
        <v>0</v>
      </c>
      <c r="W14" s="99">
        <f xml:space="preserve"> IF(W13 = 1, 1, 0)</f>
        <v>0</v>
      </c>
    </row>
    <row r="15" spans="1:23" outlineLevel="1"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</row>
    <row r="16" spans="1:23" outlineLevel="1">
      <c r="B16" s="88" t="s">
        <v>228</v>
      </c>
      <c r="E16" s="99"/>
      <c r="F16" s="99"/>
      <c r="G16" s="99"/>
      <c r="H16" s="99"/>
      <c r="I16" s="99"/>
      <c r="J16" s="99"/>
      <c r="K16" s="99"/>
      <c r="L16" s="99"/>
      <c r="M16" s="91"/>
      <c r="N16" s="99"/>
      <c r="O16" s="99"/>
      <c r="P16" s="99"/>
      <c r="Q16" s="99"/>
      <c r="R16" s="99"/>
      <c r="S16" s="99"/>
      <c r="T16" s="99"/>
      <c r="U16" s="99"/>
      <c r="V16" s="99"/>
      <c r="W16" s="99"/>
    </row>
    <row r="17" spans="1:23" outlineLevel="1">
      <c r="E17" s="135" t="str">
        <f xml:space="preserve"> Inputs!E$12</f>
        <v>1st model column start date</v>
      </c>
      <c r="F17" s="14">
        <f xml:space="preserve"> Inputs!F$12</f>
        <v>41730</v>
      </c>
      <c r="G17" s="135" t="str">
        <f xml:space="preserve"> Inputs!G$12</f>
        <v>date</v>
      </c>
      <c r="H17" s="135" t="str">
        <f xml:space="preserve"> Inputs!H$12</f>
        <v>Date should be the first date of the financial year</v>
      </c>
      <c r="I17" s="135">
        <f xml:space="preserve"> Inputs!I$12</f>
        <v>0</v>
      </c>
      <c r="J17" s="135">
        <f xml:space="preserve"> Inputs!J$12</f>
        <v>0</v>
      </c>
      <c r="K17" s="135">
        <f xml:space="preserve"> Inputs!K$12</f>
        <v>0</v>
      </c>
      <c r="L17" s="135">
        <f xml:space="preserve"> Inputs!L$12</f>
        <v>0</v>
      </c>
      <c r="M17" s="135">
        <f xml:space="preserve"> Inputs!M$12</f>
        <v>0</v>
      </c>
      <c r="N17" s="135">
        <f xml:space="preserve"> Inputs!N$12</f>
        <v>0</v>
      </c>
      <c r="O17" s="135">
        <f xml:space="preserve"> Inputs!O$12</f>
        <v>0</v>
      </c>
      <c r="P17" s="135">
        <f xml:space="preserve"> Inputs!P$12</f>
        <v>0</v>
      </c>
      <c r="Q17" s="135">
        <f xml:space="preserve"> Inputs!Q$12</f>
        <v>0</v>
      </c>
      <c r="R17" s="135">
        <f xml:space="preserve"> Inputs!R$12</f>
        <v>0</v>
      </c>
      <c r="S17" s="135">
        <f xml:space="preserve"> Inputs!S$12</f>
        <v>0</v>
      </c>
      <c r="T17" s="135">
        <f xml:space="preserve"> Inputs!T$12</f>
        <v>0</v>
      </c>
      <c r="U17" s="135">
        <f xml:space="preserve"> Inputs!U$12</f>
        <v>0</v>
      </c>
      <c r="V17" s="135">
        <f xml:space="preserve"> Inputs!V$12</f>
        <v>0</v>
      </c>
      <c r="W17" s="135">
        <f xml:space="preserve"> Inputs!W$12</f>
        <v>0</v>
      </c>
    </row>
    <row r="18" spans="1:23" outlineLevel="1">
      <c r="E18" s="111" t="str">
        <f xml:space="preserve"> Inputs!E$154</f>
        <v>Months per model period</v>
      </c>
      <c r="F18" s="111">
        <f xml:space="preserve"> Inputs!F$154</f>
        <v>12</v>
      </c>
      <c r="G18" s="111" t="str">
        <f xml:space="preserve"> Inputs!G$154</f>
        <v>months</v>
      </c>
      <c r="H18" s="111">
        <f xml:space="preserve"> Inputs!H$154</f>
        <v>0</v>
      </c>
      <c r="I18" s="111">
        <f xml:space="preserve"> Inputs!I$154</f>
        <v>0</v>
      </c>
      <c r="J18" s="111">
        <f xml:space="preserve"> Inputs!J$154</f>
        <v>0</v>
      </c>
      <c r="K18" s="111">
        <f xml:space="preserve"> Inputs!K$154</f>
        <v>0</v>
      </c>
      <c r="L18" s="111">
        <f xml:space="preserve"> Inputs!L$154</f>
        <v>0</v>
      </c>
      <c r="M18" s="111">
        <f xml:space="preserve"> Inputs!M$154</f>
        <v>0</v>
      </c>
      <c r="N18" s="111">
        <f xml:space="preserve"> Inputs!N$154</f>
        <v>0</v>
      </c>
      <c r="O18" s="111">
        <f xml:space="preserve"> Inputs!O$154</f>
        <v>0</v>
      </c>
      <c r="P18" s="111">
        <f xml:space="preserve"> Inputs!P$154</f>
        <v>0</v>
      </c>
      <c r="Q18" s="111">
        <f xml:space="preserve"> Inputs!Q$154</f>
        <v>0</v>
      </c>
      <c r="R18" s="111">
        <f xml:space="preserve"> Inputs!R$154</f>
        <v>0</v>
      </c>
      <c r="S18" s="111">
        <f xml:space="preserve"> Inputs!S$154</f>
        <v>0</v>
      </c>
      <c r="T18" s="111">
        <f xml:space="preserve"> Inputs!T$154</f>
        <v>0</v>
      </c>
      <c r="U18" s="111">
        <f xml:space="preserve"> Inputs!U$154</f>
        <v>0</v>
      </c>
      <c r="V18" s="111">
        <f xml:space="preserve"> Inputs!V$154</f>
        <v>0</v>
      </c>
      <c r="W18" s="111">
        <f xml:space="preserve"> Inputs!W$154</f>
        <v>0</v>
      </c>
    </row>
    <row r="19" spans="1:23" outlineLevel="1">
      <c r="E19" s="55" t="str">
        <f t="shared" ref="E19:S19" si="3" xml:space="preserve"> E$14</f>
        <v>1st model column flag</v>
      </c>
      <c r="F19" s="55">
        <f t="shared" si="3"/>
        <v>0</v>
      </c>
      <c r="G19" s="55" t="str">
        <f t="shared" si="3"/>
        <v>flag</v>
      </c>
      <c r="H19" s="55">
        <f t="shared" si="3"/>
        <v>1</v>
      </c>
      <c r="I19" s="55">
        <f t="shared" si="3"/>
        <v>0</v>
      </c>
      <c r="J19" s="55">
        <f xml:space="preserve"> J$14</f>
        <v>1</v>
      </c>
      <c r="K19" s="55">
        <f t="shared" si="3"/>
        <v>0</v>
      </c>
      <c r="L19" s="55">
        <f t="shared" si="3"/>
        <v>0</v>
      </c>
      <c r="M19" s="55">
        <f t="shared" si="3"/>
        <v>0</v>
      </c>
      <c r="N19" s="55">
        <f t="shared" si="3"/>
        <v>0</v>
      </c>
      <c r="O19" s="55">
        <f t="shared" si="3"/>
        <v>0</v>
      </c>
      <c r="P19" s="55">
        <f t="shared" si="3"/>
        <v>0</v>
      </c>
      <c r="Q19" s="55">
        <f t="shared" si="3"/>
        <v>0</v>
      </c>
      <c r="R19" s="55">
        <f t="shared" si="3"/>
        <v>0</v>
      </c>
      <c r="S19" s="55">
        <f t="shared" si="3"/>
        <v>0</v>
      </c>
      <c r="T19" s="55">
        <f xml:space="preserve"> T$14</f>
        <v>0</v>
      </c>
      <c r="U19" s="55">
        <f xml:space="preserve"> U$14</f>
        <v>0</v>
      </c>
      <c r="V19" s="55">
        <f xml:space="preserve"> V$14</f>
        <v>0</v>
      </c>
      <c r="W19" s="55">
        <f xml:space="preserve"> W$14</f>
        <v>0</v>
      </c>
    </row>
    <row r="20" spans="1:23" outlineLevel="1">
      <c r="E20" s="55" t="s">
        <v>228</v>
      </c>
      <c r="F20" s="8"/>
      <c r="G20" s="25" t="s">
        <v>123</v>
      </c>
      <c r="H20" s="55"/>
      <c r="I20" s="9"/>
      <c r="J20" s="9">
        <f t="shared" ref="J20:R20" si="4" xml:space="preserve"> IF(J19 = 1, $F17, DATE(YEAR(I20), MONTH(I20) + $F18, DAY(1)))</f>
        <v>41730</v>
      </c>
      <c r="K20" s="9">
        <f t="shared" si="4"/>
        <v>42095</v>
      </c>
      <c r="L20" s="9">
        <f t="shared" si="4"/>
        <v>42461</v>
      </c>
      <c r="M20" s="9">
        <f t="shared" si="4"/>
        <v>42826</v>
      </c>
      <c r="N20" s="9">
        <f t="shared" si="4"/>
        <v>43191</v>
      </c>
      <c r="O20" s="9">
        <f t="shared" si="4"/>
        <v>43556</v>
      </c>
      <c r="P20" s="9">
        <f t="shared" si="4"/>
        <v>43922</v>
      </c>
      <c r="Q20" s="9">
        <f t="shared" si="4"/>
        <v>44287</v>
      </c>
      <c r="R20" s="9">
        <f t="shared" si="4"/>
        <v>44652</v>
      </c>
      <c r="S20" s="9">
        <f xml:space="preserve"> IF(S19 = 1, $F17, DATE(YEAR(R20), MONTH(R20) + $F18, DAY(1)))</f>
        <v>45017</v>
      </c>
      <c r="T20" s="9">
        <f xml:space="preserve"> IF(T19 = 1, $F17, DATE(YEAR(S20), MONTH(S20) + $F18, DAY(1)))</f>
        <v>45383</v>
      </c>
      <c r="U20" s="9">
        <f xml:space="preserve"> IF(U19 = 1, $F17, DATE(YEAR(T20), MONTH(T20) + $F18, DAY(1)))</f>
        <v>45748</v>
      </c>
      <c r="V20" s="9">
        <f xml:space="preserve"> IF(V19 = 1, $F17, DATE(YEAR(U20), MONTH(U20) + $F18, DAY(1)))</f>
        <v>46113</v>
      </c>
      <c r="W20" s="9">
        <f xml:space="preserve"> IF(W19 = 1, $F17, DATE(YEAR(V20), MONTH(V20) + $F18, DAY(1)))</f>
        <v>46478</v>
      </c>
    </row>
    <row r="21" spans="1:23" outlineLevel="1">
      <c r="E21" s="99"/>
      <c r="F21" s="8"/>
      <c r="G21" s="6"/>
      <c r="H21" s="9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outlineLevel="1">
      <c r="B22" s="88" t="s">
        <v>229</v>
      </c>
      <c r="C22" s="341" t="s">
        <v>26</v>
      </c>
      <c r="E22" s="99"/>
      <c r="F22" s="8"/>
      <c r="G22" s="6"/>
      <c r="H22" s="9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outlineLevel="1">
      <c r="E23" s="111" t="str">
        <f xml:space="preserve"> Inputs!E$154</f>
        <v>Months per model period</v>
      </c>
      <c r="F23" s="111">
        <f xml:space="preserve"> Inputs!F$154</f>
        <v>12</v>
      </c>
      <c r="G23" s="111" t="str">
        <f xml:space="preserve"> Inputs!G$154</f>
        <v>months</v>
      </c>
      <c r="H23" s="111">
        <f xml:space="preserve"> Inputs!H$154</f>
        <v>0</v>
      </c>
      <c r="I23" s="111">
        <f xml:space="preserve"> Inputs!I$154</f>
        <v>0</v>
      </c>
      <c r="J23" s="111">
        <f xml:space="preserve"> Inputs!J$154</f>
        <v>0</v>
      </c>
      <c r="K23" s="111">
        <f xml:space="preserve"> Inputs!K$154</f>
        <v>0</v>
      </c>
      <c r="L23" s="111">
        <f xml:space="preserve"> Inputs!L$154</f>
        <v>0</v>
      </c>
      <c r="M23" s="111">
        <f xml:space="preserve"> Inputs!M$154</f>
        <v>0</v>
      </c>
      <c r="N23" s="111">
        <f xml:space="preserve"> Inputs!N$154</f>
        <v>0</v>
      </c>
      <c r="O23" s="111">
        <f xml:space="preserve"> Inputs!O$154</f>
        <v>0</v>
      </c>
      <c r="P23" s="111">
        <f xml:space="preserve"> Inputs!P$154</f>
        <v>0</v>
      </c>
      <c r="Q23" s="111">
        <f xml:space="preserve"> Inputs!Q$154</f>
        <v>0</v>
      </c>
      <c r="R23" s="111">
        <f xml:space="preserve"> Inputs!R$154</f>
        <v>0</v>
      </c>
      <c r="S23" s="111">
        <f xml:space="preserve"> Inputs!S$154</f>
        <v>0</v>
      </c>
      <c r="T23" s="111">
        <f xml:space="preserve"> Inputs!T$154</f>
        <v>0</v>
      </c>
      <c r="U23" s="111">
        <f xml:space="preserve"> Inputs!U$154</f>
        <v>0</v>
      </c>
      <c r="V23" s="111">
        <f xml:space="preserve"> Inputs!V$154</f>
        <v>0</v>
      </c>
      <c r="W23" s="111">
        <f xml:space="preserve"> Inputs!W$154</f>
        <v>0</v>
      </c>
    </row>
    <row r="24" spans="1:23" outlineLevel="1">
      <c r="E24" s="12" t="str">
        <f t="shared" ref="E24:S24" si="5" xml:space="preserve"> E$20</f>
        <v>Model period beginning</v>
      </c>
      <c r="F24" s="12">
        <f t="shared" si="5"/>
        <v>0</v>
      </c>
      <c r="G24" s="12" t="str">
        <f t="shared" si="5"/>
        <v>date</v>
      </c>
      <c r="H24" s="12">
        <f t="shared" si="5"/>
        <v>0</v>
      </c>
      <c r="I24" s="12">
        <f t="shared" si="5"/>
        <v>0</v>
      </c>
      <c r="J24" s="9">
        <f t="shared" si="5"/>
        <v>41730</v>
      </c>
      <c r="K24" s="9">
        <f t="shared" si="5"/>
        <v>42095</v>
      </c>
      <c r="L24" s="9">
        <f t="shared" si="5"/>
        <v>42461</v>
      </c>
      <c r="M24" s="9">
        <f t="shared" si="5"/>
        <v>42826</v>
      </c>
      <c r="N24" s="9">
        <f t="shared" si="5"/>
        <v>43191</v>
      </c>
      <c r="O24" s="9">
        <f t="shared" si="5"/>
        <v>43556</v>
      </c>
      <c r="P24" s="9">
        <f t="shared" si="5"/>
        <v>43922</v>
      </c>
      <c r="Q24" s="9">
        <f t="shared" si="5"/>
        <v>44287</v>
      </c>
      <c r="R24" s="9">
        <f t="shared" si="5"/>
        <v>44652</v>
      </c>
      <c r="S24" s="9">
        <f t="shared" si="5"/>
        <v>45017</v>
      </c>
      <c r="T24" s="9">
        <f xml:space="preserve"> T$20</f>
        <v>45383</v>
      </c>
      <c r="U24" s="9">
        <f xml:space="preserve"> U$20</f>
        <v>45748</v>
      </c>
      <c r="V24" s="9">
        <f xml:space="preserve"> V$20</f>
        <v>46113</v>
      </c>
      <c r="W24" s="9">
        <f xml:space="preserve"> W$20</f>
        <v>46478</v>
      </c>
    </row>
    <row r="25" spans="1:23" outlineLevel="1">
      <c r="E25" s="85" t="s">
        <v>229</v>
      </c>
      <c r="F25" s="86"/>
      <c r="G25" s="85" t="s">
        <v>123</v>
      </c>
      <c r="H25" s="85"/>
      <c r="I25" s="87"/>
      <c r="J25" s="87">
        <f t="shared" ref="J25:R25" si="6" xml:space="preserve"> DATE(YEAR(J24), MONTH(J24) + $F23, DAY(J24) - 1)</f>
        <v>42094</v>
      </c>
      <c r="K25" s="87">
        <f t="shared" si="6"/>
        <v>42460</v>
      </c>
      <c r="L25" s="87">
        <f t="shared" si="6"/>
        <v>42825</v>
      </c>
      <c r="M25" s="87">
        <f t="shared" si="6"/>
        <v>43190</v>
      </c>
      <c r="N25" s="87">
        <f t="shared" si="6"/>
        <v>43555</v>
      </c>
      <c r="O25" s="87">
        <f t="shared" si="6"/>
        <v>43921</v>
      </c>
      <c r="P25" s="87">
        <f t="shared" si="6"/>
        <v>44286</v>
      </c>
      <c r="Q25" s="87">
        <f t="shared" si="6"/>
        <v>44651</v>
      </c>
      <c r="R25" s="87">
        <f t="shared" si="6"/>
        <v>45016</v>
      </c>
      <c r="S25" s="87">
        <f xml:space="preserve"> DATE(YEAR(S24), MONTH(S24) + $F23, DAY(S24) - 1)</f>
        <v>45382</v>
      </c>
      <c r="T25" s="87">
        <f xml:space="preserve"> DATE(YEAR(T24), MONTH(T24) + $F23, DAY(T24) - 1)</f>
        <v>45747</v>
      </c>
      <c r="U25" s="87">
        <f xml:space="preserve"> DATE(YEAR(U24), MONTH(U24) + $F23, DAY(U24) - 1)</f>
        <v>46112</v>
      </c>
      <c r="V25" s="87">
        <f xml:space="preserve"> DATE(YEAR(V24), MONTH(V24) + $F23, DAY(V24) - 1)</f>
        <v>46477</v>
      </c>
      <c r="W25" s="87">
        <f xml:space="preserve"> DATE(YEAR(W24), MONTH(W24) + $F23, DAY(W24) - 1)</f>
        <v>46843</v>
      </c>
    </row>
    <row r="26" spans="1:23" outlineLevel="1">
      <c r="E26" s="85"/>
      <c r="F26" s="86"/>
      <c r="G26" s="85"/>
      <c r="H26" s="85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</row>
    <row r="27" spans="1:23" outlineLevel="1">
      <c r="E27" s="85"/>
      <c r="F27" s="86"/>
      <c r="G27" s="85"/>
      <c r="H27" s="85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</row>
    <row r="28" spans="1:23" outlineLevel="1">
      <c r="B28" s="88" t="s">
        <v>230</v>
      </c>
      <c r="E28" s="55"/>
      <c r="F28" s="55"/>
      <c r="G28" s="55"/>
      <c r="H28" s="55"/>
      <c r="I28" s="99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</row>
    <row r="29" spans="1:23" outlineLevel="1">
      <c r="E29" s="23" t="str">
        <f xml:space="preserve"> Inputs!E$31</f>
        <v>2017/18 indexation modelling column financial year#</v>
      </c>
      <c r="F29" s="23">
        <f xml:space="preserve"> Inputs!F$31</f>
        <v>42826</v>
      </c>
      <c r="G29" s="23" t="str">
        <f xml:space="preserve"> Inputs!G$31</f>
        <v>year #</v>
      </c>
      <c r="H29" s="23" t="str">
        <f xml:space="preserve"> Inputs!H$31</f>
        <v>Financial model start year</v>
      </c>
      <c r="I29" s="23">
        <f xml:space="preserve"> Inputs!I$31</f>
        <v>0</v>
      </c>
      <c r="J29" s="23">
        <f xml:space="preserve"> Inputs!J$31</f>
        <v>0</v>
      </c>
      <c r="K29" s="23">
        <f xml:space="preserve"> Inputs!K$31</f>
        <v>0</v>
      </c>
      <c r="L29" s="23">
        <f xml:space="preserve"> Inputs!L$31</f>
        <v>0</v>
      </c>
      <c r="M29" s="23">
        <f xml:space="preserve"> Inputs!M$31</f>
        <v>0</v>
      </c>
      <c r="N29" s="23">
        <f xml:space="preserve"> Inputs!N$31</f>
        <v>0</v>
      </c>
      <c r="O29" s="23">
        <f xml:space="preserve"> Inputs!O$31</f>
        <v>0</v>
      </c>
      <c r="P29" s="23">
        <f xml:space="preserve"> Inputs!P$31</f>
        <v>0</v>
      </c>
      <c r="Q29" s="23">
        <f xml:space="preserve"> Inputs!Q$31</f>
        <v>0</v>
      </c>
      <c r="R29" s="23">
        <f xml:space="preserve"> Inputs!R$31</f>
        <v>0</v>
      </c>
      <c r="S29" s="23">
        <f xml:space="preserve"> Inputs!S$31</f>
        <v>0</v>
      </c>
      <c r="T29" s="23">
        <f xml:space="preserve"> Inputs!T$31</f>
        <v>0</v>
      </c>
      <c r="U29" s="23">
        <f xml:space="preserve"> Inputs!U$31</f>
        <v>0</v>
      </c>
      <c r="V29" s="23">
        <f xml:space="preserve"> Inputs!V$31</f>
        <v>0</v>
      </c>
      <c r="W29" s="23">
        <f xml:space="preserve"> Inputs!W$31</f>
        <v>0</v>
      </c>
    </row>
    <row r="30" spans="1:23" outlineLevel="1">
      <c r="E30" s="12" t="str">
        <f t="shared" ref="E30:W30" si="7" xml:space="preserve"> E$20</f>
        <v>Model period beginning</v>
      </c>
      <c r="F30" s="12">
        <f t="shared" si="7"/>
        <v>0</v>
      </c>
      <c r="G30" s="12" t="str">
        <f t="shared" si="7"/>
        <v>date</v>
      </c>
      <c r="H30" s="12">
        <f t="shared" si="7"/>
        <v>0</v>
      </c>
      <c r="I30" s="12">
        <f t="shared" si="7"/>
        <v>0</v>
      </c>
      <c r="J30" s="12">
        <f xml:space="preserve"> J$20</f>
        <v>41730</v>
      </c>
      <c r="K30" s="12">
        <f t="shared" si="7"/>
        <v>42095</v>
      </c>
      <c r="L30" s="12">
        <f t="shared" si="7"/>
        <v>42461</v>
      </c>
      <c r="M30" s="12">
        <f t="shared" si="7"/>
        <v>42826</v>
      </c>
      <c r="N30" s="12">
        <f t="shared" si="7"/>
        <v>43191</v>
      </c>
      <c r="O30" s="12">
        <f t="shared" si="7"/>
        <v>43556</v>
      </c>
      <c r="P30" s="12">
        <f t="shared" si="7"/>
        <v>43922</v>
      </c>
      <c r="Q30" s="12">
        <f t="shared" si="7"/>
        <v>44287</v>
      </c>
      <c r="R30" s="12">
        <f t="shared" si="7"/>
        <v>44652</v>
      </c>
      <c r="S30" s="12">
        <f t="shared" si="7"/>
        <v>45017</v>
      </c>
      <c r="T30" s="12">
        <f t="shared" si="7"/>
        <v>45383</v>
      </c>
      <c r="U30" s="12">
        <f t="shared" si="7"/>
        <v>45748</v>
      </c>
      <c r="V30" s="12">
        <f t="shared" si="7"/>
        <v>46113</v>
      </c>
      <c r="W30" s="12">
        <f t="shared" si="7"/>
        <v>46478</v>
      </c>
    </row>
    <row r="31" spans="1:23" outlineLevel="1">
      <c r="E31" s="12" t="str">
        <f t="shared" ref="E31:W31" si="8" xml:space="preserve"> E$25</f>
        <v>Model period ending</v>
      </c>
      <c r="F31" s="12">
        <f t="shared" si="8"/>
        <v>0</v>
      </c>
      <c r="G31" s="12" t="str">
        <f t="shared" si="8"/>
        <v>date</v>
      </c>
      <c r="H31" s="12">
        <f t="shared" si="8"/>
        <v>0</v>
      </c>
      <c r="I31" s="12">
        <f t="shared" si="8"/>
        <v>0</v>
      </c>
      <c r="J31" s="12">
        <f t="shared" si="8"/>
        <v>42094</v>
      </c>
      <c r="K31" s="12">
        <f t="shared" si="8"/>
        <v>42460</v>
      </c>
      <c r="L31" s="12">
        <f t="shared" si="8"/>
        <v>42825</v>
      </c>
      <c r="M31" s="12">
        <f t="shared" si="8"/>
        <v>43190</v>
      </c>
      <c r="N31" s="12">
        <f t="shared" si="8"/>
        <v>43555</v>
      </c>
      <c r="O31" s="12">
        <f t="shared" si="8"/>
        <v>43921</v>
      </c>
      <c r="P31" s="12">
        <f t="shared" si="8"/>
        <v>44286</v>
      </c>
      <c r="Q31" s="12">
        <f t="shared" si="8"/>
        <v>44651</v>
      </c>
      <c r="R31" s="12">
        <f t="shared" si="8"/>
        <v>45016</v>
      </c>
      <c r="S31" s="12">
        <f t="shared" si="8"/>
        <v>45382</v>
      </c>
      <c r="T31" s="12">
        <f t="shared" si="8"/>
        <v>45747</v>
      </c>
      <c r="U31" s="12">
        <f t="shared" si="8"/>
        <v>46112</v>
      </c>
      <c r="V31" s="12">
        <f t="shared" si="8"/>
        <v>46477</v>
      </c>
      <c r="W31" s="12">
        <f t="shared" si="8"/>
        <v>46843</v>
      </c>
    </row>
    <row r="32" spans="1:23" s="174" customFormat="1" outlineLevel="1">
      <c r="A32" s="149"/>
      <c r="B32" s="149"/>
      <c r="C32" s="150"/>
      <c r="D32" s="151"/>
      <c r="E32" s="127" t="s">
        <v>231</v>
      </c>
      <c r="F32" s="72"/>
      <c r="G32" s="72" t="s">
        <v>227</v>
      </c>
      <c r="H32" s="72">
        <f xml:space="preserve"> SUM(J32:W32)</f>
        <v>1</v>
      </c>
      <c r="I32" s="127"/>
      <c r="J32" s="72">
        <f xml:space="preserve"> IF(AND($F29 &gt;= J30, $F29 &lt;= J31), 1, 0)</f>
        <v>0</v>
      </c>
      <c r="K32" s="72">
        <f t="shared" ref="K32:W32" si="9" xml:space="preserve"> IF(AND($F29 &gt;= K30, $F29 &lt;= K31), 1, 0)</f>
        <v>0</v>
      </c>
      <c r="L32" s="72">
        <f t="shared" si="9"/>
        <v>0</v>
      </c>
      <c r="M32" s="72">
        <f t="shared" si="9"/>
        <v>1</v>
      </c>
      <c r="N32" s="72">
        <f t="shared" si="9"/>
        <v>0</v>
      </c>
      <c r="O32" s="72">
        <f t="shared" si="9"/>
        <v>0</v>
      </c>
      <c r="P32" s="72">
        <f t="shared" si="9"/>
        <v>0</v>
      </c>
      <c r="Q32" s="72">
        <f t="shared" si="9"/>
        <v>0</v>
      </c>
      <c r="R32" s="72">
        <f t="shared" si="9"/>
        <v>0</v>
      </c>
      <c r="S32" s="72">
        <f t="shared" si="9"/>
        <v>0</v>
      </c>
      <c r="T32" s="72">
        <f t="shared" si="9"/>
        <v>0</v>
      </c>
      <c r="U32" s="72">
        <f t="shared" si="9"/>
        <v>0</v>
      </c>
      <c r="V32" s="72">
        <f t="shared" si="9"/>
        <v>0</v>
      </c>
      <c r="W32" s="72">
        <f t="shared" si="9"/>
        <v>0</v>
      </c>
    </row>
    <row r="33" spans="1:23" outlineLevel="1">
      <c r="E33" s="85"/>
      <c r="F33" s="86"/>
      <c r="G33" s="85"/>
      <c r="H33" s="85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</row>
    <row r="35" spans="1:23" ht="12.75" customHeight="1">
      <c r="A35" s="113" t="s">
        <v>232</v>
      </c>
      <c r="B35" s="113"/>
      <c r="C35" s="112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</row>
    <row r="36" spans="1:23">
      <c r="E36" s="55"/>
      <c r="F36" s="55"/>
      <c r="G36" s="55"/>
      <c r="H36" s="55"/>
      <c r="I36" s="99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</row>
    <row r="37" spans="1:23" outlineLevel="1">
      <c r="B37" s="88" t="s">
        <v>233</v>
      </c>
      <c r="E37" s="55"/>
      <c r="F37" s="55"/>
      <c r="G37" s="55"/>
      <c r="H37" s="55"/>
      <c r="I37" s="99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</row>
    <row r="38" spans="1:23" outlineLevel="1">
      <c r="E38" s="23" t="str">
        <f xml:space="preserve"> Inputs!E$25</f>
        <v>Forecast start date</v>
      </c>
      <c r="F38" s="23">
        <f xml:space="preserve"> Inputs!F$25</f>
        <v>43922</v>
      </c>
      <c r="G38" s="23" t="str">
        <f xml:space="preserve"> Inputs!G$25</f>
        <v>date</v>
      </c>
      <c r="H38" s="23">
        <f xml:space="preserve"> Inputs!H$25</f>
        <v>0</v>
      </c>
      <c r="I38" s="23">
        <f xml:space="preserve"> Inputs!I$25</f>
        <v>0</v>
      </c>
      <c r="J38" s="23">
        <f xml:space="preserve"> Inputs!J$25</f>
        <v>0</v>
      </c>
      <c r="K38" s="23">
        <f xml:space="preserve"> Inputs!K$25</f>
        <v>0</v>
      </c>
      <c r="L38" s="23">
        <f xml:space="preserve"> Inputs!L$25</f>
        <v>0</v>
      </c>
      <c r="M38" s="23">
        <f xml:space="preserve"> Inputs!M$25</f>
        <v>0</v>
      </c>
      <c r="N38" s="23">
        <f xml:space="preserve"> Inputs!N$25</f>
        <v>0</v>
      </c>
      <c r="O38" s="23">
        <f xml:space="preserve"> Inputs!O$25</f>
        <v>0</v>
      </c>
      <c r="P38" s="23">
        <f xml:space="preserve"> Inputs!P$25</f>
        <v>0</v>
      </c>
      <c r="Q38" s="23">
        <f xml:space="preserve"> Inputs!Q$25</f>
        <v>0</v>
      </c>
      <c r="R38" s="23">
        <f xml:space="preserve"> Inputs!R$25</f>
        <v>0</v>
      </c>
      <c r="S38" s="23">
        <f xml:space="preserve"> Inputs!S$25</f>
        <v>0</v>
      </c>
      <c r="T38" s="23">
        <f xml:space="preserve"> Inputs!T$25</f>
        <v>0</v>
      </c>
      <c r="U38" s="23">
        <f xml:space="preserve"> Inputs!U$25</f>
        <v>0</v>
      </c>
      <c r="V38" s="23">
        <f xml:space="preserve"> Inputs!V$25</f>
        <v>0</v>
      </c>
      <c r="W38" s="23">
        <f xml:space="preserve"> Inputs!W$25</f>
        <v>0</v>
      </c>
    </row>
    <row r="39" spans="1:23" outlineLevel="1">
      <c r="E39" s="12" t="str">
        <f t="shared" ref="E39:S39" si="10" xml:space="preserve"> E$20</f>
        <v>Model period beginning</v>
      </c>
      <c r="F39" s="12">
        <f t="shared" si="10"/>
        <v>0</v>
      </c>
      <c r="G39" s="12" t="str">
        <f t="shared" si="10"/>
        <v>date</v>
      </c>
      <c r="H39" s="12">
        <f t="shared" si="10"/>
        <v>0</v>
      </c>
      <c r="I39" s="12">
        <f t="shared" si="10"/>
        <v>0</v>
      </c>
      <c r="J39" s="12">
        <f t="shared" si="10"/>
        <v>41730</v>
      </c>
      <c r="K39" s="12">
        <f t="shared" si="10"/>
        <v>42095</v>
      </c>
      <c r="L39" s="12">
        <f t="shared" si="10"/>
        <v>42461</v>
      </c>
      <c r="M39" s="12">
        <f t="shared" si="10"/>
        <v>42826</v>
      </c>
      <c r="N39" s="12">
        <f t="shared" si="10"/>
        <v>43191</v>
      </c>
      <c r="O39" s="12">
        <f t="shared" si="10"/>
        <v>43556</v>
      </c>
      <c r="P39" s="12">
        <f t="shared" si="10"/>
        <v>43922</v>
      </c>
      <c r="Q39" s="12">
        <f t="shared" si="10"/>
        <v>44287</v>
      </c>
      <c r="R39" s="12">
        <f t="shared" si="10"/>
        <v>44652</v>
      </c>
      <c r="S39" s="12">
        <f t="shared" si="10"/>
        <v>45017</v>
      </c>
      <c r="T39" s="12">
        <f xml:space="preserve"> T$20</f>
        <v>45383</v>
      </c>
      <c r="U39" s="12">
        <f xml:space="preserve"> U$20</f>
        <v>45748</v>
      </c>
      <c r="V39" s="12">
        <f xml:space="preserve"> V$20</f>
        <v>46113</v>
      </c>
      <c r="W39" s="12">
        <f xml:space="preserve"> W$20</f>
        <v>46478</v>
      </c>
    </row>
    <row r="40" spans="1:23" outlineLevel="1">
      <c r="E40" s="12" t="str">
        <f t="shared" ref="E40:S40" si="11" xml:space="preserve"> E$25</f>
        <v>Model period ending</v>
      </c>
      <c r="F40" s="12">
        <f t="shared" si="11"/>
        <v>0</v>
      </c>
      <c r="G40" s="12" t="str">
        <f t="shared" si="11"/>
        <v>date</v>
      </c>
      <c r="H40" s="12">
        <f t="shared" si="11"/>
        <v>0</v>
      </c>
      <c r="I40" s="12">
        <f t="shared" si="11"/>
        <v>0</v>
      </c>
      <c r="J40" s="12">
        <f t="shared" si="11"/>
        <v>42094</v>
      </c>
      <c r="K40" s="12">
        <f t="shared" si="11"/>
        <v>42460</v>
      </c>
      <c r="L40" s="12">
        <f t="shared" si="11"/>
        <v>42825</v>
      </c>
      <c r="M40" s="12">
        <f t="shared" si="11"/>
        <v>43190</v>
      </c>
      <c r="N40" s="12">
        <f t="shared" si="11"/>
        <v>43555</v>
      </c>
      <c r="O40" s="12">
        <f t="shared" si="11"/>
        <v>43921</v>
      </c>
      <c r="P40" s="12">
        <f t="shared" si="11"/>
        <v>44286</v>
      </c>
      <c r="Q40" s="12">
        <f t="shared" si="11"/>
        <v>44651</v>
      </c>
      <c r="R40" s="12">
        <f t="shared" si="11"/>
        <v>45016</v>
      </c>
      <c r="S40" s="12">
        <f t="shared" si="11"/>
        <v>45382</v>
      </c>
      <c r="T40" s="12">
        <f xml:space="preserve"> T$25</f>
        <v>45747</v>
      </c>
      <c r="U40" s="12">
        <f xml:space="preserve"> U$25</f>
        <v>46112</v>
      </c>
      <c r="V40" s="12">
        <f xml:space="preserve"> V$25</f>
        <v>46477</v>
      </c>
      <c r="W40" s="12">
        <f xml:space="preserve"> W$25</f>
        <v>46843</v>
      </c>
    </row>
    <row r="41" spans="1:23" s="174" customFormat="1" outlineLevel="1">
      <c r="A41" s="149"/>
      <c r="B41" s="149"/>
      <c r="C41" s="150"/>
      <c r="D41" s="151"/>
      <c r="E41" s="127" t="s">
        <v>233</v>
      </c>
      <c r="F41" s="72"/>
      <c r="G41" s="72" t="s">
        <v>227</v>
      </c>
      <c r="H41" s="72">
        <f xml:space="preserve"> SUM(J41:W41)</f>
        <v>1</v>
      </c>
      <c r="I41" s="127"/>
      <c r="J41" s="72">
        <f xml:space="preserve"> IF(AND($F38 &gt;= J39, $F38 &lt;= J40), 1, 0)</f>
        <v>0</v>
      </c>
      <c r="K41" s="72">
        <f t="shared" ref="K41:R41" si="12" xml:space="preserve"> IF(AND($F38 &gt;= K39, $F38 &lt;= K40), 1, 0)</f>
        <v>0</v>
      </c>
      <c r="L41" s="72">
        <f t="shared" si="12"/>
        <v>0</v>
      </c>
      <c r="M41" s="72">
        <f t="shared" si="12"/>
        <v>0</v>
      </c>
      <c r="N41" s="72">
        <f t="shared" si="12"/>
        <v>0</v>
      </c>
      <c r="O41" s="72">
        <f t="shared" si="12"/>
        <v>0</v>
      </c>
      <c r="P41" s="72">
        <f xml:space="preserve"> IF(AND($F38 &gt;= P39, $F38 &lt;= P40), 1, 0)</f>
        <v>1</v>
      </c>
      <c r="Q41" s="72">
        <f t="shared" si="12"/>
        <v>0</v>
      </c>
      <c r="R41" s="72">
        <f t="shared" si="12"/>
        <v>0</v>
      </c>
      <c r="S41" s="72">
        <f xml:space="preserve"> IF(AND($F38 &gt;= S39, $F38 &lt;= S40), 1, 0)</f>
        <v>0</v>
      </c>
      <c r="T41" s="72">
        <f xml:space="preserve"> IF(AND($F38 &gt;= T39, $F38 &lt;= T40), 1, 0)</f>
        <v>0</v>
      </c>
      <c r="U41" s="72">
        <f xml:space="preserve"> IF(AND($F38 &gt;= U39, $F38 &lt;= U40), 1, 0)</f>
        <v>0</v>
      </c>
      <c r="V41" s="72">
        <f xml:space="preserve"> IF(AND($F38 &gt;= V39, $F38 &lt;= V40), 1, 0)</f>
        <v>0</v>
      </c>
      <c r="W41" s="72">
        <f xml:space="preserve"> IF(AND($F38 &gt;= W39, $F38 &lt;= W40), 1, 0)</f>
        <v>0</v>
      </c>
    </row>
    <row r="42" spans="1:23" outlineLevel="1">
      <c r="E42" s="55"/>
      <c r="F42" s="55"/>
      <c r="G42" s="55"/>
      <c r="H42" s="55"/>
      <c r="I42" s="99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</row>
    <row r="43" spans="1:23" outlineLevel="1">
      <c r="B43" s="88" t="s">
        <v>234</v>
      </c>
      <c r="E43" s="55"/>
      <c r="F43" s="55"/>
      <c r="G43" s="55"/>
      <c r="H43" s="55"/>
      <c r="I43" s="99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</row>
    <row r="44" spans="1:23" outlineLevel="1">
      <c r="E44" s="23" t="str">
        <f xml:space="preserve"> Inputs!E$25</f>
        <v>Forecast start date</v>
      </c>
      <c r="F44" s="23">
        <f xml:space="preserve"> Inputs!F$25</f>
        <v>43922</v>
      </c>
      <c r="G44" s="23" t="str">
        <f xml:space="preserve"> Inputs!G$25</f>
        <v>date</v>
      </c>
      <c r="H44" s="23">
        <f xml:space="preserve"> Inputs!H$25</f>
        <v>0</v>
      </c>
      <c r="I44" s="23">
        <f xml:space="preserve"> Inputs!I$25</f>
        <v>0</v>
      </c>
      <c r="J44" s="23">
        <f xml:space="preserve"> Inputs!J$25</f>
        <v>0</v>
      </c>
      <c r="K44" s="23">
        <f xml:space="preserve"> Inputs!K$25</f>
        <v>0</v>
      </c>
      <c r="L44" s="23">
        <f xml:space="preserve"> Inputs!L$25</f>
        <v>0</v>
      </c>
      <c r="M44" s="23">
        <f xml:space="preserve"> Inputs!M$25</f>
        <v>0</v>
      </c>
      <c r="N44" s="23">
        <f xml:space="preserve"> Inputs!N$25</f>
        <v>0</v>
      </c>
      <c r="O44" s="23">
        <f xml:space="preserve"> Inputs!O$25</f>
        <v>0</v>
      </c>
      <c r="P44" s="23">
        <f xml:space="preserve"> Inputs!P$25</f>
        <v>0</v>
      </c>
      <c r="Q44" s="23">
        <f xml:space="preserve"> Inputs!Q$25</f>
        <v>0</v>
      </c>
      <c r="R44" s="23">
        <f xml:space="preserve"> Inputs!R$25</f>
        <v>0</v>
      </c>
      <c r="S44" s="23">
        <f xml:space="preserve"> Inputs!S$25</f>
        <v>0</v>
      </c>
      <c r="T44" s="23">
        <f xml:space="preserve"> Inputs!T$25</f>
        <v>0</v>
      </c>
      <c r="U44" s="23">
        <f xml:space="preserve"> Inputs!U$25</f>
        <v>0</v>
      </c>
      <c r="V44" s="23">
        <f xml:space="preserve"> Inputs!V$25</f>
        <v>0</v>
      </c>
      <c r="W44" s="23">
        <f xml:space="preserve"> Inputs!W$25</f>
        <v>0</v>
      </c>
    </row>
    <row r="45" spans="1:23" outlineLevel="1">
      <c r="E45" s="110" t="str">
        <f xml:space="preserve"> Inputs!E$26</f>
        <v>Forecast duration</v>
      </c>
      <c r="F45" s="111">
        <f xml:space="preserve"> Inputs!F$26</f>
        <v>5</v>
      </c>
      <c r="G45" s="110" t="str">
        <f xml:space="preserve"> Inputs!G$26</f>
        <v>years #</v>
      </c>
      <c r="H45" s="110">
        <f xml:space="preserve"> Inputs!H$26</f>
        <v>0</v>
      </c>
      <c r="I45" s="110">
        <f xml:space="preserve"> Inputs!I$26</f>
        <v>0</v>
      </c>
      <c r="J45" s="110">
        <f xml:space="preserve"> Inputs!J$26</f>
        <v>0</v>
      </c>
      <c r="K45" s="110">
        <f xml:space="preserve"> Inputs!K$26</f>
        <v>0</v>
      </c>
      <c r="L45" s="110">
        <f xml:space="preserve"> Inputs!L$26</f>
        <v>0</v>
      </c>
      <c r="M45" s="110">
        <f xml:space="preserve"> Inputs!M$26</f>
        <v>0</v>
      </c>
      <c r="N45" s="110">
        <f xml:space="preserve"> Inputs!N$26</f>
        <v>0</v>
      </c>
      <c r="O45" s="110">
        <f xml:space="preserve"> Inputs!O$26</f>
        <v>0</v>
      </c>
      <c r="P45" s="110">
        <f xml:space="preserve"> Inputs!P$26</f>
        <v>0</v>
      </c>
      <c r="Q45" s="110">
        <f xml:space="preserve"> Inputs!Q$26</f>
        <v>0</v>
      </c>
      <c r="R45" s="110">
        <f xml:space="preserve"> Inputs!R$26</f>
        <v>0</v>
      </c>
      <c r="S45" s="110">
        <f xml:space="preserve"> Inputs!S$26</f>
        <v>0</v>
      </c>
      <c r="T45" s="110">
        <f xml:space="preserve"> Inputs!T$26</f>
        <v>0</v>
      </c>
      <c r="U45" s="110">
        <f xml:space="preserve"> Inputs!U$26</f>
        <v>0</v>
      </c>
      <c r="V45" s="110">
        <f xml:space="preserve"> Inputs!V$26</f>
        <v>0</v>
      </c>
      <c r="W45" s="110">
        <f xml:space="preserve"> Inputs!W$26</f>
        <v>0</v>
      </c>
    </row>
    <row r="46" spans="1:23" s="72" customFormat="1" outlineLevel="1">
      <c r="A46" s="149"/>
      <c r="B46" s="149"/>
      <c r="C46" s="150"/>
      <c r="D46" s="151"/>
      <c r="E46" s="175" t="s">
        <v>235</v>
      </c>
      <c r="F46" s="175">
        <f xml:space="preserve"> DATE(YEAR(F44) + F45, MONTH(F44), DAY(F44) - 1)</f>
        <v>45747</v>
      </c>
      <c r="G46" s="175" t="s">
        <v>123</v>
      </c>
      <c r="H46" s="175"/>
      <c r="I46" s="207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</row>
    <row r="47" spans="1:23" outlineLevel="1">
      <c r="E47" s="55"/>
      <c r="F47" s="55"/>
      <c r="G47" s="55"/>
      <c r="H47" s="55"/>
      <c r="I47" s="99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</row>
    <row r="48" spans="1:23" outlineLevel="1">
      <c r="E48" s="30" t="str">
        <f xml:space="preserve"> E$46</f>
        <v>Forecast end date</v>
      </c>
      <c r="F48" s="30">
        <f xml:space="preserve"> F$46</f>
        <v>45747</v>
      </c>
      <c r="G48" s="30" t="str">
        <f xml:space="preserve"> G$46</f>
        <v>date</v>
      </c>
      <c r="H48" s="30">
        <f t="shared" ref="H48:W48" si="13" xml:space="preserve"> H$46</f>
        <v>0</v>
      </c>
      <c r="I48" s="30">
        <f t="shared" si="13"/>
        <v>0</v>
      </c>
      <c r="J48" s="30">
        <f t="shared" si="13"/>
        <v>0</v>
      </c>
      <c r="K48" s="30">
        <f t="shared" si="13"/>
        <v>0</v>
      </c>
      <c r="L48" s="30">
        <f t="shared" si="13"/>
        <v>0</v>
      </c>
      <c r="M48" s="30">
        <f t="shared" si="13"/>
        <v>0</v>
      </c>
      <c r="N48" s="30">
        <f t="shared" si="13"/>
        <v>0</v>
      </c>
      <c r="O48" s="30">
        <f t="shared" si="13"/>
        <v>0</v>
      </c>
      <c r="P48" s="30">
        <f t="shared" si="13"/>
        <v>0</v>
      </c>
      <c r="Q48" s="30">
        <f t="shared" si="13"/>
        <v>0</v>
      </c>
      <c r="R48" s="30">
        <f t="shared" si="13"/>
        <v>0</v>
      </c>
      <c r="S48" s="30">
        <f t="shared" si="13"/>
        <v>0</v>
      </c>
      <c r="T48" s="30">
        <f t="shared" si="13"/>
        <v>0</v>
      </c>
      <c r="U48" s="30">
        <f t="shared" si="13"/>
        <v>0</v>
      </c>
      <c r="V48" s="30">
        <f t="shared" si="13"/>
        <v>0</v>
      </c>
      <c r="W48" s="30">
        <f t="shared" si="13"/>
        <v>0</v>
      </c>
    </row>
    <row r="49" spans="1:23" outlineLevel="1">
      <c r="E49" s="12" t="str">
        <f t="shared" ref="E49:S49" si="14" xml:space="preserve"> E$20</f>
        <v>Model period beginning</v>
      </c>
      <c r="F49" s="12">
        <f t="shared" si="14"/>
        <v>0</v>
      </c>
      <c r="G49" s="12" t="str">
        <f t="shared" si="14"/>
        <v>date</v>
      </c>
      <c r="H49" s="12">
        <f t="shared" si="14"/>
        <v>0</v>
      </c>
      <c r="I49" s="12">
        <f t="shared" si="14"/>
        <v>0</v>
      </c>
      <c r="J49" s="12">
        <f t="shared" si="14"/>
        <v>41730</v>
      </c>
      <c r="K49" s="12">
        <f t="shared" si="14"/>
        <v>42095</v>
      </c>
      <c r="L49" s="12">
        <f t="shared" si="14"/>
        <v>42461</v>
      </c>
      <c r="M49" s="12">
        <f t="shared" si="14"/>
        <v>42826</v>
      </c>
      <c r="N49" s="12">
        <f t="shared" si="14"/>
        <v>43191</v>
      </c>
      <c r="O49" s="12">
        <f t="shared" si="14"/>
        <v>43556</v>
      </c>
      <c r="P49" s="12">
        <f t="shared" si="14"/>
        <v>43922</v>
      </c>
      <c r="Q49" s="12">
        <f t="shared" si="14"/>
        <v>44287</v>
      </c>
      <c r="R49" s="12">
        <f t="shared" si="14"/>
        <v>44652</v>
      </c>
      <c r="S49" s="12">
        <f t="shared" si="14"/>
        <v>45017</v>
      </c>
      <c r="T49" s="12">
        <f xml:space="preserve"> T$20</f>
        <v>45383</v>
      </c>
      <c r="U49" s="12">
        <f xml:space="preserve"> U$20</f>
        <v>45748</v>
      </c>
      <c r="V49" s="12">
        <f xml:space="preserve"> V$20</f>
        <v>46113</v>
      </c>
      <c r="W49" s="12">
        <f xml:space="preserve"> W$20</f>
        <v>46478</v>
      </c>
    </row>
    <row r="50" spans="1:23" outlineLevel="1">
      <c r="E50" s="12" t="str">
        <f t="shared" ref="E50:S50" si="15" xml:space="preserve"> E$25</f>
        <v>Model period ending</v>
      </c>
      <c r="F50" s="12">
        <f t="shared" si="15"/>
        <v>0</v>
      </c>
      <c r="G50" s="12" t="str">
        <f t="shared" si="15"/>
        <v>date</v>
      </c>
      <c r="H50" s="12">
        <f t="shared" si="15"/>
        <v>0</v>
      </c>
      <c r="I50" s="12">
        <f t="shared" si="15"/>
        <v>0</v>
      </c>
      <c r="J50" s="12">
        <f t="shared" si="15"/>
        <v>42094</v>
      </c>
      <c r="K50" s="12">
        <f t="shared" si="15"/>
        <v>42460</v>
      </c>
      <c r="L50" s="12">
        <f t="shared" si="15"/>
        <v>42825</v>
      </c>
      <c r="M50" s="12">
        <f t="shared" si="15"/>
        <v>43190</v>
      </c>
      <c r="N50" s="12">
        <f t="shared" si="15"/>
        <v>43555</v>
      </c>
      <c r="O50" s="12">
        <f t="shared" si="15"/>
        <v>43921</v>
      </c>
      <c r="P50" s="12">
        <f t="shared" si="15"/>
        <v>44286</v>
      </c>
      <c r="Q50" s="12">
        <f t="shared" si="15"/>
        <v>44651</v>
      </c>
      <c r="R50" s="12">
        <f t="shared" si="15"/>
        <v>45016</v>
      </c>
      <c r="S50" s="12">
        <f t="shared" si="15"/>
        <v>45382</v>
      </c>
      <c r="T50" s="12">
        <f xml:space="preserve"> T$25</f>
        <v>45747</v>
      </c>
      <c r="U50" s="12">
        <f xml:space="preserve"> U$25</f>
        <v>46112</v>
      </c>
      <c r="V50" s="12">
        <f xml:space="preserve"> V$25</f>
        <v>46477</v>
      </c>
      <c r="W50" s="12">
        <f xml:space="preserve"> W$25</f>
        <v>46843</v>
      </c>
    </row>
    <row r="51" spans="1:23" outlineLevel="1">
      <c r="E51" s="95" t="s">
        <v>234</v>
      </c>
      <c r="F51" s="95"/>
      <c r="G51" s="95" t="s">
        <v>227</v>
      </c>
      <c r="H51" s="95">
        <f xml:space="preserve"> SUM(J51:W51)</f>
        <v>1</v>
      </c>
      <c r="I51" s="53"/>
      <c r="J51" s="95">
        <f t="shared" ref="J51:S51" si="16" xml:space="preserve"> IF(AND($F48 &gt;= J49, $F48 &lt;= J50), 1, 0)</f>
        <v>0</v>
      </c>
      <c r="K51" s="95">
        <f t="shared" si="16"/>
        <v>0</v>
      </c>
      <c r="L51" s="95">
        <f t="shared" si="16"/>
        <v>0</v>
      </c>
      <c r="M51" s="95">
        <f t="shared" si="16"/>
        <v>0</v>
      </c>
      <c r="N51" s="95">
        <f t="shared" si="16"/>
        <v>0</v>
      </c>
      <c r="O51" s="95">
        <f t="shared" si="16"/>
        <v>0</v>
      </c>
      <c r="P51" s="95">
        <f t="shared" si="16"/>
        <v>0</v>
      </c>
      <c r="Q51" s="95">
        <f t="shared" si="16"/>
        <v>0</v>
      </c>
      <c r="R51" s="95">
        <f t="shared" si="16"/>
        <v>0</v>
      </c>
      <c r="S51" s="95">
        <f t="shared" si="16"/>
        <v>0</v>
      </c>
      <c r="T51" s="95">
        <f xml:space="preserve"> IF(AND($F48 &gt;= T49, $F48 &lt;= T50), 1, 0)</f>
        <v>1</v>
      </c>
      <c r="U51" s="95">
        <f xml:space="preserve"> IF(AND($F48 &gt;= U49, $F48 &lt;= U50), 1, 0)</f>
        <v>0</v>
      </c>
      <c r="V51" s="95">
        <f xml:space="preserve"> IF(AND($F48 &gt;= V49, $F48 &lt;= V50), 1, 0)</f>
        <v>0</v>
      </c>
      <c r="W51" s="95">
        <f xml:space="preserve"> IF(AND($F48 &gt;= W49, $F48 &lt;= W50), 1, 0)</f>
        <v>0</v>
      </c>
    </row>
    <row r="52" spans="1:23" outlineLevel="1">
      <c r="E52" s="55"/>
      <c r="F52" s="55"/>
      <c r="G52" s="55"/>
      <c r="H52" s="55"/>
      <c r="I52" s="99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</row>
    <row r="53" spans="1:23" outlineLevel="1">
      <c r="B53" s="88" t="s">
        <v>236</v>
      </c>
      <c r="E53" s="55"/>
      <c r="F53" s="55"/>
      <c r="G53" s="55"/>
      <c r="H53" s="55"/>
      <c r="I53" s="99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</row>
    <row r="54" spans="1:23" outlineLevel="1">
      <c r="E54" s="55" t="str">
        <f xml:space="preserve"> E$41</f>
        <v>Forecast start period flag</v>
      </c>
      <c r="F54" s="55">
        <f xml:space="preserve"> F$41</f>
        <v>0</v>
      </c>
      <c r="G54" s="55" t="str">
        <f xml:space="preserve"> G$41</f>
        <v>flag</v>
      </c>
      <c r="H54" s="55">
        <f xml:space="preserve"> H$41</f>
        <v>1</v>
      </c>
      <c r="I54" s="55">
        <f xml:space="preserve"> I$41</f>
        <v>0</v>
      </c>
      <c r="J54" s="55">
        <f t="shared" ref="J54:S54" si="17" xml:space="preserve"> J$41</f>
        <v>0</v>
      </c>
      <c r="K54" s="55">
        <f t="shared" si="17"/>
        <v>0</v>
      </c>
      <c r="L54" s="55">
        <f t="shared" si="17"/>
        <v>0</v>
      </c>
      <c r="M54" s="55">
        <f t="shared" si="17"/>
        <v>0</v>
      </c>
      <c r="N54" s="55">
        <f t="shared" si="17"/>
        <v>0</v>
      </c>
      <c r="O54" s="55">
        <f t="shared" si="17"/>
        <v>0</v>
      </c>
      <c r="P54" s="55">
        <f t="shared" si="17"/>
        <v>1</v>
      </c>
      <c r="Q54" s="55">
        <f t="shared" si="17"/>
        <v>0</v>
      </c>
      <c r="R54" s="55">
        <f t="shared" si="17"/>
        <v>0</v>
      </c>
      <c r="S54" s="55">
        <f t="shared" si="17"/>
        <v>0</v>
      </c>
      <c r="T54" s="55">
        <f xml:space="preserve"> T$41</f>
        <v>0</v>
      </c>
      <c r="U54" s="55">
        <f xml:space="preserve"> U$41</f>
        <v>0</v>
      </c>
      <c r="V54" s="55">
        <f xml:space="preserve"> V$41</f>
        <v>0</v>
      </c>
      <c r="W54" s="55">
        <f xml:space="preserve"> W$41</f>
        <v>0</v>
      </c>
    </row>
    <row r="55" spans="1:23" outlineLevel="1">
      <c r="E55" s="55" t="str">
        <f xml:space="preserve"> E$51</f>
        <v>Forecast end period flag</v>
      </c>
      <c r="F55" s="55">
        <f xml:space="preserve"> F$51</f>
        <v>0</v>
      </c>
      <c r="G55" s="55" t="str">
        <f xml:space="preserve"> G$51</f>
        <v>flag</v>
      </c>
      <c r="H55" s="55">
        <f xml:space="preserve"> H$51</f>
        <v>1</v>
      </c>
      <c r="I55" s="55">
        <f xml:space="preserve"> I$51</f>
        <v>0</v>
      </c>
      <c r="J55" s="55">
        <f t="shared" ref="J55:S55" si="18" xml:space="preserve"> J$51</f>
        <v>0</v>
      </c>
      <c r="K55" s="55">
        <f t="shared" si="18"/>
        <v>0</v>
      </c>
      <c r="L55" s="55">
        <f t="shared" si="18"/>
        <v>0</v>
      </c>
      <c r="M55" s="55">
        <f t="shared" si="18"/>
        <v>0</v>
      </c>
      <c r="N55" s="55">
        <f t="shared" si="18"/>
        <v>0</v>
      </c>
      <c r="O55" s="55">
        <f t="shared" si="18"/>
        <v>0</v>
      </c>
      <c r="P55" s="55">
        <f t="shared" si="18"/>
        <v>0</v>
      </c>
      <c r="Q55" s="55">
        <f t="shared" si="18"/>
        <v>0</v>
      </c>
      <c r="R55" s="55">
        <f t="shared" si="18"/>
        <v>0</v>
      </c>
      <c r="S55" s="55">
        <f t="shared" si="18"/>
        <v>0</v>
      </c>
      <c r="T55" s="55">
        <f xml:space="preserve"> T$51</f>
        <v>1</v>
      </c>
      <c r="U55" s="55">
        <f xml:space="preserve"> U$51</f>
        <v>0</v>
      </c>
      <c r="V55" s="55">
        <f xml:space="preserve"> V$51</f>
        <v>0</v>
      </c>
      <c r="W55" s="55">
        <f xml:space="preserve"> W$51</f>
        <v>0</v>
      </c>
    </row>
    <row r="56" spans="1:23" outlineLevel="1">
      <c r="E56" s="53" t="s">
        <v>236</v>
      </c>
      <c r="F56" s="95"/>
      <c r="G56" s="95" t="s">
        <v>227</v>
      </c>
      <c r="H56" s="95">
        <f xml:space="preserve"> SUM(J56:W56)</f>
        <v>5</v>
      </c>
      <c r="I56" s="53"/>
      <c r="J56" s="95">
        <f xml:space="preserve"> J54 + I56 - I55</f>
        <v>0</v>
      </c>
      <c r="K56" s="95">
        <f t="shared" ref="K56:R56" si="19" xml:space="preserve"> K54 + J56 - J55</f>
        <v>0</v>
      </c>
      <c r="L56" s="95">
        <f t="shared" si="19"/>
        <v>0</v>
      </c>
      <c r="M56" s="95">
        <f t="shared" si="19"/>
        <v>0</v>
      </c>
      <c r="N56" s="95">
        <f t="shared" si="19"/>
        <v>0</v>
      </c>
      <c r="O56" s="95">
        <f t="shared" si="19"/>
        <v>0</v>
      </c>
      <c r="P56" s="95">
        <f t="shared" si="19"/>
        <v>1</v>
      </c>
      <c r="Q56" s="95">
        <f t="shared" si="19"/>
        <v>1</v>
      </c>
      <c r="R56" s="95">
        <f t="shared" si="19"/>
        <v>1</v>
      </c>
      <c r="S56" s="95">
        <f xml:space="preserve"> S54 + R56 - R55</f>
        <v>1</v>
      </c>
      <c r="T56" s="95">
        <f xml:space="preserve"> T54 + S56 - S55</f>
        <v>1</v>
      </c>
      <c r="U56" s="95">
        <f xml:space="preserve"> U54 + T56 - T55</f>
        <v>0</v>
      </c>
      <c r="V56" s="95">
        <f xml:space="preserve"> V54 + U56 - U55</f>
        <v>0</v>
      </c>
      <c r="W56" s="95">
        <f xml:space="preserve"> W54 + V56 - V55</f>
        <v>0</v>
      </c>
    </row>
    <row r="57" spans="1:23" s="174" customFormat="1" outlineLevel="1">
      <c r="A57" s="149"/>
      <c r="B57" s="149"/>
      <c r="C57" s="150"/>
      <c r="D57" s="151"/>
      <c r="E57" s="72" t="s">
        <v>237</v>
      </c>
      <c r="F57" s="72">
        <f xml:space="preserve"> SUM(J56:W56)</f>
        <v>5</v>
      </c>
      <c r="G57" s="72" t="s">
        <v>238</v>
      </c>
      <c r="H57" s="72"/>
      <c r="I57" s="127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</row>
    <row r="58" spans="1:23" outlineLevel="1">
      <c r="E58" s="95"/>
      <c r="F58" s="95"/>
      <c r="G58" s="95"/>
      <c r="H58" s="55"/>
      <c r="I58" s="99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</row>
    <row r="59" spans="1:23" outlineLevel="1">
      <c r="B59" s="88" t="s">
        <v>239</v>
      </c>
      <c r="E59" s="95"/>
      <c r="F59" s="95"/>
      <c r="G59" s="95"/>
      <c r="H59" s="55"/>
      <c r="I59" s="99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</row>
    <row r="60" spans="1:23" outlineLevel="1">
      <c r="E60" s="55" t="str">
        <f xml:space="preserve"> E$41</f>
        <v>Forecast start period flag</v>
      </c>
      <c r="F60" s="55">
        <f xml:space="preserve"> F$41</f>
        <v>0</v>
      </c>
      <c r="G60" s="55" t="str">
        <f t="shared" ref="G60:W60" si="20" xml:space="preserve"> G$41</f>
        <v>flag</v>
      </c>
      <c r="H60" s="55">
        <f t="shared" si="20"/>
        <v>1</v>
      </c>
      <c r="I60" s="55">
        <f t="shared" si="20"/>
        <v>0</v>
      </c>
      <c r="J60" s="55">
        <f t="shared" si="20"/>
        <v>0</v>
      </c>
      <c r="K60" s="55">
        <f t="shared" si="20"/>
        <v>0</v>
      </c>
      <c r="L60" s="55">
        <f t="shared" si="20"/>
        <v>0</v>
      </c>
      <c r="M60" s="55">
        <f t="shared" si="20"/>
        <v>0</v>
      </c>
      <c r="N60" s="55">
        <f t="shared" si="20"/>
        <v>0</v>
      </c>
      <c r="O60" s="55">
        <f t="shared" si="20"/>
        <v>0</v>
      </c>
      <c r="P60" s="55">
        <f t="shared" si="20"/>
        <v>1</v>
      </c>
      <c r="Q60" s="55">
        <f t="shared" si="20"/>
        <v>0</v>
      </c>
      <c r="R60" s="55">
        <f t="shared" si="20"/>
        <v>0</v>
      </c>
      <c r="S60" s="55">
        <f t="shared" si="20"/>
        <v>0</v>
      </c>
      <c r="T60" s="55">
        <f t="shared" si="20"/>
        <v>0</v>
      </c>
      <c r="U60" s="55">
        <f t="shared" si="20"/>
        <v>0</v>
      </c>
      <c r="V60" s="55">
        <f t="shared" si="20"/>
        <v>0</v>
      </c>
      <c r="W60" s="55">
        <f t="shared" si="20"/>
        <v>0</v>
      </c>
    </row>
    <row r="61" spans="1:23" outlineLevel="1">
      <c r="E61" s="55" t="str">
        <f t="shared" ref="E61:W61" si="21" xml:space="preserve"> E$56</f>
        <v>Forecast period flag</v>
      </c>
      <c r="F61" s="55">
        <f t="shared" si="21"/>
        <v>0</v>
      </c>
      <c r="G61" s="55" t="str">
        <f t="shared" si="21"/>
        <v>flag</v>
      </c>
      <c r="H61" s="55">
        <f t="shared" si="21"/>
        <v>5</v>
      </c>
      <c r="I61" s="55">
        <f t="shared" si="21"/>
        <v>0</v>
      </c>
      <c r="J61" s="55">
        <f t="shared" si="21"/>
        <v>0</v>
      </c>
      <c r="K61" s="55">
        <f t="shared" si="21"/>
        <v>0</v>
      </c>
      <c r="L61" s="55">
        <f t="shared" si="21"/>
        <v>0</v>
      </c>
      <c r="M61" s="55">
        <f t="shared" si="21"/>
        <v>0</v>
      </c>
      <c r="N61" s="55">
        <f t="shared" si="21"/>
        <v>0</v>
      </c>
      <c r="O61" s="55">
        <f t="shared" si="21"/>
        <v>0</v>
      </c>
      <c r="P61" s="55">
        <f t="shared" si="21"/>
        <v>1</v>
      </c>
      <c r="Q61" s="55">
        <f t="shared" si="21"/>
        <v>1</v>
      </c>
      <c r="R61" s="55">
        <f t="shared" si="21"/>
        <v>1</v>
      </c>
      <c r="S61" s="55">
        <f t="shared" si="21"/>
        <v>1</v>
      </c>
      <c r="T61" s="55">
        <f t="shared" si="21"/>
        <v>1</v>
      </c>
      <c r="U61" s="55">
        <f t="shared" si="21"/>
        <v>0</v>
      </c>
      <c r="V61" s="55">
        <f t="shared" si="21"/>
        <v>0</v>
      </c>
      <c r="W61" s="55">
        <f t="shared" si="21"/>
        <v>0</v>
      </c>
    </row>
    <row r="62" spans="1:23" outlineLevel="1">
      <c r="E62" s="55" t="str">
        <f xml:space="preserve"> E$51</f>
        <v>Forecast end period flag</v>
      </c>
      <c r="F62" s="55">
        <f xml:space="preserve"> F$51</f>
        <v>0</v>
      </c>
      <c r="G62" s="55" t="str">
        <f t="shared" ref="G62:W62" si="22" xml:space="preserve"> G$51</f>
        <v>flag</v>
      </c>
      <c r="H62" s="55">
        <f t="shared" si="22"/>
        <v>1</v>
      </c>
      <c r="I62" s="55">
        <f t="shared" si="22"/>
        <v>0</v>
      </c>
      <c r="J62" s="55">
        <f t="shared" si="22"/>
        <v>0</v>
      </c>
      <c r="K62" s="55">
        <f t="shared" si="22"/>
        <v>0</v>
      </c>
      <c r="L62" s="55">
        <f t="shared" si="22"/>
        <v>0</v>
      </c>
      <c r="M62" s="55">
        <f t="shared" si="22"/>
        <v>0</v>
      </c>
      <c r="N62" s="55">
        <f t="shared" si="22"/>
        <v>0</v>
      </c>
      <c r="O62" s="55">
        <f t="shared" si="22"/>
        <v>0</v>
      </c>
      <c r="P62" s="55">
        <f t="shared" si="22"/>
        <v>0</v>
      </c>
      <c r="Q62" s="55">
        <f t="shared" si="22"/>
        <v>0</v>
      </c>
      <c r="R62" s="55">
        <f t="shared" si="22"/>
        <v>0</v>
      </c>
      <c r="S62" s="55">
        <f t="shared" si="22"/>
        <v>0</v>
      </c>
      <c r="T62" s="55">
        <f t="shared" si="22"/>
        <v>1</v>
      </c>
      <c r="U62" s="55">
        <f t="shared" si="22"/>
        <v>0</v>
      </c>
      <c r="V62" s="55">
        <f t="shared" si="22"/>
        <v>0</v>
      </c>
      <c r="W62" s="55">
        <f t="shared" si="22"/>
        <v>0</v>
      </c>
    </row>
    <row r="63" spans="1:23" s="152" customFormat="1" outlineLevel="1">
      <c r="A63" s="149"/>
      <c r="B63" s="149"/>
      <c r="C63" s="150"/>
      <c r="D63" s="151"/>
      <c r="E63" s="95" t="s">
        <v>239</v>
      </c>
      <c r="F63" s="95"/>
      <c r="G63" s="95" t="s">
        <v>223</v>
      </c>
      <c r="H63" s="95"/>
      <c r="I63" s="53"/>
      <c r="J63" s="95">
        <f t="shared" ref="J63:W63" si="23" xml:space="preserve"> IF(J60 = 1, 1, I63 + J61 - I62) * J61</f>
        <v>0</v>
      </c>
      <c r="K63" s="95">
        <f t="shared" si="23"/>
        <v>0</v>
      </c>
      <c r="L63" s="95">
        <f t="shared" si="23"/>
        <v>0</v>
      </c>
      <c r="M63" s="95">
        <f t="shared" si="23"/>
        <v>0</v>
      </c>
      <c r="N63" s="95">
        <f t="shared" si="23"/>
        <v>0</v>
      </c>
      <c r="O63" s="95">
        <f t="shared" si="23"/>
        <v>0</v>
      </c>
      <c r="P63" s="95">
        <f t="shared" si="23"/>
        <v>1</v>
      </c>
      <c r="Q63" s="95">
        <f t="shared" si="23"/>
        <v>2</v>
      </c>
      <c r="R63" s="95">
        <f t="shared" si="23"/>
        <v>3</v>
      </c>
      <c r="S63" s="95">
        <f t="shared" si="23"/>
        <v>4</v>
      </c>
      <c r="T63" s="95">
        <f t="shared" si="23"/>
        <v>5</v>
      </c>
      <c r="U63" s="95">
        <f t="shared" si="23"/>
        <v>0</v>
      </c>
      <c r="V63" s="95">
        <f t="shared" si="23"/>
        <v>0</v>
      </c>
      <c r="W63" s="95">
        <f t="shared" si="23"/>
        <v>0</v>
      </c>
    </row>
    <row r="64" spans="1:23" outlineLevel="1">
      <c r="E64" s="55"/>
      <c r="F64" s="55"/>
      <c r="G64" s="55"/>
      <c r="H64" s="55"/>
      <c r="I64" s="99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</row>
    <row r="65" spans="1:23" outlineLevel="1">
      <c r="B65" s="88" t="s">
        <v>240</v>
      </c>
      <c r="E65" s="55"/>
      <c r="F65" s="55"/>
      <c r="G65" s="55"/>
      <c r="H65" s="55"/>
      <c r="I65" s="99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</row>
    <row r="66" spans="1:23" outlineLevel="1">
      <c r="E66" s="55" t="str">
        <f xml:space="preserve"> E$14</f>
        <v>1st model column flag</v>
      </c>
      <c r="F66" s="55">
        <f xml:space="preserve"> F$14</f>
        <v>0</v>
      </c>
      <c r="G66" s="55" t="str">
        <f xml:space="preserve"> G$14</f>
        <v>flag</v>
      </c>
      <c r="H66" s="55">
        <f xml:space="preserve"> H$14</f>
        <v>1</v>
      </c>
      <c r="I66" s="55">
        <f xml:space="preserve"> I$14</f>
        <v>0</v>
      </c>
      <c r="J66" s="55">
        <f t="shared" ref="J66:S66" si="24" xml:space="preserve"> J$14</f>
        <v>1</v>
      </c>
      <c r="K66" s="55">
        <f t="shared" si="24"/>
        <v>0</v>
      </c>
      <c r="L66" s="55">
        <f t="shared" si="24"/>
        <v>0</v>
      </c>
      <c r="M66" s="55">
        <f t="shared" si="24"/>
        <v>0</v>
      </c>
      <c r="N66" s="55">
        <f t="shared" si="24"/>
        <v>0</v>
      </c>
      <c r="O66" s="55">
        <f t="shared" si="24"/>
        <v>0</v>
      </c>
      <c r="P66" s="55">
        <f t="shared" si="24"/>
        <v>0</v>
      </c>
      <c r="Q66" s="55">
        <f t="shared" si="24"/>
        <v>0</v>
      </c>
      <c r="R66" s="55">
        <f t="shared" si="24"/>
        <v>0</v>
      </c>
      <c r="S66" s="55">
        <f t="shared" si="24"/>
        <v>0</v>
      </c>
      <c r="T66" s="55">
        <f xml:space="preserve"> T$14</f>
        <v>0</v>
      </c>
      <c r="U66" s="55">
        <f xml:space="preserve"> U$14</f>
        <v>0</v>
      </c>
      <c r="V66" s="55">
        <f xml:space="preserve"> V$14</f>
        <v>0</v>
      </c>
      <c r="W66" s="55">
        <f xml:space="preserve"> W$14</f>
        <v>0</v>
      </c>
    </row>
    <row r="67" spans="1:23" outlineLevel="1">
      <c r="E67" s="55" t="str">
        <f xml:space="preserve"> E$41</f>
        <v>Forecast start period flag</v>
      </c>
      <c r="F67" s="55">
        <f xml:space="preserve"> F$41</f>
        <v>0</v>
      </c>
      <c r="G67" s="55" t="str">
        <f xml:space="preserve"> G$41</f>
        <v>flag</v>
      </c>
      <c r="H67" s="55">
        <f xml:space="preserve"> H$41</f>
        <v>1</v>
      </c>
      <c r="I67" s="55">
        <f xml:space="preserve"> I$41</f>
        <v>0</v>
      </c>
      <c r="J67" s="55">
        <f t="shared" ref="J67:S67" si="25" xml:space="preserve"> J$41</f>
        <v>0</v>
      </c>
      <c r="K67" s="55">
        <f t="shared" si="25"/>
        <v>0</v>
      </c>
      <c r="L67" s="55">
        <f t="shared" si="25"/>
        <v>0</v>
      </c>
      <c r="M67" s="55">
        <f t="shared" si="25"/>
        <v>0</v>
      </c>
      <c r="N67" s="55">
        <f t="shared" si="25"/>
        <v>0</v>
      </c>
      <c r="O67" s="55">
        <f t="shared" si="25"/>
        <v>0</v>
      </c>
      <c r="P67" s="55">
        <f t="shared" si="25"/>
        <v>1</v>
      </c>
      <c r="Q67" s="55">
        <f t="shared" si="25"/>
        <v>0</v>
      </c>
      <c r="R67" s="55">
        <f t="shared" si="25"/>
        <v>0</v>
      </c>
      <c r="S67" s="55">
        <f t="shared" si="25"/>
        <v>0</v>
      </c>
      <c r="T67" s="55">
        <f xml:space="preserve"> T$41</f>
        <v>0</v>
      </c>
      <c r="U67" s="55">
        <f xml:space="preserve"> U$41</f>
        <v>0</v>
      </c>
      <c r="V67" s="55">
        <f xml:space="preserve"> V$41</f>
        <v>0</v>
      </c>
      <c r="W67" s="55">
        <f xml:space="preserve"> W$41</f>
        <v>0</v>
      </c>
    </row>
    <row r="68" spans="1:23" s="13" customFormat="1" outlineLevel="1">
      <c r="A68" s="88"/>
      <c r="B68" s="88"/>
      <c r="C68" s="89"/>
      <c r="D68" s="56"/>
      <c r="E68" s="55" t="s">
        <v>240</v>
      </c>
      <c r="F68" s="55"/>
      <c r="G68" s="55" t="s">
        <v>227</v>
      </c>
      <c r="H68" s="55">
        <f xml:space="preserve"> SUM(J68:W68)</f>
        <v>6</v>
      </c>
      <c r="I68" s="14"/>
      <c r="J68" s="55">
        <f xml:space="preserve"> J66 + I68 - J67</f>
        <v>1</v>
      </c>
      <c r="K68" s="55">
        <f t="shared" ref="K68:R68" si="26" xml:space="preserve"> K66 + J68 - K67</f>
        <v>1</v>
      </c>
      <c r="L68" s="55">
        <f t="shared" si="26"/>
        <v>1</v>
      </c>
      <c r="M68" s="55">
        <f t="shared" si="26"/>
        <v>1</v>
      </c>
      <c r="N68" s="55">
        <f t="shared" si="26"/>
        <v>1</v>
      </c>
      <c r="O68" s="55">
        <f t="shared" si="26"/>
        <v>1</v>
      </c>
      <c r="P68" s="55">
        <f t="shared" si="26"/>
        <v>0</v>
      </c>
      <c r="Q68" s="55">
        <f t="shared" si="26"/>
        <v>0</v>
      </c>
      <c r="R68" s="55">
        <f t="shared" si="26"/>
        <v>0</v>
      </c>
      <c r="S68" s="55">
        <f xml:space="preserve"> S66 + R68 - S67</f>
        <v>0</v>
      </c>
      <c r="T68" s="55">
        <f xml:space="preserve"> T66 + S68 - T67</f>
        <v>0</v>
      </c>
      <c r="U68" s="55">
        <f xml:space="preserve"> U66 + T68 - U67</f>
        <v>0</v>
      </c>
      <c r="V68" s="55">
        <f xml:space="preserve"> V66 + U68 - V67</f>
        <v>0</v>
      </c>
      <c r="W68" s="55">
        <f xml:space="preserve"> W66 + V68 - W67</f>
        <v>0</v>
      </c>
    </row>
    <row r="69" spans="1:23" outlineLevel="1">
      <c r="E69" s="55" t="s">
        <v>241</v>
      </c>
      <c r="F69" s="55">
        <f xml:space="preserve"> SUM(J68:W68)</f>
        <v>6</v>
      </c>
      <c r="G69" s="55" t="s">
        <v>238</v>
      </c>
      <c r="H69" s="55"/>
      <c r="I69" s="99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</row>
    <row r="70" spans="1:23" outlineLevel="1">
      <c r="E70" s="55"/>
      <c r="F70" s="55"/>
      <c r="G70" s="55"/>
      <c r="H70" s="55"/>
      <c r="I70" s="14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</row>
    <row r="71" spans="1:23" outlineLevel="1">
      <c r="E71" s="55" t="str">
        <f xml:space="preserve"> E$41</f>
        <v>Forecast start period flag</v>
      </c>
      <c r="F71" s="55">
        <f xml:space="preserve"> F$41</f>
        <v>0</v>
      </c>
      <c r="G71" s="55" t="str">
        <f xml:space="preserve"> G$41</f>
        <v>flag</v>
      </c>
      <c r="H71" s="55">
        <f xml:space="preserve"> H$41</f>
        <v>1</v>
      </c>
      <c r="I71" s="55">
        <f xml:space="preserve"> I$41</f>
        <v>0</v>
      </c>
      <c r="J71" s="55">
        <f t="shared" ref="J71:S71" si="27" xml:space="preserve"> J$41</f>
        <v>0</v>
      </c>
      <c r="K71" s="55">
        <f t="shared" si="27"/>
        <v>0</v>
      </c>
      <c r="L71" s="55">
        <f t="shared" si="27"/>
        <v>0</v>
      </c>
      <c r="M71" s="55">
        <f t="shared" si="27"/>
        <v>0</v>
      </c>
      <c r="N71" s="55">
        <f t="shared" si="27"/>
        <v>0</v>
      </c>
      <c r="O71" s="55">
        <f t="shared" si="27"/>
        <v>0</v>
      </c>
      <c r="P71" s="55">
        <f t="shared" si="27"/>
        <v>1</v>
      </c>
      <c r="Q71" s="55">
        <f t="shared" si="27"/>
        <v>0</v>
      </c>
      <c r="R71" s="55">
        <f t="shared" si="27"/>
        <v>0</v>
      </c>
      <c r="S71" s="55">
        <f t="shared" si="27"/>
        <v>0</v>
      </c>
      <c r="T71" s="55">
        <f xml:space="preserve"> T$41</f>
        <v>0</v>
      </c>
      <c r="U71" s="55">
        <f xml:space="preserve"> U$41</f>
        <v>0</v>
      </c>
      <c r="V71" s="55">
        <f xml:space="preserve"> V$41</f>
        <v>0</v>
      </c>
      <c r="W71" s="55">
        <f xml:space="preserve"> W$41</f>
        <v>0</v>
      </c>
    </row>
    <row r="72" spans="1:23" outlineLevel="1">
      <c r="E72" s="53" t="s">
        <v>242</v>
      </c>
      <c r="F72" s="95"/>
      <c r="G72" s="95" t="s">
        <v>227</v>
      </c>
      <c r="H72" s="95">
        <f xml:space="preserve"> SUM(J72:W72)</f>
        <v>1</v>
      </c>
      <c r="I72" s="53"/>
      <c r="J72" s="95">
        <f xml:space="preserve"> K71</f>
        <v>0</v>
      </c>
      <c r="K72" s="95">
        <f t="shared" ref="K72:Q72" si="28" xml:space="preserve"> L71</f>
        <v>0</v>
      </c>
      <c r="L72" s="95">
        <f t="shared" si="28"/>
        <v>0</v>
      </c>
      <c r="M72" s="95">
        <f t="shared" si="28"/>
        <v>0</v>
      </c>
      <c r="N72" s="95">
        <f t="shared" si="28"/>
        <v>0</v>
      </c>
      <c r="O72" s="95">
        <f t="shared" si="28"/>
        <v>1</v>
      </c>
      <c r="P72" s="95">
        <f t="shared" si="28"/>
        <v>0</v>
      </c>
      <c r="Q72" s="95">
        <f t="shared" si="28"/>
        <v>0</v>
      </c>
      <c r="R72" s="95">
        <f t="shared" ref="R72:W72" si="29" xml:space="preserve"> S71</f>
        <v>0</v>
      </c>
      <c r="S72" s="95">
        <f t="shared" si="29"/>
        <v>0</v>
      </c>
      <c r="T72" s="95">
        <f t="shared" si="29"/>
        <v>0</v>
      </c>
      <c r="U72" s="95">
        <f t="shared" si="29"/>
        <v>0</v>
      </c>
      <c r="V72" s="95">
        <f t="shared" si="29"/>
        <v>0</v>
      </c>
      <c r="W72" s="95">
        <f t="shared" si="29"/>
        <v>0</v>
      </c>
    </row>
    <row r="73" spans="1:23" outlineLevel="1">
      <c r="E73" s="55"/>
      <c r="F73" s="55"/>
      <c r="G73" s="55"/>
      <c r="H73" s="55"/>
      <c r="I73" s="99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</row>
    <row r="74" spans="1:23" outlineLevel="1">
      <c r="B74" s="88" t="s">
        <v>243</v>
      </c>
      <c r="E74" s="55"/>
      <c r="F74" s="55"/>
      <c r="G74" s="55"/>
      <c r="H74" s="55"/>
      <c r="I74" s="99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</row>
    <row r="75" spans="1:23" outlineLevel="1">
      <c r="E75" s="55" t="str">
        <f xml:space="preserve"> E$51</f>
        <v>Forecast end period flag</v>
      </c>
      <c r="F75" s="55">
        <f t="shared" ref="F75:S75" si="30" xml:space="preserve"> F$51</f>
        <v>0</v>
      </c>
      <c r="G75" s="55" t="str">
        <f t="shared" si="30"/>
        <v>flag</v>
      </c>
      <c r="H75" s="55">
        <f t="shared" si="30"/>
        <v>1</v>
      </c>
      <c r="I75" s="55">
        <f t="shared" si="30"/>
        <v>0</v>
      </c>
      <c r="J75" s="55">
        <f t="shared" si="30"/>
        <v>0</v>
      </c>
      <c r="K75" s="55">
        <f t="shared" si="30"/>
        <v>0</v>
      </c>
      <c r="L75" s="55">
        <f t="shared" si="30"/>
        <v>0</v>
      </c>
      <c r="M75" s="55">
        <f t="shared" si="30"/>
        <v>0</v>
      </c>
      <c r="N75" s="55">
        <f t="shared" si="30"/>
        <v>0</v>
      </c>
      <c r="O75" s="55">
        <f t="shared" si="30"/>
        <v>0</v>
      </c>
      <c r="P75" s="55">
        <f t="shared" si="30"/>
        <v>0</v>
      </c>
      <c r="Q75" s="55">
        <f t="shared" si="30"/>
        <v>0</v>
      </c>
      <c r="R75" s="55">
        <f t="shared" si="30"/>
        <v>0</v>
      </c>
      <c r="S75" s="55">
        <f t="shared" si="30"/>
        <v>0</v>
      </c>
      <c r="T75" s="55">
        <f xml:space="preserve"> T$51</f>
        <v>1</v>
      </c>
      <c r="U75" s="55">
        <f xml:space="preserve"> U$51</f>
        <v>0</v>
      </c>
      <c r="V75" s="55">
        <f xml:space="preserve"> V$51</f>
        <v>0</v>
      </c>
      <c r="W75" s="55">
        <f xml:space="preserve"> W$51</f>
        <v>0</v>
      </c>
    </row>
    <row r="76" spans="1:23" s="174" customFormat="1" outlineLevel="1">
      <c r="A76" s="149"/>
      <c r="B76" s="149"/>
      <c r="C76" s="150"/>
      <c r="D76" s="151"/>
      <c r="E76" s="72" t="s">
        <v>243</v>
      </c>
      <c r="F76" s="72"/>
      <c r="G76" s="72" t="s">
        <v>227</v>
      </c>
      <c r="H76" s="72">
        <f xml:space="preserve"> SUM(J76:W76)</f>
        <v>1</v>
      </c>
      <c r="I76" s="14"/>
      <c r="J76" s="72">
        <f xml:space="preserve"> I75</f>
        <v>0</v>
      </c>
      <c r="K76" s="72">
        <f t="shared" ref="K76:R76" si="31" xml:space="preserve"> J75</f>
        <v>0</v>
      </c>
      <c r="L76" s="72">
        <f t="shared" si="31"/>
        <v>0</v>
      </c>
      <c r="M76" s="72">
        <f t="shared" si="31"/>
        <v>0</v>
      </c>
      <c r="N76" s="72">
        <f t="shared" si="31"/>
        <v>0</v>
      </c>
      <c r="O76" s="72">
        <f t="shared" si="31"/>
        <v>0</v>
      </c>
      <c r="P76" s="72">
        <f t="shared" si="31"/>
        <v>0</v>
      </c>
      <c r="Q76" s="72">
        <f t="shared" si="31"/>
        <v>0</v>
      </c>
      <c r="R76" s="72">
        <f t="shared" si="31"/>
        <v>0</v>
      </c>
      <c r="S76" s="72">
        <f xml:space="preserve"> R75</f>
        <v>0</v>
      </c>
      <c r="T76" s="72">
        <f xml:space="preserve"> S75</f>
        <v>0</v>
      </c>
      <c r="U76" s="72">
        <f xml:space="preserve"> T75</f>
        <v>1</v>
      </c>
      <c r="V76" s="72">
        <f xml:space="preserve"> U75</f>
        <v>0</v>
      </c>
      <c r="W76" s="72">
        <f xml:space="preserve"> V75</f>
        <v>0</v>
      </c>
    </row>
    <row r="77" spans="1:23" outlineLevel="1">
      <c r="E77" s="55"/>
      <c r="F77" s="55"/>
      <c r="G77" s="55"/>
      <c r="H77" s="55"/>
      <c r="I77" s="99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</row>
    <row r="78" spans="1:23" outlineLevel="1">
      <c r="B78" s="88" t="s">
        <v>244</v>
      </c>
      <c r="E78" s="55"/>
      <c r="F78" s="55"/>
      <c r="G78" s="55"/>
      <c r="H78" s="55"/>
      <c r="I78" s="99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</row>
    <row r="79" spans="1:23" outlineLevel="1">
      <c r="E79" s="55" t="str">
        <f t="shared" ref="E79:S79" si="32" xml:space="preserve"> E$76</f>
        <v>First post-forecast period flag</v>
      </c>
      <c r="F79" s="55">
        <f t="shared" si="32"/>
        <v>0</v>
      </c>
      <c r="G79" s="55" t="str">
        <f t="shared" si="32"/>
        <v>flag</v>
      </c>
      <c r="H79" s="55">
        <f t="shared" si="32"/>
        <v>1</v>
      </c>
      <c r="I79" s="55">
        <f t="shared" si="32"/>
        <v>0</v>
      </c>
      <c r="J79" s="55">
        <f t="shared" si="32"/>
        <v>0</v>
      </c>
      <c r="K79" s="55">
        <f t="shared" si="32"/>
        <v>0</v>
      </c>
      <c r="L79" s="55">
        <f t="shared" si="32"/>
        <v>0</v>
      </c>
      <c r="M79" s="55">
        <f t="shared" si="32"/>
        <v>0</v>
      </c>
      <c r="N79" s="55">
        <f t="shared" si="32"/>
        <v>0</v>
      </c>
      <c r="O79" s="55">
        <f t="shared" si="32"/>
        <v>0</v>
      </c>
      <c r="P79" s="55">
        <f t="shared" si="32"/>
        <v>0</v>
      </c>
      <c r="Q79" s="55">
        <f t="shared" si="32"/>
        <v>0</v>
      </c>
      <c r="R79" s="55">
        <f t="shared" si="32"/>
        <v>0</v>
      </c>
      <c r="S79" s="55">
        <f t="shared" si="32"/>
        <v>0</v>
      </c>
      <c r="T79" s="55">
        <f xml:space="preserve"> T$76</f>
        <v>0</v>
      </c>
      <c r="U79" s="55">
        <f xml:space="preserve"> U$76</f>
        <v>1</v>
      </c>
      <c r="V79" s="55">
        <f xml:space="preserve"> V$76</f>
        <v>0</v>
      </c>
      <c r="W79" s="55">
        <f xml:space="preserve"> W$76</f>
        <v>0</v>
      </c>
    </row>
    <row r="80" spans="1:23" outlineLevel="1">
      <c r="E80" s="55" t="s">
        <v>244</v>
      </c>
      <c r="F80" s="55"/>
      <c r="G80" s="55" t="s">
        <v>227</v>
      </c>
      <c r="H80" s="55">
        <f xml:space="preserve"> SUM(J80:W80)</f>
        <v>3</v>
      </c>
      <c r="I80" s="99"/>
      <c r="J80" s="55">
        <f xml:space="preserve"> J79 + I80</f>
        <v>0</v>
      </c>
      <c r="K80" s="55">
        <f t="shared" ref="K80:R80" si="33" xml:space="preserve"> K79 + J80</f>
        <v>0</v>
      </c>
      <c r="L80" s="55">
        <f t="shared" si="33"/>
        <v>0</v>
      </c>
      <c r="M80" s="55">
        <f t="shared" si="33"/>
        <v>0</v>
      </c>
      <c r="N80" s="55">
        <f t="shared" si="33"/>
        <v>0</v>
      </c>
      <c r="O80" s="55">
        <f t="shared" si="33"/>
        <v>0</v>
      </c>
      <c r="P80" s="55">
        <f t="shared" si="33"/>
        <v>0</v>
      </c>
      <c r="Q80" s="55">
        <f t="shared" si="33"/>
        <v>0</v>
      </c>
      <c r="R80" s="55">
        <f t="shared" si="33"/>
        <v>0</v>
      </c>
      <c r="S80" s="55">
        <f xml:space="preserve"> S79 + R80</f>
        <v>0</v>
      </c>
      <c r="T80" s="55">
        <f xml:space="preserve"> T79 + S80</f>
        <v>0</v>
      </c>
      <c r="U80" s="55">
        <f xml:space="preserve"> U79 + T80</f>
        <v>1</v>
      </c>
      <c r="V80" s="55">
        <f xml:space="preserve"> V79 + U80</f>
        <v>1</v>
      </c>
      <c r="W80" s="55">
        <f xml:space="preserve"> W79 + V80</f>
        <v>1</v>
      </c>
    </row>
    <row r="81" spans="1:23" outlineLevel="1">
      <c r="E81" s="55" t="s">
        <v>245</v>
      </c>
      <c r="F81" s="55">
        <f xml:space="preserve"> SUM(J80:W80)</f>
        <v>3</v>
      </c>
      <c r="G81" s="55" t="s">
        <v>238</v>
      </c>
      <c r="H81" s="55"/>
      <c r="I81" s="99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</row>
    <row r="82" spans="1:23" outlineLevel="1">
      <c r="E82" s="55"/>
      <c r="F82" s="55"/>
      <c r="G82" s="55"/>
      <c r="H82" s="55"/>
      <c r="I82" s="99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</row>
    <row r="83" spans="1:23" outlineLevel="1">
      <c r="B83" s="88" t="s">
        <v>246</v>
      </c>
      <c r="E83" s="55"/>
      <c r="F83" s="55"/>
      <c r="G83" s="55"/>
      <c r="H83" s="55"/>
      <c r="I83" s="99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</row>
    <row r="84" spans="1:23" outlineLevel="1">
      <c r="E84" s="55" t="str">
        <f xml:space="preserve"> E$56</f>
        <v>Forecast period flag</v>
      </c>
      <c r="F84" s="55">
        <f xml:space="preserve"> F$56</f>
        <v>0</v>
      </c>
      <c r="G84" s="55" t="str">
        <f xml:space="preserve"> G$56</f>
        <v>flag</v>
      </c>
      <c r="H84" s="55">
        <f xml:space="preserve"> H$56</f>
        <v>5</v>
      </c>
      <c r="I84" s="55">
        <f xml:space="preserve"> I$56</f>
        <v>0</v>
      </c>
      <c r="J84" s="55">
        <f t="shared" ref="J84:S84" si="34" xml:space="preserve"> J$56</f>
        <v>0</v>
      </c>
      <c r="K84" s="55">
        <f t="shared" si="34"/>
        <v>0</v>
      </c>
      <c r="L84" s="55">
        <f t="shared" si="34"/>
        <v>0</v>
      </c>
      <c r="M84" s="55">
        <f t="shared" si="34"/>
        <v>0</v>
      </c>
      <c r="N84" s="55">
        <f t="shared" si="34"/>
        <v>0</v>
      </c>
      <c r="O84" s="55">
        <f t="shared" si="34"/>
        <v>0</v>
      </c>
      <c r="P84" s="55">
        <f t="shared" si="34"/>
        <v>1</v>
      </c>
      <c r="Q84" s="55">
        <f t="shared" si="34"/>
        <v>1</v>
      </c>
      <c r="R84" s="55">
        <f t="shared" si="34"/>
        <v>1</v>
      </c>
      <c r="S84" s="55">
        <f t="shared" si="34"/>
        <v>1</v>
      </c>
      <c r="T84" s="55">
        <f xml:space="preserve"> T$56</f>
        <v>1</v>
      </c>
      <c r="U84" s="55">
        <f xml:space="preserve"> U$56</f>
        <v>0</v>
      </c>
      <c r="V84" s="55">
        <f xml:space="preserve"> V$56</f>
        <v>0</v>
      </c>
      <c r="W84" s="55">
        <f xml:space="preserve"> W$56</f>
        <v>0</v>
      </c>
    </row>
    <row r="85" spans="1:23" outlineLevel="1">
      <c r="E85" s="55" t="str">
        <f xml:space="preserve"> E$68</f>
        <v>Pre-forecast period flag</v>
      </c>
      <c r="F85" s="55">
        <f xml:space="preserve"> F$68</f>
        <v>0</v>
      </c>
      <c r="G85" s="55" t="str">
        <f xml:space="preserve"> G$68</f>
        <v>flag</v>
      </c>
      <c r="H85" s="55">
        <f xml:space="preserve"> H$68</f>
        <v>6</v>
      </c>
      <c r="I85" s="55">
        <f xml:space="preserve"> I$68</f>
        <v>0</v>
      </c>
      <c r="J85" s="55">
        <f t="shared" ref="J85:S85" si="35" xml:space="preserve"> J$68</f>
        <v>1</v>
      </c>
      <c r="K85" s="55">
        <f t="shared" si="35"/>
        <v>1</v>
      </c>
      <c r="L85" s="55">
        <f t="shared" si="35"/>
        <v>1</v>
      </c>
      <c r="M85" s="55">
        <f t="shared" si="35"/>
        <v>1</v>
      </c>
      <c r="N85" s="55">
        <f t="shared" si="35"/>
        <v>1</v>
      </c>
      <c r="O85" s="55">
        <f t="shared" si="35"/>
        <v>1</v>
      </c>
      <c r="P85" s="55">
        <f t="shared" si="35"/>
        <v>0</v>
      </c>
      <c r="Q85" s="55">
        <f t="shared" si="35"/>
        <v>0</v>
      </c>
      <c r="R85" s="55">
        <f t="shared" si="35"/>
        <v>0</v>
      </c>
      <c r="S85" s="55">
        <f t="shared" si="35"/>
        <v>0</v>
      </c>
      <c r="T85" s="55">
        <f xml:space="preserve"> T$68</f>
        <v>0</v>
      </c>
      <c r="U85" s="55">
        <f xml:space="preserve"> U$68</f>
        <v>0</v>
      </c>
      <c r="V85" s="55">
        <f xml:space="preserve"> V$68</f>
        <v>0</v>
      </c>
      <c r="W85" s="55">
        <f xml:space="preserve"> W$68</f>
        <v>0</v>
      </c>
    </row>
    <row r="86" spans="1:23" s="174" customFormat="1" outlineLevel="1">
      <c r="A86" s="149"/>
      <c r="B86" s="149"/>
      <c r="C86" s="150"/>
      <c r="D86" s="151"/>
      <c r="E86" s="127" t="s">
        <v>246</v>
      </c>
      <c r="F86" s="72"/>
      <c r="G86" s="72" t="s">
        <v>227</v>
      </c>
      <c r="H86" s="72">
        <f xml:space="preserve"> SUM(J86:W86)</f>
        <v>11</v>
      </c>
      <c r="I86" s="127"/>
      <c r="J86" s="72">
        <f xml:space="preserve"> MAX(J84:J85)</f>
        <v>1</v>
      </c>
      <c r="K86" s="72">
        <f t="shared" ref="K86:S86" si="36" xml:space="preserve"> MAX(K84:K85)</f>
        <v>1</v>
      </c>
      <c r="L86" s="72">
        <f t="shared" si="36"/>
        <v>1</v>
      </c>
      <c r="M86" s="72">
        <f t="shared" si="36"/>
        <v>1</v>
      </c>
      <c r="N86" s="72">
        <f t="shared" si="36"/>
        <v>1</v>
      </c>
      <c r="O86" s="72">
        <f t="shared" si="36"/>
        <v>1</v>
      </c>
      <c r="P86" s="72">
        <f t="shared" si="36"/>
        <v>1</v>
      </c>
      <c r="Q86" s="72">
        <f t="shared" si="36"/>
        <v>1</v>
      </c>
      <c r="R86" s="72">
        <f t="shared" si="36"/>
        <v>1</v>
      </c>
      <c r="S86" s="72">
        <f t="shared" si="36"/>
        <v>1</v>
      </c>
      <c r="T86" s="72">
        <f xml:space="preserve"> MAX(T84:T85)</f>
        <v>1</v>
      </c>
      <c r="U86" s="72">
        <f xml:space="preserve"> MAX(U84:U85)</f>
        <v>0</v>
      </c>
      <c r="V86" s="72">
        <f xml:space="preserve"> MAX(V84:V85)</f>
        <v>0</v>
      </c>
      <c r="W86" s="72">
        <f xml:space="preserve"> MAX(W84:W85)</f>
        <v>0</v>
      </c>
    </row>
    <row r="87" spans="1:23" outlineLevel="1">
      <c r="E87" s="55"/>
      <c r="F87" s="55"/>
      <c r="G87" s="55"/>
      <c r="H87" s="55"/>
      <c r="I87" s="99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</row>
    <row r="88" spans="1:23" outlineLevel="1">
      <c r="B88" s="88" t="s">
        <v>247</v>
      </c>
      <c r="E88" s="55"/>
      <c r="F88" s="55"/>
      <c r="G88" s="55"/>
      <c r="H88" s="55"/>
      <c r="I88" s="99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</row>
    <row r="89" spans="1:23" outlineLevel="1">
      <c r="E89" s="67" t="str">
        <f xml:space="preserve"> E$127</f>
        <v>Financial year ending</v>
      </c>
      <c r="F89" s="67">
        <f t="shared" ref="F89:S89" si="37" xml:space="preserve"> F$127</f>
        <v>0</v>
      </c>
      <c r="G89" s="67" t="str">
        <f t="shared" si="37"/>
        <v>year #</v>
      </c>
      <c r="H89" s="67">
        <f t="shared" si="37"/>
        <v>0</v>
      </c>
      <c r="I89" s="67">
        <f t="shared" si="37"/>
        <v>0</v>
      </c>
      <c r="J89" s="67">
        <f t="shared" si="37"/>
        <v>2015</v>
      </c>
      <c r="K89" s="67">
        <f t="shared" si="37"/>
        <v>2016</v>
      </c>
      <c r="L89" s="67">
        <f t="shared" si="37"/>
        <v>2017</v>
      </c>
      <c r="M89" s="67">
        <f t="shared" si="37"/>
        <v>2018</v>
      </c>
      <c r="N89" s="67">
        <f t="shared" si="37"/>
        <v>2019</v>
      </c>
      <c r="O89" s="67">
        <f t="shared" si="37"/>
        <v>2020</v>
      </c>
      <c r="P89" s="67">
        <f t="shared" si="37"/>
        <v>2021</v>
      </c>
      <c r="Q89" s="67">
        <f t="shared" si="37"/>
        <v>2022</v>
      </c>
      <c r="R89" s="67">
        <f t="shared" si="37"/>
        <v>2023</v>
      </c>
      <c r="S89" s="67">
        <f t="shared" si="37"/>
        <v>2024</v>
      </c>
      <c r="T89" s="67">
        <f xml:space="preserve"> T$127</f>
        <v>2025</v>
      </c>
      <c r="U89" s="67">
        <f xml:space="preserve"> U$127</f>
        <v>2026</v>
      </c>
      <c r="V89" s="67">
        <f xml:space="preserve"> V$127</f>
        <v>2027</v>
      </c>
      <c r="W89" s="67">
        <f xml:space="preserve"> W$127</f>
        <v>2028</v>
      </c>
    </row>
    <row r="90" spans="1:23" outlineLevel="1">
      <c r="E90" s="55" t="str">
        <f xml:space="preserve"> E$41</f>
        <v>Forecast start period flag</v>
      </c>
      <c r="F90" s="55">
        <f t="shared" ref="F90:S90" si="38" xml:space="preserve"> F$41</f>
        <v>0</v>
      </c>
      <c r="G90" s="55" t="str">
        <f t="shared" si="38"/>
        <v>flag</v>
      </c>
      <c r="H90" s="55">
        <f t="shared" si="38"/>
        <v>1</v>
      </c>
      <c r="I90" s="55">
        <f t="shared" si="38"/>
        <v>0</v>
      </c>
      <c r="J90" s="55">
        <f t="shared" si="38"/>
        <v>0</v>
      </c>
      <c r="K90" s="55">
        <f t="shared" si="38"/>
        <v>0</v>
      </c>
      <c r="L90" s="55">
        <f t="shared" si="38"/>
        <v>0</v>
      </c>
      <c r="M90" s="55">
        <f t="shared" si="38"/>
        <v>0</v>
      </c>
      <c r="N90" s="55">
        <f t="shared" si="38"/>
        <v>0</v>
      </c>
      <c r="O90" s="55">
        <f t="shared" si="38"/>
        <v>0</v>
      </c>
      <c r="P90" s="55">
        <f t="shared" si="38"/>
        <v>1</v>
      </c>
      <c r="Q90" s="55">
        <f t="shared" si="38"/>
        <v>0</v>
      </c>
      <c r="R90" s="55">
        <f t="shared" si="38"/>
        <v>0</v>
      </c>
      <c r="S90" s="55">
        <f t="shared" si="38"/>
        <v>0</v>
      </c>
      <c r="T90" s="55">
        <f xml:space="preserve"> T$41</f>
        <v>0</v>
      </c>
      <c r="U90" s="55">
        <f xml:space="preserve"> U$41</f>
        <v>0</v>
      </c>
      <c r="V90" s="55">
        <f xml:space="preserve"> V$41</f>
        <v>0</v>
      </c>
      <c r="W90" s="55">
        <f xml:space="preserve"> W$41</f>
        <v>0</v>
      </c>
    </row>
    <row r="91" spans="1:23" s="174" customFormat="1" outlineLevel="1">
      <c r="A91" s="149"/>
      <c r="B91" s="149"/>
      <c r="C91" s="150"/>
      <c r="D91" s="151"/>
      <c r="E91" s="72" t="s">
        <v>248</v>
      </c>
      <c r="F91" s="176">
        <f xml:space="preserve"> SUMPRODUCT(J90:W90, J89:W89)</f>
        <v>2021</v>
      </c>
      <c r="G91" s="72" t="s">
        <v>127</v>
      </c>
      <c r="H91" s="72"/>
      <c r="I91" s="127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</row>
    <row r="92" spans="1:23" outlineLevel="1">
      <c r="E92" s="55"/>
      <c r="F92" s="55"/>
      <c r="G92" s="55"/>
      <c r="H92" s="55"/>
      <c r="I92" s="99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</row>
    <row r="93" spans="1:23" ht="12.75" customHeight="1">
      <c r="A93" s="113" t="s">
        <v>249</v>
      </c>
      <c r="B93" s="113"/>
      <c r="C93" s="112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</row>
    <row r="94" spans="1:23" ht="12.75" customHeight="1"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</row>
    <row r="95" spans="1:23" outlineLevel="1">
      <c r="B95" s="88" t="s">
        <v>250</v>
      </c>
      <c r="E95" s="55"/>
      <c r="F95" s="7"/>
      <c r="G95" s="20"/>
      <c r="H95" s="20"/>
      <c r="I95" s="90"/>
      <c r="J95" s="20"/>
      <c r="K95" s="20"/>
      <c r="L95" s="20"/>
      <c r="M95" s="20"/>
      <c r="N95" s="90"/>
      <c r="O95" s="20"/>
      <c r="P95" s="20"/>
      <c r="Q95" s="20"/>
      <c r="R95" s="20"/>
      <c r="S95" s="20"/>
      <c r="T95" s="20"/>
      <c r="U95" s="20"/>
      <c r="V95" s="20"/>
      <c r="W95" s="20"/>
    </row>
    <row r="96" spans="1:23" outlineLevel="1">
      <c r="E96" s="55" t="str">
        <f t="shared" ref="E96:S96" si="39" xml:space="preserve"> E$14</f>
        <v>1st model column flag</v>
      </c>
      <c r="F96" s="55">
        <f t="shared" si="39"/>
        <v>0</v>
      </c>
      <c r="G96" s="55" t="str">
        <f t="shared" si="39"/>
        <v>flag</v>
      </c>
      <c r="H96" s="55">
        <f t="shared" si="39"/>
        <v>1</v>
      </c>
      <c r="I96" s="55">
        <f t="shared" si="39"/>
        <v>0</v>
      </c>
      <c r="J96" s="55">
        <f t="shared" si="39"/>
        <v>1</v>
      </c>
      <c r="K96" s="55">
        <f t="shared" si="39"/>
        <v>0</v>
      </c>
      <c r="L96" s="55">
        <f t="shared" si="39"/>
        <v>0</v>
      </c>
      <c r="M96" s="55">
        <f t="shared" si="39"/>
        <v>0</v>
      </c>
      <c r="N96" s="55">
        <f t="shared" si="39"/>
        <v>0</v>
      </c>
      <c r="O96" s="55">
        <f t="shared" si="39"/>
        <v>0</v>
      </c>
      <c r="P96" s="55">
        <f t="shared" si="39"/>
        <v>0</v>
      </c>
      <c r="Q96" s="55">
        <f t="shared" si="39"/>
        <v>0</v>
      </c>
      <c r="R96" s="55">
        <f t="shared" si="39"/>
        <v>0</v>
      </c>
      <c r="S96" s="55">
        <f t="shared" si="39"/>
        <v>0</v>
      </c>
      <c r="T96" s="55">
        <f xml:space="preserve"> T$14</f>
        <v>0</v>
      </c>
      <c r="U96" s="55">
        <f xml:space="preserve"> U$14</f>
        <v>0</v>
      </c>
      <c r="V96" s="55">
        <f xml:space="preserve"> V$14</f>
        <v>0</v>
      </c>
      <c r="W96" s="55">
        <f xml:space="preserve"> W$14</f>
        <v>0</v>
      </c>
    </row>
    <row r="97" spans="1:23" outlineLevel="1">
      <c r="E97" s="55" t="str">
        <f xml:space="preserve"> E$41</f>
        <v>Forecast start period flag</v>
      </c>
      <c r="F97" s="55">
        <f xml:space="preserve"> F$41</f>
        <v>0</v>
      </c>
      <c r="G97" s="55" t="str">
        <f xml:space="preserve"> G$41</f>
        <v>flag</v>
      </c>
      <c r="H97" s="55">
        <f xml:space="preserve"> H$41</f>
        <v>1</v>
      </c>
      <c r="I97" s="55">
        <f xml:space="preserve"> I$41</f>
        <v>0</v>
      </c>
      <c r="J97" s="55">
        <f t="shared" ref="J97:S97" si="40" xml:space="preserve"> J$41</f>
        <v>0</v>
      </c>
      <c r="K97" s="55">
        <f t="shared" si="40"/>
        <v>0</v>
      </c>
      <c r="L97" s="55">
        <f t="shared" si="40"/>
        <v>0</v>
      </c>
      <c r="M97" s="55">
        <f t="shared" si="40"/>
        <v>0</v>
      </c>
      <c r="N97" s="55">
        <f t="shared" si="40"/>
        <v>0</v>
      </c>
      <c r="O97" s="55">
        <f t="shared" si="40"/>
        <v>0</v>
      </c>
      <c r="P97" s="55">
        <f t="shared" si="40"/>
        <v>1</v>
      </c>
      <c r="Q97" s="55">
        <f t="shared" si="40"/>
        <v>0</v>
      </c>
      <c r="R97" s="55">
        <f t="shared" si="40"/>
        <v>0</v>
      </c>
      <c r="S97" s="55">
        <f t="shared" si="40"/>
        <v>0</v>
      </c>
      <c r="T97" s="55">
        <f xml:space="preserve"> T$41</f>
        <v>0</v>
      </c>
      <c r="U97" s="55">
        <f xml:space="preserve"> U$41</f>
        <v>0</v>
      </c>
      <c r="V97" s="55">
        <f xml:space="preserve"> V$41</f>
        <v>0</v>
      </c>
      <c r="W97" s="55">
        <f xml:space="preserve"> W$41</f>
        <v>0</v>
      </c>
    </row>
    <row r="98" spans="1:23" outlineLevel="1">
      <c r="E98" s="55" t="str">
        <f t="shared" ref="E98:S98" si="41" xml:space="preserve"> E$76</f>
        <v>First post-forecast period flag</v>
      </c>
      <c r="F98" s="55">
        <f t="shared" si="41"/>
        <v>0</v>
      </c>
      <c r="G98" s="55" t="str">
        <f t="shared" si="41"/>
        <v>flag</v>
      </c>
      <c r="H98" s="55">
        <f t="shared" si="41"/>
        <v>1</v>
      </c>
      <c r="I98" s="55">
        <f t="shared" si="41"/>
        <v>0</v>
      </c>
      <c r="J98" s="55">
        <f t="shared" si="41"/>
        <v>0</v>
      </c>
      <c r="K98" s="55">
        <f t="shared" si="41"/>
        <v>0</v>
      </c>
      <c r="L98" s="55">
        <f t="shared" si="41"/>
        <v>0</v>
      </c>
      <c r="M98" s="55">
        <f t="shared" si="41"/>
        <v>0</v>
      </c>
      <c r="N98" s="55">
        <f t="shared" si="41"/>
        <v>0</v>
      </c>
      <c r="O98" s="55">
        <f t="shared" si="41"/>
        <v>0</v>
      </c>
      <c r="P98" s="55">
        <f t="shared" si="41"/>
        <v>0</v>
      </c>
      <c r="Q98" s="55">
        <f t="shared" si="41"/>
        <v>0</v>
      </c>
      <c r="R98" s="55">
        <f t="shared" si="41"/>
        <v>0</v>
      </c>
      <c r="S98" s="55">
        <f t="shared" si="41"/>
        <v>0</v>
      </c>
      <c r="T98" s="55">
        <f xml:space="preserve"> T$76</f>
        <v>0</v>
      </c>
      <c r="U98" s="55">
        <f xml:space="preserve"> U$76</f>
        <v>1</v>
      </c>
      <c r="V98" s="55">
        <f xml:space="preserve"> V$76</f>
        <v>0</v>
      </c>
      <c r="W98" s="55">
        <f xml:space="preserve"> W$76</f>
        <v>0</v>
      </c>
    </row>
    <row r="99" spans="1:23" outlineLevel="1">
      <c r="E99" s="22" t="s">
        <v>251</v>
      </c>
      <c r="F99" s="22"/>
      <c r="G99" s="22" t="s">
        <v>223</v>
      </c>
      <c r="H99" s="22"/>
      <c r="I99" s="10"/>
      <c r="J99" s="20">
        <f t="shared" ref="J99:R99" si="42" xml:space="preserve"> I99 + SUM(J96:J98)</f>
        <v>1</v>
      </c>
      <c r="K99" s="20">
        <f t="shared" si="42"/>
        <v>1</v>
      </c>
      <c r="L99" s="20">
        <f t="shared" si="42"/>
        <v>1</v>
      </c>
      <c r="M99" s="20">
        <f t="shared" si="42"/>
        <v>1</v>
      </c>
      <c r="N99" s="20">
        <f t="shared" si="42"/>
        <v>1</v>
      </c>
      <c r="O99" s="20">
        <f t="shared" si="42"/>
        <v>1</v>
      </c>
      <c r="P99" s="20">
        <f t="shared" si="42"/>
        <v>2</v>
      </c>
      <c r="Q99" s="20">
        <f t="shared" si="42"/>
        <v>2</v>
      </c>
      <c r="R99" s="20">
        <f t="shared" si="42"/>
        <v>2</v>
      </c>
      <c r="S99" s="20">
        <f xml:space="preserve"> R99 + SUM(S96:S98)</f>
        <v>2</v>
      </c>
      <c r="T99" s="20">
        <f xml:space="preserve"> S99 + SUM(T96:T98)</f>
        <v>2</v>
      </c>
      <c r="U99" s="20">
        <f xml:space="preserve"> T99 + SUM(U96:U98)</f>
        <v>3</v>
      </c>
      <c r="V99" s="20">
        <f xml:space="preserve"> U99 + SUM(V96:V98)</f>
        <v>3</v>
      </c>
      <c r="W99" s="20">
        <f xml:space="preserve"> V99 + SUM(W96:W98)</f>
        <v>3</v>
      </c>
    </row>
    <row r="100" spans="1:23" outlineLevel="1">
      <c r="E100" s="20"/>
      <c r="F100" s="20"/>
      <c r="G100" s="20"/>
      <c r="H100" s="20"/>
      <c r="I100" s="9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spans="1:23" outlineLevel="1">
      <c r="E101" s="111" t="str">
        <f xml:space="preserve"> Inputs!E$19</f>
        <v>Pre - forecast period</v>
      </c>
      <c r="F101" s="111" t="str">
        <f xml:space="preserve"> Inputs!F$19</f>
        <v>Pre-Fcst</v>
      </c>
      <c r="G101" s="111" t="str">
        <f xml:space="preserve"> Inputs!G$19</f>
        <v>label</v>
      </c>
      <c r="H101" s="111">
        <f xml:space="preserve"> Inputs!H$19</f>
        <v>0</v>
      </c>
      <c r="I101" s="111">
        <f xml:space="preserve"> Inputs!I$19</f>
        <v>0</v>
      </c>
      <c r="J101" s="111">
        <f xml:space="preserve"> Inputs!J$19</f>
        <v>0</v>
      </c>
      <c r="K101" s="111">
        <f xml:space="preserve"> Inputs!K$19</f>
        <v>0</v>
      </c>
      <c r="L101" s="111">
        <f xml:space="preserve"> Inputs!L$19</f>
        <v>0</v>
      </c>
      <c r="M101" s="111">
        <f xml:space="preserve"> Inputs!M$19</f>
        <v>0</v>
      </c>
      <c r="N101" s="111">
        <f xml:space="preserve"> Inputs!N$19</f>
        <v>0</v>
      </c>
      <c r="O101" s="111">
        <f xml:space="preserve"> Inputs!O$19</f>
        <v>0</v>
      </c>
      <c r="P101" s="111">
        <f xml:space="preserve"> Inputs!P$19</f>
        <v>0</v>
      </c>
      <c r="Q101" s="111">
        <f xml:space="preserve"> Inputs!Q$19</f>
        <v>0</v>
      </c>
      <c r="R101" s="111">
        <f xml:space="preserve"> Inputs!R$19</f>
        <v>0</v>
      </c>
      <c r="S101" s="111">
        <f xml:space="preserve"> Inputs!S$19</f>
        <v>0</v>
      </c>
      <c r="T101" s="111">
        <f xml:space="preserve"> Inputs!T$19</f>
        <v>0</v>
      </c>
      <c r="U101" s="111">
        <f xml:space="preserve"> Inputs!U$19</f>
        <v>0</v>
      </c>
      <c r="V101" s="111">
        <f xml:space="preserve"> Inputs!V$19</f>
        <v>0</v>
      </c>
      <c r="W101" s="111">
        <f xml:space="preserve"> Inputs!W$19</f>
        <v>0</v>
      </c>
    </row>
    <row r="102" spans="1:23" outlineLevel="1">
      <c r="E102" s="111" t="str">
        <f xml:space="preserve"> Inputs!E$20</f>
        <v>Forecast period</v>
      </c>
      <c r="F102" s="111" t="str">
        <f xml:space="preserve"> Inputs!F$20</f>
        <v>Forecast</v>
      </c>
      <c r="G102" s="111" t="str">
        <f xml:space="preserve"> Inputs!G$20</f>
        <v>label</v>
      </c>
      <c r="H102" s="111">
        <f xml:space="preserve"> Inputs!H$20</f>
        <v>0</v>
      </c>
      <c r="I102" s="111">
        <f xml:space="preserve"> Inputs!I$20</f>
        <v>0</v>
      </c>
      <c r="J102" s="111">
        <f xml:space="preserve"> Inputs!J$20</f>
        <v>0</v>
      </c>
      <c r="K102" s="111">
        <f xml:space="preserve"> Inputs!K$20</f>
        <v>0</v>
      </c>
      <c r="L102" s="111">
        <f xml:space="preserve"> Inputs!L$20</f>
        <v>0</v>
      </c>
      <c r="M102" s="111">
        <f xml:space="preserve"> Inputs!M$20</f>
        <v>0</v>
      </c>
      <c r="N102" s="111">
        <f xml:space="preserve"> Inputs!N$20</f>
        <v>0</v>
      </c>
      <c r="O102" s="111">
        <f xml:space="preserve"> Inputs!O$20</f>
        <v>0</v>
      </c>
      <c r="P102" s="111">
        <f xml:space="preserve"> Inputs!P$20</f>
        <v>0</v>
      </c>
      <c r="Q102" s="111">
        <f xml:space="preserve"> Inputs!Q$20</f>
        <v>0</v>
      </c>
      <c r="R102" s="111">
        <f xml:space="preserve"> Inputs!R$20</f>
        <v>0</v>
      </c>
      <c r="S102" s="111">
        <f xml:space="preserve"> Inputs!S$20</f>
        <v>0</v>
      </c>
      <c r="T102" s="111">
        <f xml:space="preserve"> Inputs!T$20</f>
        <v>0</v>
      </c>
      <c r="U102" s="111">
        <f xml:space="preserve"> Inputs!U$20</f>
        <v>0</v>
      </c>
      <c r="V102" s="111">
        <f xml:space="preserve"> Inputs!V$20</f>
        <v>0</v>
      </c>
      <c r="W102" s="111">
        <f xml:space="preserve"> Inputs!W$20</f>
        <v>0</v>
      </c>
    </row>
    <row r="103" spans="1:23" outlineLevel="1">
      <c r="E103" s="111" t="str">
        <f xml:space="preserve"> Inputs!E$21</f>
        <v>Post - forecast period</v>
      </c>
      <c r="F103" s="111" t="str">
        <f xml:space="preserve"> Inputs!F$21</f>
        <v>Post-Fcst</v>
      </c>
      <c r="G103" s="111" t="str">
        <f xml:space="preserve"> Inputs!G$21</f>
        <v>label</v>
      </c>
      <c r="H103" s="111">
        <f xml:space="preserve"> Inputs!H$21</f>
        <v>0</v>
      </c>
      <c r="I103" s="111">
        <f xml:space="preserve"> Inputs!I$21</f>
        <v>0</v>
      </c>
      <c r="J103" s="111">
        <f xml:space="preserve"> Inputs!J$21</f>
        <v>0</v>
      </c>
      <c r="K103" s="111">
        <f xml:space="preserve"> Inputs!K$21</f>
        <v>0</v>
      </c>
      <c r="L103" s="111">
        <f xml:space="preserve"> Inputs!L$21</f>
        <v>0</v>
      </c>
      <c r="M103" s="111">
        <f xml:space="preserve"> Inputs!M$21</f>
        <v>0</v>
      </c>
      <c r="N103" s="111">
        <f xml:space="preserve"> Inputs!N$21</f>
        <v>0</v>
      </c>
      <c r="O103" s="111">
        <f xml:space="preserve"> Inputs!O$21</f>
        <v>0</v>
      </c>
      <c r="P103" s="111">
        <f xml:space="preserve"> Inputs!P$21</f>
        <v>0</v>
      </c>
      <c r="Q103" s="111">
        <f xml:space="preserve"> Inputs!Q$21</f>
        <v>0</v>
      </c>
      <c r="R103" s="111">
        <f xml:space="preserve"> Inputs!R$21</f>
        <v>0</v>
      </c>
      <c r="S103" s="111">
        <f xml:space="preserve"> Inputs!S$21</f>
        <v>0</v>
      </c>
      <c r="T103" s="111">
        <f xml:space="preserve"> Inputs!T$21</f>
        <v>0</v>
      </c>
      <c r="U103" s="111">
        <f xml:space="preserve"> Inputs!U$21</f>
        <v>0</v>
      </c>
      <c r="V103" s="111">
        <f xml:space="preserve"> Inputs!V$21</f>
        <v>0</v>
      </c>
      <c r="W103" s="111">
        <f xml:space="preserve"> Inputs!W$21</f>
        <v>0</v>
      </c>
    </row>
    <row r="104" spans="1:23" outlineLevel="1">
      <c r="E104" s="22" t="str">
        <f t="shared" ref="E104:S104" si="43" xml:space="preserve"> E$99</f>
        <v>Timeline label counter</v>
      </c>
      <c r="F104" s="22">
        <f t="shared" si="43"/>
        <v>0</v>
      </c>
      <c r="G104" s="22" t="str">
        <f t="shared" si="43"/>
        <v>counter</v>
      </c>
      <c r="H104" s="20">
        <f t="shared" si="43"/>
        <v>0</v>
      </c>
      <c r="I104" s="20">
        <f t="shared" si="43"/>
        <v>0</v>
      </c>
      <c r="J104" s="20">
        <f t="shared" si="43"/>
        <v>1</v>
      </c>
      <c r="K104" s="20">
        <f t="shared" si="43"/>
        <v>1</v>
      </c>
      <c r="L104" s="20">
        <f t="shared" si="43"/>
        <v>1</v>
      </c>
      <c r="M104" s="20">
        <f t="shared" si="43"/>
        <v>1</v>
      </c>
      <c r="N104" s="20">
        <f t="shared" si="43"/>
        <v>1</v>
      </c>
      <c r="O104" s="20">
        <f t="shared" si="43"/>
        <v>1</v>
      </c>
      <c r="P104" s="20">
        <f t="shared" si="43"/>
        <v>2</v>
      </c>
      <c r="Q104" s="20">
        <f t="shared" si="43"/>
        <v>2</v>
      </c>
      <c r="R104" s="20">
        <f t="shared" si="43"/>
        <v>2</v>
      </c>
      <c r="S104" s="20">
        <f t="shared" si="43"/>
        <v>2</v>
      </c>
      <c r="T104" s="20">
        <f xml:space="preserve"> T$99</f>
        <v>2</v>
      </c>
      <c r="U104" s="20">
        <f xml:space="preserve"> U$99</f>
        <v>3</v>
      </c>
      <c r="V104" s="20">
        <f xml:space="preserve"> V$99</f>
        <v>3</v>
      </c>
      <c r="W104" s="20">
        <f xml:space="preserve"> W$99</f>
        <v>3</v>
      </c>
    </row>
    <row r="105" spans="1:23" outlineLevel="1">
      <c r="E105" s="95" t="s">
        <v>250</v>
      </c>
      <c r="F105" s="95"/>
      <c r="G105" s="95" t="s">
        <v>135</v>
      </c>
      <c r="H105" s="95"/>
      <c r="I105" s="53"/>
      <c r="J105" s="177" t="str">
        <f t="shared" ref="J105:R105" si="44" xml:space="preserve"> INDEX($F101:$F103, J104)</f>
        <v>Pre-Fcst</v>
      </c>
      <c r="K105" s="177" t="str">
        <f t="shared" si="44"/>
        <v>Pre-Fcst</v>
      </c>
      <c r="L105" s="177" t="str">
        <f t="shared" si="44"/>
        <v>Pre-Fcst</v>
      </c>
      <c r="M105" s="177" t="str">
        <f t="shared" si="44"/>
        <v>Pre-Fcst</v>
      </c>
      <c r="N105" s="177" t="str">
        <f t="shared" si="44"/>
        <v>Pre-Fcst</v>
      </c>
      <c r="O105" s="177" t="str">
        <f t="shared" si="44"/>
        <v>Pre-Fcst</v>
      </c>
      <c r="P105" s="177" t="str">
        <f t="shared" si="44"/>
        <v>Forecast</v>
      </c>
      <c r="Q105" s="177" t="str">
        <f t="shared" si="44"/>
        <v>Forecast</v>
      </c>
      <c r="R105" s="177" t="str">
        <f t="shared" si="44"/>
        <v>Forecast</v>
      </c>
      <c r="S105" s="177" t="str">
        <f xml:space="preserve"> INDEX($F101:$F103, S104)</f>
        <v>Forecast</v>
      </c>
      <c r="T105" s="177" t="str">
        <f xml:space="preserve"> INDEX($F101:$F103, T104)</f>
        <v>Forecast</v>
      </c>
      <c r="U105" s="177" t="str">
        <f xml:space="preserve"> INDEX($F101:$F103, U104)</f>
        <v>Post-Fcst</v>
      </c>
      <c r="V105" s="177" t="str">
        <f xml:space="preserve"> INDEX($F101:$F103, V104)</f>
        <v>Post-Fcst</v>
      </c>
      <c r="W105" s="177" t="str">
        <f xml:space="preserve"> INDEX($F101:$F103, W104)</f>
        <v>Post-Fcst</v>
      </c>
    </row>
    <row r="106" spans="1:23" outlineLevel="1">
      <c r="A106" s="56"/>
      <c r="E106" s="13"/>
      <c r="F106" s="13"/>
      <c r="G106" s="13"/>
      <c r="H106" s="13"/>
      <c r="I106" s="172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outlineLevel="1">
      <c r="B107" s="88" t="s">
        <v>252</v>
      </c>
      <c r="E107" s="55"/>
      <c r="F107" s="55"/>
      <c r="G107" s="55"/>
      <c r="H107" s="55"/>
      <c r="I107" s="99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</row>
    <row r="108" spans="1:23" outlineLevel="1">
      <c r="E108" s="55" t="str">
        <f xml:space="preserve"> E$68</f>
        <v>Pre-forecast period flag</v>
      </c>
      <c r="F108" s="55">
        <f xml:space="preserve"> F$68</f>
        <v>0</v>
      </c>
      <c r="G108" s="55" t="str">
        <f xml:space="preserve"> G$68</f>
        <v>flag</v>
      </c>
      <c r="H108" s="55">
        <f xml:space="preserve"> H$68</f>
        <v>6</v>
      </c>
      <c r="I108" s="55">
        <f xml:space="preserve"> I$68</f>
        <v>0</v>
      </c>
      <c r="J108" s="55">
        <f t="shared" ref="J108:S108" si="45" xml:space="preserve"> J$68</f>
        <v>1</v>
      </c>
      <c r="K108" s="55">
        <f t="shared" si="45"/>
        <v>1</v>
      </c>
      <c r="L108" s="55">
        <f t="shared" si="45"/>
        <v>1</v>
      </c>
      <c r="M108" s="55">
        <f t="shared" si="45"/>
        <v>1</v>
      </c>
      <c r="N108" s="55">
        <f t="shared" si="45"/>
        <v>1</v>
      </c>
      <c r="O108" s="55">
        <f t="shared" si="45"/>
        <v>1</v>
      </c>
      <c r="P108" s="55">
        <f t="shared" si="45"/>
        <v>0</v>
      </c>
      <c r="Q108" s="55">
        <f t="shared" si="45"/>
        <v>0</v>
      </c>
      <c r="R108" s="55">
        <f t="shared" si="45"/>
        <v>0</v>
      </c>
      <c r="S108" s="55">
        <f t="shared" si="45"/>
        <v>0</v>
      </c>
      <c r="T108" s="55">
        <f xml:space="preserve"> T$68</f>
        <v>0</v>
      </c>
      <c r="U108" s="55">
        <f xml:space="preserve"> U$68</f>
        <v>0</v>
      </c>
      <c r="V108" s="55">
        <f xml:space="preserve"> V$68</f>
        <v>0</v>
      </c>
      <c r="W108" s="55">
        <f xml:space="preserve"> W$68</f>
        <v>0</v>
      </c>
    </row>
    <row r="109" spans="1:23" outlineLevel="1">
      <c r="E109" s="55" t="str">
        <f xml:space="preserve"> E$56</f>
        <v>Forecast period flag</v>
      </c>
      <c r="F109" s="55">
        <f xml:space="preserve"> F$56</f>
        <v>0</v>
      </c>
      <c r="G109" s="55" t="str">
        <f xml:space="preserve"> G$56</f>
        <v>flag</v>
      </c>
      <c r="H109" s="55">
        <f xml:space="preserve"> H$56</f>
        <v>5</v>
      </c>
      <c r="I109" s="55">
        <f xml:space="preserve"> I$56</f>
        <v>0</v>
      </c>
      <c r="J109" s="55">
        <f t="shared" ref="J109:S109" si="46" xml:space="preserve"> J$56</f>
        <v>0</v>
      </c>
      <c r="K109" s="55">
        <f t="shared" si="46"/>
        <v>0</v>
      </c>
      <c r="L109" s="55">
        <f t="shared" si="46"/>
        <v>0</v>
      </c>
      <c r="M109" s="55">
        <f t="shared" si="46"/>
        <v>0</v>
      </c>
      <c r="N109" s="55">
        <f t="shared" si="46"/>
        <v>0</v>
      </c>
      <c r="O109" s="55">
        <f t="shared" si="46"/>
        <v>0</v>
      </c>
      <c r="P109" s="55">
        <f t="shared" si="46"/>
        <v>1</v>
      </c>
      <c r="Q109" s="55">
        <f t="shared" si="46"/>
        <v>1</v>
      </c>
      <c r="R109" s="55">
        <f t="shared" si="46"/>
        <v>1</v>
      </c>
      <c r="S109" s="55">
        <f t="shared" si="46"/>
        <v>1</v>
      </c>
      <c r="T109" s="55">
        <f xml:space="preserve"> T$56</f>
        <v>1</v>
      </c>
      <c r="U109" s="55">
        <f xml:space="preserve"> U$56</f>
        <v>0</v>
      </c>
      <c r="V109" s="55">
        <f xml:space="preserve"> V$56</f>
        <v>0</v>
      </c>
      <c r="W109" s="55">
        <f xml:space="preserve"> W$56</f>
        <v>0</v>
      </c>
    </row>
    <row r="110" spans="1:23" outlineLevel="1">
      <c r="E110" s="55" t="str">
        <f t="shared" ref="E110:S110" si="47" xml:space="preserve"> E$80</f>
        <v>Post-forecast period flag</v>
      </c>
      <c r="F110" s="55">
        <f t="shared" si="47"/>
        <v>0</v>
      </c>
      <c r="G110" s="55" t="str">
        <f t="shared" si="47"/>
        <v>flag</v>
      </c>
      <c r="H110" s="55">
        <f t="shared" si="47"/>
        <v>3</v>
      </c>
      <c r="I110" s="55">
        <f t="shared" si="47"/>
        <v>0</v>
      </c>
      <c r="J110" s="55">
        <f t="shared" si="47"/>
        <v>0</v>
      </c>
      <c r="K110" s="55">
        <f t="shared" si="47"/>
        <v>0</v>
      </c>
      <c r="L110" s="55">
        <f t="shared" si="47"/>
        <v>0</v>
      </c>
      <c r="M110" s="55">
        <f t="shared" si="47"/>
        <v>0</v>
      </c>
      <c r="N110" s="55">
        <f t="shared" si="47"/>
        <v>0</v>
      </c>
      <c r="O110" s="55">
        <f t="shared" si="47"/>
        <v>0</v>
      </c>
      <c r="P110" s="55">
        <f t="shared" si="47"/>
        <v>0</v>
      </c>
      <c r="Q110" s="55">
        <f t="shared" si="47"/>
        <v>0</v>
      </c>
      <c r="R110" s="55">
        <f t="shared" si="47"/>
        <v>0</v>
      </c>
      <c r="S110" s="55">
        <f t="shared" si="47"/>
        <v>0</v>
      </c>
      <c r="T110" s="55">
        <f xml:space="preserve"> T$80</f>
        <v>0</v>
      </c>
      <c r="U110" s="55">
        <f xml:space="preserve"> U$80</f>
        <v>1</v>
      </c>
      <c r="V110" s="55">
        <f xml:space="preserve"> V$80</f>
        <v>1</v>
      </c>
      <c r="W110" s="55">
        <f xml:space="preserve"> W$80</f>
        <v>1</v>
      </c>
    </row>
    <row r="111" spans="1:23" outlineLevel="1">
      <c r="E111" s="55" t="s">
        <v>253</v>
      </c>
      <c r="F111" s="55"/>
      <c r="G111" s="55" t="s">
        <v>85</v>
      </c>
      <c r="H111" s="55">
        <f xml:space="preserve"> SUM(J111:W111)</f>
        <v>0</v>
      </c>
      <c r="I111" s="99"/>
      <c r="J111" s="55">
        <f t="shared" ref="J111:R111" si="48" xml:space="preserve"> MAX(0, SUM(J108:J110) - 1)</f>
        <v>0</v>
      </c>
      <c r="K111" s="55">
        <f t="shared" si="48"/>
        <v>0</v>
      </c>
      <c r="L111" s="55">
        <f t="shared" si="48"/>
        <v>0</v>
      </c>
      <c r="M111" s="55">
        <f t="shared" si="48"/>
        <v>0</v>
      </c>
      <c r="N111" s="55">
        <f t="shared" si="48"/>
        <v>0</v>
      </c>
      <c r="O111" s="55">
        <f t="shared" si="48"/>
        <v>0</v>
      </c>
      <c r="P111" s="55">
        <f t="shared" si="48"/>
        <v>0</v>
      </c>
      <c r="Q111" s="55">
        <f t="shared" si="48"/>
        <v>0</v>
      </c>
      <c r="R111" s="55">
        <f t="shared" si="48"/>
        <v>0</v>
      </c>
      <c r="S111" s="55">
        <f xml:space="preserve"> MAX(0, SUM(S108:S110) - 1)</f>
        <v>0</v>
      </c>
      <c r="T111" s="55">
        <f xml:space="preserve"> MAX(0, SUM(T108:T110) - 1)</f>
        <v>0</v>
      </c>
      <c r="U111" s="55">
        <f xml:space="preserve"> MAX(0, SUM(U108:U110) - 1)</f>
        <v>0</v>
      </c>
      <c r="V111" s="55">
        <f xml:space="preserve"> MAX(0, SUM(V108:V110) - 1)</f>
        <v>0</v>
      </c>
      <c r="W111" s="55">
        <f xml:space="preserve"> MAX(0, SUM(W108:W110) - 1)</f>
        <v>0</v>
      </c>
    </row>
    <row r="112" spans="1:23" outlineLevel="1">
      <c r="E112" s="55" t="s">
        <v>254</v>
      </c>
      <c r="F112" s="55">
        <f xml:space="preserve"> SUM(J111:W111)</f>
        <v>0</v>
      </c>
      <c r="G112" s="55" t="s">
        <v>238</v>
      </c>
      <c r="H112" s="55"/>
      <c r="I112" s="99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</row>
    <row r="113" spans="1:23" outlineLevel="1">
      <c r="E113" s="55"/>
      <c r="F113" s="55"/>
      <c r="G113" s="55"/>
      <c r="H113" s="55"/>
      <c r="I113" s="99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</row>
    <row r="114" spans="1:23" outlineLevel="1">
      <c r="E114" s="55" t="str">
        <f xml:space="preserve"> E$11</f>
        <v>Model column total</v>
      </c>
      <c r="F114" s="55">
        <f xml:space="preserve"> F$11</f>
        <v>14</v>
      </c>
      <c r="G114" s="55" t="str">
        <f xml:space="preserve"> G$11</f>
        <v>columns</v>
      </c>
      <c r="H114" s="55">
        <f t="shared" ref="H114:W114" si="49" xml:space="preserve"> H$11</f>
        <v>0</v>
      </c>
      <c r="I114" s="55">
        <f t="shared" si="49"/>
        <v>0</v>
      </c>
      <c r="J114" s="55">
        <f t="shared" si="49"/>
        <v>0</v>
      </c>
      <c r="K114" s="55">
        <f t="shared" si="49"/>
        <v>0</v>
      </c>
      <c r="L114" s="55">
        <f t="shared" si="49"/>
        <v>0</v>
      </c>
      <c r="M114" s="55">
        <f t="shared" si="49"/>
        <v>0</v>
      </c>
      <c r="N114" s="55">
        <f t="shared" si="49"/>
        <v>0</v>
      </c>
      <c r="O114" s="55">
        <f t="shared" si="49"/>
        <v>0</v>
      </c>
      <c r="P114" s="55">
        <f t="shared" si="49"/>
        <v>0</v>
      </c>
      <c r="Q114" s="55">
        <f t="shared" si="49"/>
        <v>0</v>
      </c>
      <c r="R114" s="55">
        <f t="shared" si="49"/>
        <v>0</v>
      </c>
      <c r="S114" s="55">
        <f t="shared" si="49"/>
        <v>0</v>
      </c>
      <c r="T114" s="55">
        <f t="shared" si="49"/>
        <v>0</v>
      </c>
      <c r="U114" s="55">
        <f t="shared" si="49"/>
        <v>0</v>
      </c>
      <c r="V114" s="55">
        <f t="shared" si="49"/>
        <v>0</v>
      </c>
      <c r="W114" s="55">
        <f t="shared" si="49"/>
        <v>0</v>
      </c>
    </row>
    <row r="115" spans="1:23" outlineLevel="1">
      <c r="E115" s="55" t="str">
        <f xml:space="preserve"> E$112</f>
        <v>Overlapping in periods - total</v>
      </c>
      <c r="F115" s="55">
        <f xml:space="preserve"> F$112</f>
        <v>0</v>
      </c>
      <c r="G115" s="55" t="str">
        <f xml:space="preserve"> G$112</f>
        <v>periods</v>
      </c>
      <c r="H115" s="55">
        <f t="shared" ref="H115:W115" si="50" xml:space="preserve"> H$112</f>
        <v>0</v>
      </c>
      <c r="I115" s="55">
        <f t="shared" si="50"/>
        <v>0</v>
      </c>
      <c r="J115" s="55">
        <f t="shared" si="50"/>
        <v>0</v>
      </c>
      <c r="K115" s="55">
        <f t="shared" si="50"/>
        <v>0</v>
      </c>
      <c r="L115" s="55">
        <f t="shared" si="50"/>
        <v>0</v>
      </c>
      <c r="M115" s="55">
        <f t="shared" si="50"/>
        <v>0</v>
      </c>
      <c r="N115" s="55">
        <f t="shared" si="50"/>
        <v>0</v>
      </c>
      <c r="O115" s="55">
        <f t="shared" si="50"/>
        <v>0</v>
      </c>
      <c r="P115" s="55">
        <f t="shared" si="50"/>
        <v>0</v>
      </c>
      <c r="Q115" s="55">
        <f t="shared" si="50"/>
        <v>0</v>
      </c>
      <c r="R115" s="55">
        <f t="shared" si="50"/>
        <v>0</v>
      </c>
      <c r="S115" s="55">
        <f t="shared" si="50"/>
        <v>0</v>
      </c>
      <c r="T115" s="55">
        <f t="shared" si="50"/>
        <v>0</v>
      </c>
      <c r="U115" s="55">
        <f t="shared" si="50"/>
        <v>0</v>
      </c>
      <c r="V115" s="55">
        <f t="shared" si="50"/>
        <v>0</v>
      </c>
      <c r="W115" s="55">
        <f t="shared" si="50"/>
        <v>0</v>
      </c>
    </row>
    <row r="116" spans="1:23" outlineLevel="1">
      <c r="E116" s="55" t="str">
        <f xml:space="preserve"> E$69</f>
        <v>Pre-forecast period flag - total</v>
      </c>
      <c r="F116" s="55">
        <f xml:space="preserve"> F$69</f>
        <v>6</v>
      </c>
      <c r="G116" s="55" t="str">
        <f xml:space="preserve"> G$69</f>
        <v>periods</v>
      </c>
      <c r="H116" s="55">
        <f t="shared" ref="H116:W116" si="51" xml:space="preserve"> H$69</f>
        <v>0</v>
      </c>
      <c r="I116" s="55">
        <f t="shared" si="51"/>
        <v>0</v>
      </c>
      <c r="J116" s="55">
        <f t="shared" si="51"/>
        <v>0</v>
      </c>
      <c r="K116" s="55">
        <f t="shared" si="51"/>
        <v>0</v>
      </c>
      <c r="L116" s="55">
        <f t="shared" si="51"/>
        <v>0</v>
      </c>
      <c r="M116" s="55">
        <f t="shared" si="51"/>
        <v>0</v>
      </c>
      <c r="N116" s="55">
        <f t="shared" si="51"/>
        <v>0</v>
      </c>
      <c r="O116" s="55">
        <f t="shared" si="51"/>
        <v>0</v>
      </c>
      <c r="P116" s="55">
        <f t="shared" si="51"/>
        <v>0</v>
      </c>
      <c r="Q116" s="55">
        <f t="shared" si="51"/>
        <v>0</v>
      </c>
      <c r="R116" s="55">
        <f t="shared" si="51"/>
        <v>0</v>
      </c>
      <c r="S116" s="55">
        <f t="shared" si="51"/>
        <v>0</v>
      </c>
      <c r="T116" s="55">
        <f t="shared" si="51"/>
        <v>0</v>
      </c>
      <c r="U116" s="55">
        <f t="shared" si="51"/>
        <v>0</v>
      </c>
      <c r="V116" s="55">
        <f t="shared" si="51"/>
        <v>0</v>
      </c>
      <c r="W116" s="55">
        <f t="shared" si="51"/>
        <v>0</v>
      </c>
    </row>
    <row r="117" spans="1:23" outlineLevel="1">
      <c r="E117" s="55" t="str">
        <f xml:space="preserve"> E$57</f>
        <v xml:space="preserve">Total number of forecast periods </v>
      </c>
      <c r="F117" s="55">
        <f xml:space="preserve"> F$57</f>
        <v>5</v>
      </c>
      <c r="G117" s="55" t="str">
        <f xml:space="preserve"> G$57</f>
        <v>periods</v>
      </c>
      <c r="H117" s="55">
        <f t="shared" ref="H117:W117" si="52" xml:space="preserve"> H$57</f>
        <v>0</v>
      </c>
      <c r="I117" s="55">
        <f t="shared" si="52"/>
        <v>0</v>
      </c>
      <c r="J117" s="55">
        <f t="shared" si="52"/>
        <v>0</v>
      </c>
      <c r="K117" s="55">
        <f t="shared" si="52"/>
        <v>0</v>
      </c>
      <c r="L117" s="55">
        <f t="shared" si="52"/>
        <v>0</v>
      </c>
      <c r="M117" s="55">
        <f t="shared" si="52"/>
        <v>0</v>
      </c>
      <c r="N117" s="55">
        <f t="shared" si="52"/>
        <v>0</v>
      </c>
      <c r="O117" s="55">
        <f t="shared" si="52"/>
        <v>0</v>
      </c>
      <c r="P117" s="55">
        <f t="shared" si="52"/>
        <v>0</v>
      </c>
      <c r="Q117" s="55">
        <f t="shared" si="52"/>
        <v>0</v>
      </c>
      <c r="R117" s="55">
        <f t="shared" si="52"/>
        <v>0</v>
      </c>
      <c r="S117" s="55">
        <f t="shared" si="52"/>
        <v>0</v>
      </c>
      <c r="T117" s="55">
        <f t="shared" si="52"/>
        <v>0</v>
      </c>
      <c r="U117" s="55">
        <f t="shared" si="52"/>
        <v>0</v>
      </c>
      <c r="V117" s="55">
        <f t="shared" si="52"/>
        <v>0</v>
      </c>
      <c r="W117" s="55">
        <f t="shared" si="52"/>
        <v>0</v>
      </c>
    </row>
    <row r="118" spans="1:23" outlineLevel="1">
      <c r="E118" s="55" t="str">
        <f xml:space="preserve"> E$81</f>
        <v>Post-forecast period - total</v>
      </c>
      <c r="F118" s="55">
        <f xml:space="preserve"> F$81</f>
        <v>3</v>
      </c>
      <c r="G118" s="55" t="str">
        <f xml:space="preserve"> G$81</f>
        <v>periods</v>
      </c>
      <c r="H118" s="55">
        <f t="shared" ref="H118:W118" si="53" xml:space="preserve"> H$81</f>
        <v>0</v>
      </c>
      <c r="I118" s="55">
        <f t="shared" si="53"/>
        <v>0</v>
      </c>
      <c r="J118" s="55">
        <f t="shared" si="53"/>
        <v>0</v>
      </c>
      <c r="K118" s="55">
        <f t="shared" si="53"/>
        <v>0</v>
      </c>
      <c r="L118" s="55">
        <f t="shared" si="53"/>
        <v>0</v>
      </c>
      <c r="M118" s="55">
        <f t="shared" si="53"/>
        <v>0</v>
      </c>
      <c r="N118" s="55">
        <f t="shared" si="53"/>
        <v>0</v>
      </c>
      <c r="O118" s="55">
        <f t="shared" si="53"/>
        <v>0</v>
      </c>
      <c r="P118" s="55">
        <f t="shared" si="53"/>
        <v>0</v>
      </c>
      <c r="Q118" s="55">
        <f t="shared" si="53"/>
        <v>0</v>
      </c>
      <c r="R118" s="55">
        <f t="shared" si="53"/>
        <v>0</v>
      </c>
      <c r="S118" s="55">
        <f t="shared" si="53"/>
        <v>0</v>
      </c>
      <c r="T118" s="55">
        <f t="shared" si="53"/>
        <v>0</v>
      </c>
      <c r="U118" s="55">
        <f t="shared" si="53"/>
        <v>0</v>
      </c>
      <c r="V118" s="55">
        <f t="shared" si="53"/>
        <v>0</v>
      </c>
      <c r="W118" s="55">
        <f t="shared" si="53"/>
        <v>0</v>
      </c>
    </row>
    <row r="119" spans="1:23" outlineLevel="1">
      <c r="E119" s="55" t="s">
        <v>252</v>
      </c>
      <c r="F119" s="185">
        <f xml:space="preserve"> IF(SUM(F114:F115) - SUM(F116:F118) &lt;&gt; 0, 1, 0)</f>
        <v>0</v>
      </c>
      <c r="G119" s="55" t="s">
        <v>255</v>
      </c>
      <c r="H119" s="55"/>
      <c r="I119" s="99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</row>
    <row r="120" spans="1:23" outlineLevel="1">
      <c r="E120" s="55"/>
      <c r="F120" s="55"/>
      <c r="G120" s="55"/>
      <c r="H120" s="55"/>
      <c r="I120" s="99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</row>
    <row r="121" spans="1:23" ht="12.75" customHeight="1">
      <c r="A121" s="113" t="s">
        <v>256</v>
      </c>
      <c r="B121" s="113"/>
      <c r="C121" s="112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</row>
    <row r="122" spans="1:23">
      <c r="E122" s="55"/>
      <c r="F122" s="55"/>
      <c r="G122" s="55"/>
      <c r="H122" s="55"/>
      <c r="I122" s="99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</row>
    <row r="123" spans="1:23" outlineLevel="1">
      <c r="E123" s="111" t="str">
        <f xml:space="preserve"> Inputs!E$15</f>
        <v>First modelling column financial year#</v>
      </c>
      <c r="F123" s="38">
        <f xml:space="preserve"> Inputs!F$15</f>
        <v>2015</v>
      </c>
      <c r="G123" s="111" t="str">
        <f xml:space="preserve"> Inputs!G$15</f>
        <v>year #</v>
      </c>
      <c r="H123" s="111" t="str">
        <f xml:space="preserve"> Inputs!H$15</f>
        <v>Financial model start year</v>
      </c>
      <c r="I123" s="111">
        <f xml:space="preserve"> Inputs!I$15</f>
        <v>0</v>
      </c>
      <c r="J123" s="111">
        <f xml:space="preserve"> Inputs!J$15</f>
        <v>0</v>
      </c>
      <c r="K123" s="111">
        <f xml:space="preserve"> Inputs!K$15</f>
        <v>0</v>
      </c>
      <c r="L123" s="111">
        <f xml:space="preserve"> Inputs!L$15</f>
        <v>0</v>
      </c>
      <c r="M123" s="111">
        <f xml:space="preserve"> Inputs!M$15</f>
        <v>0</v>
      </c>
      <c r="N123" s="111">
        <f xml:space="preserve"> Inputs!N$15</f>
        <v>0</v>
      </c>
      <c r="O123" s="111">
        <f xml:space="preserve"> Inputs!O$15</f>
        <v>0</v>
      </c>
      <c r="P123" s="111">
        <f xml:space="preserve"> Inputs!P$15</f>
        <v>0</v>
      </c>
      <c r="Q123" s="111">
        <f xml:space="preserve"> Inputs!Q$15</f>
        <v>0</v>
      </c>
      <c r="R123" s="111">
        <f xml:space="preserve"> Inputs!R$15</f>
        <v>0</v>
      </c>
      <c r="S123" s="111">
        <f xml:space="preserve"> Inputs!S$15</f>
        <v>0</v>
      </c>
      <c r="T123" s="111">
        <f xml:space="preserve"> Inputs!T$15</f>
        <v>0</v>
      </c>
      <c r="U123" s="111">
        <f xml:space="preserve"> Inputs!U$15</f>
        <v>0</v>
      </c>
      <c r="V123" s="111">
        <f xml:space="preserve"> Inputs!V$15</f>
        <v>0</v>
      </c>
      <c r="W123" s="111">
        <f xml:space="preserve"> Inputs!W$15</f>
        <v>0</v>
      </c>
    </row>
    <row r="124" spans="1:23" outlineLevel="1">
      <c r="E124" s="111" t="str">
        <f xml:space="preserve"> Inputs!E$16</f>
        <v>Financial year end month number</v>
      </c>
      <c r="F124" s="111">
        <f xml:space="preserve"> Inputs!F$16</f>
        <v>3</v>
      </c>
      <c r="G124" s="111" t="str">
        <f xml:space="preserve"> Inputs!G$16</f>
        <v>month #</v>
      </c>
      <c r="H124" s="111" t="str">
        <f xml:space="preserve"> Inputs!H$16</f>
        <v>Month of financial year end for financial model</v>
      </c>
      <c r="I124" s="111">
        <f xml:space="preserve"> Inputs!I$16</f>
        <v>0</v>
      </c>
      <c r="J124" s="111">
        <f xml:space="preserve"> Inputs!J$16</f>
        <v>0</v>
      </c>
      <c r="K124" s="111">
        <f xml:space="preserve"> Inputs!K$16</f>
        <v>0</v>
      </c>
      <c r="L124" s="111">
        <f xml:space="preserve"> Inputs!L$16</f>
        <v>0</v>
      </c>
      <c r="M124" s="111">
        <f xml:space="preserve"> Inputs!M$16</f>
        <v>0</v>
      </c>
      <c r="N124" s="111">
        <f xml:space="preserve"> Inputs!N$16</f>
        <v>0</v>
      </c>
      <c r="O124" s="111">
        <f xml:space="preserve"> Inputs!O$16</f>
        <v>0</v>
      </c>
      <c r="P124" s="111">
        <f xml:space="preserve"> Inputs!P$16</f>
        <v>0</v>
      </c>
      <c r="Q124" s="111">
        <f xml:space="preserve"> Inputs!Q$16</f>
        <v>0</v>
      </c>
      <c r="R124" s="111">
        <f xml:space="preserve"> Inputs!R$16</f>
        <v>0</v>
      </c>
      <c r="S124" s="111">
        <f xml:space="preserve"> Inputs!S$16</f>
        <v>0</v>
      </c>
      <c r="T124" s="111">
        <f xml:space="preserve"> Inputs!T$16</f>
        <v>0</v>
      </c>
      <c r="U124" s="111">
        <f xml:space="preserve"> Inputs!U$16</f>
        <v>0</v>
      </c>
      <c r="V124" s="111">
        <f xml:space="preserve"> Inputs!V$16</f>
        <v>0</v>
      </c>
      <c r="W124" s="111">
        <f xml:space="preserve"> Inputs!W$16</f>
        <v>0</v>
      </c>
    </row>
    <row r="125" spans="1:23" outlineLevel="1">
      <c r="E125" s="12" t="str">
        <f t="shared" ref="E125:S125" si="54" xml:space="preserve"> E$25</f>
        <v>Model period ending</v>
      </c>
      <c r="F125" s="12">
        <f t="shared" si="54"/>
        <v>0</v>
      </c>
      <c r="G125" s="12" t="str">
        <f t="shared" si="54"/>
        <v>date</v>
      </c>
      <c r="H125" s="12">
        <f t="shared" si="54"/>
        <v>0</v>
      </c>
      <c r="I125" s="12">
        <f t="shared" si="54"/>
        <v>0</v>
      </c>
      <c r="J125" s="12">
        <f t="shared" si="54"/>
        <v>42094</v>
      </c>
      <c r="K125" s="12">
        <f t="shared" si="54"/>
        <v>42460</v>
      </c>
      <c r="L125" s="12">
        <f t="shared" si="54"/>
        <v>42825</v>
      </c>
      <c r="M125" s="12">
        <f t="shared" si="54"/>
        <v>43190</v>
      </c>
      <c r="N125" s="12">
        <f t="shared" si="54"/>
        <v>43555</v>
      </c>
      <c r="O125" s="12">
        <f t="shared" si="54"/>
        <v>43921</v>
      </c>
      <c r="P125" s="12">
        <f t="shared" si="54"/>
        <v>44286</v>
      </c>
      <c r="Q125" s="12">
        <f t="shared" si="54"/>
        <v>44651</v>
      </c>
      <c r="R125" s="12">
        <f t="shared" si="54"/>
        <v>45016</v>
      </c>
      <c r="S125" s="12">
        <f t="shared" si="54"/>
        <v>45382</v>
      </c>
      <c r="T125" s="12">
        <f xml:space="preserve"> T$25</f>
        <v>45747</v>
      </c>
      <c r="U125" s="12">
        <f xml:space="preserve"> U$25</f>
        <v>46112</v>
      </c>
      <c r="V125" s="12">
        <f xml:space="preserve"> V$25</f>
        <v>46477</v>
      </c>
      <c r="W125" s="12">
        <f xml:space="preserve"> W$25</f>
        <v>46843</v>
      </c>
    </row>
    <row r="126" spans="1:23" outlineLevel="1">
      <c r="E126" s="55" t="str">
        <f t="shared" ref="E126:S126" si="55" xml:space="preserve"> E$14</f>
        <v>1st model column flag</v>
      </c>
      <c r="F126" s="55">
        <f t="shared" si="55"/>
        <v>0</v>
      </c>
      <c r="G126" s="55" t="str">
        <f t="shared" si="55"/>
        <v>flag</v>
      </c>
      <c r="H126" s="55">
        <f t="shared" si="55"/>
        <v>1</v>
      </c>
      <c r="I126" s="55">
        <f t="shared" si="55"/>
        <v>0</v>
      </c>
      <c r="J126" s="55">
        <f t="shared" si="55"/>
        <v>1</v>
      </c>
      <c r="K126" s="55">
        <f t="shared" si="55"/>
        <v>0</v>
      </c>
      <c r="L126" s="55">
        <f t="shared" si="55"/>
        <v>0</v>
      </c>
      <c r="M126" s="55">
        <f t="shared" si="55"/>
        <v>0</v>
      </c>
      <c r="N126" s="55">
        <f t="shared" si="55"/>
        <v>0</v>
      </c>
      <c r="O126" s="55">
        <f t="shared" si="55"/>
        <v>0</v>
      </c>
      <c r="P126" s="55">
        <f t="shared" si="55"/>
        <v>0</v>
      </c>
      <c r="Q126" s="55">
        <f t="shared" si="55"/>
        <v>0</v>
      </c>
      <c r="R126" s="55">
        <f t="shared" si="55"/>
        <v>0</v>
      </c>
      <c r="S126" s="55">
        <f t="shared" si="55"/>
        <v>0</v>
      </c>
      <c r="T126" s="55">
        <f xml:space="preserve"> T$14</f>
        <v>0</v>
      </c>
      <c r="U126" s="55">
        <f xml:space="preserve"> U$14</f>
        <v>0</v>
      </c>
      <c r="V126" s="55">
        <f xml:space="preserve"> V$14</f>
        <v>0</v>
      </c>
      <c r="W126" s="55">
        <f xml:space="preserve"> W$14</f>
        <v>0</v>
      </c>
    </row>
    <row r="127" spans="1:23" outlineLevel="1">
      <c r="E127" s="95" t="s">
        <v>257</v>
      </c>
      <c r="F127" s="44"/>
      <c r="G127" s="95" t="s">
        <v>127</v>
      </c>
      <c r="H127" s="95"/>
      <c r="I127" s="53"/>
      <c r="J127" s="39">
        <f t="shared" ref="J127:R127" si="56" xml:space="preserve"> IF(J126 = 1, $F123, IF(J125 &gt; (DATE(I127, $F124 + 1, 1) - 1), I127 + 1, I127))</f>
        <v>2015</v>
      </c>
      <c r="K127" s="39">
        <f t="shared" si="56"/>
        <v>2016</v>
      </c>
      <c r="L127" s="39">
        <f t="shared" si="56"/>
        <v>2017</v>
      </c>
      <c r="M127" s="39">
        <f t="shared" si="56"/>
        <v>2018</v>
      </c>
      <c r="N127" s="39">
        <f t="shared" si="56"/>
        <v>2019</v>
      </c>
      <c r="O127" s="39">
        <f t="shared" si="56"/>
        <v>2020</v>
      </c>
      <c r="P127" s="39">
        <f t="shared" si="56"/>
        <v>2021</v>
      </c>
      <c r="Q127" s="39">
        <f t="shared" si="56"/>
        <v>2022</v>
      </c>
      <c r="R127" s="39">
        <f t="shared" si="56"/>
        <v>2023</v>
      </c>
      <c r="S127" s="39">
        <f xml:space="preserve"> IF(S126 = 1, $F123, IF(S125 &gt; (DATE(R127, $F124 + 1, 1) - 1), R127 + 1, R127))</f>
        <v>2024</v>
      </c>
      <c r="T127" s="39">
        <f xml:space="preserve"> IF(T126 = 1, $F123, IF(T125 &gt; (DATE(S127, $F124 + 1, 1) - 1), S127 + 1, S127))</f>
        <v>2025</v>
      </c>
      <c r="U127" s="39">
        <f xml:space="preserve"> IF(U126 = 1, $F123, IF(U125 &gt; (DATE(T127, $F124 + 1, 1) - 1), T127 + 1, T127))</f>
        <v>2026</v>
      </c>
      <c r="V127" s="39">
        <f xml:space="preserve"> IF(V126 = 1, $F123, IF(V125 &gt; (DATE(U127, $F124 + 1, 1) - 1), U127 + 1, U127))</f>
        <v>2027</v>
      </c>
      <c r="W127" s="39">
        <f xml:space="preserve"> IF(W126 = 1, $F123, IF(W125 &gt; (DATE(V127, $F124 + 1, 1) - 1), V127 + 1, V127))</f>
        <v>2028</v>
      </c>
    </row>
    <row r="128" spans="1:23" outlineLevel="1">
      <c r="E128" s="95"/>
      <c r="F128" s="44"/>
      <c r="G128" s="95"/>
      <c r="H128" s="95"/>
      <c r="I128" s="53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6" s="116" customFormat="1">
      <c r="A129" s="116" t="s">
        <v>219</v>
      </c>
      <c r="C129" s="117"/>
      <c r="D129" s="118"/>
      <c r="E129" s="117"/>
      <c r="F129" s="119"/>
    </row>
    <row r="131" spans="1:6"/>
    <row r="132" spans="1:6"/>
    <row r="133" spans="1:6"/>
    <row r="134" spans="1:6"/>
  </sheetData>
  <conditionalFormatting sqref="F2">
    <cfRule type="cellIs" dxfId="87" priority="3" stopIfTrue="1" operator="notEqual">
      <formula>0</formula>
    </cfRule>
    <cfRule type="cellIs" dxfId="86" priority="4" stopIfTrue="1" operator="equal">
      <formula>""</formula>
    </cfRule>
  </conditionalFormatting>
  <conditionalFormatting sqref="F3">
    <cfRule type="cellIs" dxfId="85" priority="1" stopIfTrue="1" operator="notEqual">
      <formula>0</formula>
    </cfRule>
    <cfRule type="cellIs" dxfId="84" priority="2" stopIfTrue="1" operator="equal">
      <formula>""</formula>
    </cfRule>
  </conditionalFormatting>
  <conditionalFormatting sqref="F119">
    <cfRule type="cellIs" dxfId="83" priority="39" stopIfTrue="1" operator="notEqual">
      <formula>0</formula>
    </cfRule>
    <cfRule type="cellIs" dxfId="82" priority="40" stopIfTrue="1" operator="equal">
      <formula>""</formula>
    </cfRule>
  </conditionalFormatting>
  <pageMargins left="0.7" right="0.7" top="0.75" bottom="0.75" header="0.3" footer="0.3"/>
  <pageSetup paperSize="9" scale="55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stopIfTrue="1" operator="equal" id="{BB135CB2-F0BA-4A1C-A137-C4CB8D622BBE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7" stopIfTrue="1" operator="equal" id="{2A471B8A-6CFC-471C-AA67-5F6C394F934D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46E7C932-C683-4596-A894-F67FDB6B20AB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D5B5-5F2D-43E4-AEAA-5A314711F424}">
  <sheetPr codeName="Sheet66">
    <outlinePr summaryBelow="0" summaryRight="0"/>
    <pageSetUpPr fitToPage="1"/>
  </sheetPr>
  <dimension ref="A1:X83"/>
  <sheetViews>
    <sheetView showGridLines="0" zoomScale="80" zoomScaleNormal="80" workbookViewId="0">
      <pane xSplit="9" ySplit="5" topLeftCell="J48" activePane="bottomRight" state="frozen"/>
      <selection pane="topRight" activeCell="C22" sqref="C22"/>
      <selection pane="bottomLeft" activeCell="C22" sqref="C22"/>
      <selection pane="bottomRight" activeCell="C22" sqref="C22"/>
    </sheetView>
  </sheetViews>
  <sheetFormatPr defaultColWidth="0" defaultRowHeight="13.15" zeroHeight="1" outlineLevelRow="1"/>
  <cols>
    <col min="1" max="2" width="1.3984375" style="61" customWidth="1"/>
    <col min="3" max="3" width="1.3984375" style="108" customWidth="1"/>
    <col min="4" max="4" width="1.3984375" style="55" customWidth="1"/>
    <col min="5" max="5" width="42.1328125" bestFit="1" customWidth="1"/>
    <col min="6" max="6" width="12.59765625" customWidth="1"/>
    <col min="7" max="7" width="11.59765625" customWidth="1"/>
    <col min="8" max="8" width="15.59765625" customWidth="1"/>
    <col min="9" max="9" width="2.59765625" style="5" customWidth="1"/>
    <col min="10" max="23" width="12.59765625" customWidth="1"/>
    <col min="24" max="16384" width="9.1328125" hidden="1"/>
  </cols>
  <sheetData>
    <row r="1" spans="1:24" ht="29.65">
      <c r="A1" s="211" t="str">
        <f ca="1" xml:space="preserve"> RIGHT(CELL("filename", $A$1), LEN(CELL("filename", $A$1)) - SEARCH("]", CELL("filename", $A$1)))</f>
        <v>Indices and K factor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4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4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2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4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4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116</v>
      </c>
      <c r="G5" s="158" t="s">
        <v>117</v>
      </c>
      <c r="H5" s="48" t="s">
        <v>118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4"/>
    <row r="7" spans="1:24" ht="12.75" customHeight="1">
      <c r="A7" s="113" t="s">
        <v>258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5"/>
    </row>
    <row r="8" spans="1:24"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4" s="5" customFormat="1" outlineLevel="1">
      <c r="A9" s="62"/>
      <c r="B9" s="62" t="s">
        <v>259</v>
      </c>
      <c r="C9" s="60"/>
      <c r="D9" s="99"/>
    </row>
    <row r="10" spans="1:24" s="206" customFormat="1" outlineLevel="1">
      <c r="A10" s="58"/>
      <c r="B10" s="58"/>
      <c r="C10" s="105"/>
      <c r="D10" s="3"/>
      <c r="E10" s="190" t="str">
        <f xml:space="preserve"> Inputs!E$41</f>
        <v>CPIH Index Nov (prior year)</v>
      </c>
      <c r="F10" s="190">
        <f xml:space="preserve"> Inputs!F$41</f>
        <v>0</v>
      </c>
      <c r="G10" s="190" t="str">
        <f xml:space="preserve"> Inputs!G$41</f>
        <v>index</v>
      </c>
      <c r="H10" s="190">
        <f xml:space="preserve"> Inputs!H$41</f>
        <v>0</v>
      </c>
      <c r="I10" s="190">
        <f xml:space="preserve"> Inputs!I$41</f>
        <v>0</v>
      </c>
      <c r="J10" s="190">
        <f xml:space="preserve"> Inputs!J$41</f>
        <v>0</v>
      </c>
      <c r="K10" s="190">
        <f xml:space="preserve"> Inputs!K$41</f>
        <v>99.9</v>
      </c>
      <c r="L10" s="190">
        <f xml:space="preserve"> Inputs!L$41</f>
        <v>100.3</v>
      </c>
      <c r="M10" s="190">
        <f xml:space="preserve"> Inputs!M$41</f>
        <v>101.8</v>
      </c>
      <c r="N10" s="190">
        <f xml:space="preserve"> Inputs!N$41</f>
        <v>104.7</v>
      </c>
      <c r="O10" s="190">
        <f xml:space="preserve"> Inputs!O$41</f>
        <v>106.9</v>
      </c>
      <c r="P10" s="190">
        <f xml:space="preserve"> Inputs!P$41</f>
        <v>108.5</v>
      </c>
      <c r="Q10" s="190">
        <f xml:space="preserve"> Inputs!Q$41</f>
        <v>109.1</v>
      </c>
      <c r="R10" s="190">
        <f xml:space="preserve"> Inputs!R$41</f>
        <v>114.1</v>
      </c>
      <c r="S10" s="190">
        <f xml:space="preserve"> Inputs!S$41</f>
        <v>124.8</v>
      </c>
      <c r="T10" s="190">
        <f xml:space="preserve"> Inputs!T$41</f>
        <v>130</v>
      </c>
      <c r="U10" s="190">
        <f xml:space="preserve"> Inputs!U$41</f>
        <v>133.30000000000001</v>
      </c>
      <c r="V10" s="190">
        <f xml:space="preserve"> Inputs!V$41</f>
        <v>135.96600000000001</v>
      </c>
      <c r="W10" s="190">
        <f xml:space="preserve"> Inputs!W$41</f>
        <v>138.68532000000002</v>
      </c>
    </row>
    <row r="11" spans="1:24" s="5" customFormat="1" outlineLevel="1">
      <c r="A11" s="62"/>
      <c r="B11" s="62"/>
      <c r="C11" s="60"/>
      <c r="D11" s="99"/>
      <c r="E11" s="95" t="s">
        <v>260</v>
      </c>
      <c r="F11" s="95"/>
      <c r="G11" s="95" t="s">
        <v>153</v>
      </c>
      <c r="H11" s="95"/>
      <c r="I11" s="53"/>
      <c r="J11" s="40">
        <f t="shared" ref="J11:W11" si="0" xml:space="preserve"> IF(I10 = 0, 0, J10 / I10)</f>
        <v>0</v>
      </c>
      <c r="K11" s="40">
        <f xml:space="preserve"> IF(J10 = 0, 0, K10 / J10)</f>
        <v>0</v>
      </c>
      <c r="L11" s="40">
        <f xml:space="preserve"> IF(K10 = 0, 0, L10 / K10)</f>
        <v>1.0040040040040039</v>
      </c>
      <c r="M11" s="40">
        <f t="shared" si="0"/>
        <v>1.0149551345962113</v>
      </c>
      <c r="N11" s="40">
        <f t="shared" si="0"/>
        <v>1.0284872298624754</v>
      </c>
      <c r="O11" s="40">
        <f xml:space="preserve"> IF(N10 = 0, 0, O10 / N10)</f>
        <v>1.0210124164278893</v>
      </c>
      <c r="P11" s="40">
        <f xml:space="preserve"> IF(O10 = 0, 0, P10 / O10)</f>
        <v>1.0149672591206735</v>
      </c>
      <c r="Q11" s="40">
        <f t="shared" si="0"/>
        <v>1.0055299539170506</v>
      </c>
      <c r="R11" s="40">
        <f t="shared" si="0"/>
        <v>1.0458295142071494</v>
      </c>
      <c r="S11" s="40">
        <f t="shared" si="0"/>
        <v>1.0937773882559159</v>
      </c>
      <c r="T11" s="40">
        <f t="shared" si="0"/>
        <v>1.0416666666666667</v>
      </c>
      <c r="U11" s="40">
        <f t="shared" si="0"/>
        <v>1.0253846153846156</v>
      </c>
      <c r="V11" s="40">
        <f t="shared" si="0"/>
        <v>1.02</v>
      </c>
      <c r="W11" s="40">
        <f t="shared" si="0"/>
        <v>1.02</v>
      </c>
    </row>
    <row r="12" spans="1:24" s="5" customFormat="1" outlineLevel="1">
      <c r="A12" s="62"/>
      <c r="B12" s="62"/>
      <c r="C12" s="60"/>
      <c r="D12" s="99"/>
      <c r="E12" s="95"/>
      <c r="F12" s="95"/>
      <c r="G12" s="95"/>
      <c r="H12" s="95"/>
      <c r="I12" s="53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4" s="5" customFormat="1" outlineLevel="1">
      <c r="A13" s="62"/>
      <c r="B13" s="62" t="s">
        <v>261</v>
      </c>
      <c r="C13" s="60"/>
      <c r="D13" s="99"/>
      <c r="E13" s="53"/>
      <c r="G13" s="53"/>
      <c r="H13" s="53"/>
      <c r="I13" s="53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4" s="206" customFormat="1" outlineLevel="1">
      <c r="A14" s="58"/>
      <c r="B14" s="58"/>
      <c r="C14" s="105"/>
      <c r="D14" s="3"/>
      <c r="E14" s="190" t="str">
        <f xml:space="preserve"> Inputs!E$41</f>
        <v>CPIH Index Nov (prior year)</v>
      </c>
      <c r="F14" s="190">
        <f xml:space="preserve"> Inputs!F$41</f>
        <v>0</v>
      </c>
      <c r="G14" s="190" t="str">
        <f xml:space="preserve"> Inputs!G$41</f>
        <v>index</v>
      </c>
      <c r="H14" s="190">
        <f xml:space="preserve"> Inputs!H$41</f>
        <v>0</v>
      </c>
      <c r="I14" s="190">
        <f xml:space="preserve"> Inputs!I$41</f>
        <v>0</v>
      </c>
      <c r="J14" s="190">
        <f xml:space="preserve"> Inputs!J$41</f>
        <v>0</v>
      </c>
      <c r="K14" s="190">
        <f xml:space="preserve"> Inputs!K$41</f>
        <v>99.9</v>
      </c>
      <c r="L14" s="190">
        <f xml:space="preserve"> Inputs!L$41</f>
        <v>100.3</v>
      </c>
      <c r="M14" s="190">
        <f xml:space="preserve"> Inputs!M$41</f>
        <v>101.8</v>
      </c>
      <c r="N14" s="190">
        <f xml:space="preserve"> Inputs!N$41</f>
        <v>104.7</v>
      </c>
      <c r="O14" s="190">
        <f xml:space="preserve"> Inputs!O$41</f>
        <v>106.9</v>
      </c>
      <c r="P14" s="190">
        <f xml:space="preserve"> Inputs!P$41</f>
        <v>108.5</v>
      </c>
      <c r="Q14" s="190">
        <f xml:space="preserve"> Inputs!Q$41</f>
        <v>109.1</v>
      </c>
      <c r="R14" s="190">
        <f xml:space="preserve"> Inputs!R$41</f>
        <v>114.1</v>
      </c>
      <c r="S14" s="190">
        <f xml:space="preserve"> Inputs!S$41</f>
        <v>124.8</v>
      </c>
      <c r="T14" s="190">
        <f xml:space="preserve"> Inputs!T$41</f>
        <v>130</v>
      </c>
      <c r="U14" s="190">
        <f xml:space="preserve"> Inputs!U$41</f>
        <v>133.30000000000001</v>
      </c>
      <c r="V14" s="190">
        <f xml:space="preserve"> Inputs!V$41</f>
        <v>135.96600000000001</v>
      </c>
      <c r="W14" s="190">
        <f xml:space="preserve"> Inputs!W$41</f>
        <v>138.68532000000002</v>
      </c>
    </row>
    <row r="15" spans="1:24" s="192" customFormat="1" outlineLevel="1">
      <c r="A15" s="197"/>
      <c r="B15" s="197"/>
      <c r="C15" s="198"/>
      <c r="E15" s="228" t="str">
        <f xml:space="preserve"> Time!E$72</f>
        <v>Last pre-forecast period flag</v>
      </c>
      <c r="F15" s="228">
        <f xml:space="preserve"> Time!F$72</f>
        <v>0</v>
      </c>
      <c r="G15" s="228" t="str">
        <f xml:space="preserve"> Time!G$72</f>
        <v>flag</v>
      </c>
      <c r="H15" s="228">
        <f xml:space="preserve"> Time!H$72</f>
        <v>1</v>
      </c>
      <c r="I15" s="228">
        <f xml:space="preserve"> Time!I$72</f>
        <v>0</v>
      </c>
      <c r="J15" s="228">
        <f xml:space="preserve"> Time!J$72</f>
        <v>0</v>
      </c>
      <c r="K15" s="228">
        <f xml:space="preserve"> Time!K$72</f>
        <v>0</v>
      </c>
      <c r="L15" s="228">
        <f xml:space="preserve"> Time!L$72</f>
        <v>0</v>
      </c>
      <c r="M15" s="228">
        <f xml:space="preserve"> Time!M$72</f>
        <v>0</v>
      </c>
      <c r="N15" s="228">
        <f xml:space="preserve"> Time!N$72</f>
        <v>0</v>
      </c>
      <c r="O15" s="228">
        <f xml:space="preserve"> Time!O$72</f>
        <v>1</v>
      </c>
      <c r="P15" s="228">
        <f xml:space="preserve"> Time!P$72</f>
        <v>0</v>
      </c>
      <c r="Q15" s="228">
        <f xml:space="preserve"> Time!Q$72</f>
        <v>0</v>
      </c>
      <c r="R15" s="228">
        <f xml:space="preserve"> Time!R$72</f>
        <v>0</v>
      </c>
      <c r="S15" s="228">
        <f xml:space="preserve"> Time!S$72</f>
        <v>0</v>
      </c>
      <c r="T15" s="228">
        <f xml:space="preserve"> Time!T$72</f>
        <v>0</v>
      </c>
      <c r="U15" s="228">
        <f xml:space="preserve"> Time!U$72</f>
        <v>0</v>
      </c>
      <c r="V15" s="228">
        <f xml:space="preserve"> Time!V$72</f>
        <v>0</v>
      </c>
      <c r="W15" s="228">
        <f xml:space="preserve"> Time!W$72</f>
        <v>0</v>
      </c>
    </row>
    <row r="16" spans="1:24" s="192" customFormat="1" outlineLevel="1">
      <c r="A16" s="197"/>
      <c r="B16" s="197"/>
      <c r="C16" s="198"/>
      <c r="E16" s="192" t="s">
        <v>262</v>
      </c>
      <c r="G16" s="192" t="s">
        <v>263</v>
      </c>
      <c r="H16" s="229">
        <f>SUM(J16:W16)</f>
        <v>106.9</v>
      </c>
      <c r="J16" s="229">
        <f xml:space="preserve"> J14 * J15</f>
        <v>0</v>
      </c>
      <c r="K16" s="229">
        <f t="shared" ref="K16:W16" si="1" xml:space="preserve"> K14 * K15</f>
        <v>0</v>
      </c>
      <c r="L16" s="229">
        <f t="shared" si="1"/>
        <v>0</v>
      </c>
      <c r="M16" s="229">
        <f t="shared" si="1"/>
        <v>0</v>
      </c>
      <c r="N16" s="229">
        <f t="shared" si="1"/>
        <v>0</v>
      </c>
      <c r="O16" s="229">
        <f xml:space="preserve"> O14 * O15</f>
        <v>106.9</v>
      </c>
      <c r="P16" s="229">
        <f t="shared" si="1"/>
        <v>0</v>
      </c>
      <c r="Q16" s="229">
        <f t="shared" si="1"/>
        <v>0</v>
      </c>
      <c r="R16" s="229">
        <f t="shared" si="1"/>
        <v>0</v>
      </c>
      <c r="S16" s="229">
        <f t="shared" si="1"/>
        <v>0</v>
      </c>
      <c r="T16" s="229">
        <f t="shared" si="1"/>
        <v>0</v>
      </c>
      <c r="U16" s="229">
        <f t="shared" si="1"/>
        <v>0</v>
      </c>
      <c r="V16" s="229">
        <f t="shared" si="1"/>
        <v>0</v>
      </c>
      <c r="W16" s="229">
        <f t="shared" si="1"/>
        <v>0</v>
      </c>
    </row>
    <row r="17" spans="1:23" s="192" customFormat="1" outlineLevel="1">
      <c r="A17" s="197"/>
      <c r="B17" s="197"/>
      <c r="C17" s="198"/>
      <c r="E17" s="192" t="s">
        <v>264</v>
      </c>
      <c r="F17" s="229">
        <f>SUM(J16:W16)</f>
        <v>106.9</v>
      </c>
    </row>
    <row r="18" spans="1:23" s="192" customFormat="1" outlineLevel="1">
      <c r="A18" s="197"/>
      <c r="B18" s="197"/>
      <c r="C18" s="198"/>
    </row>
    <row r="19" spans="1:23" s="192" customFormat="1" outlineLevel="1">
      <c r="A19" s="197"/>
      <c r="B19" s="197"/>
      <c r="C19" s="198"/>
      <c r="E19" s="99" t="str">
        <f t="shared" ref="E19:W19" si="2" xml:space="preserve"> E$17</f>
        <v>CPIH Forecast period base inflation</v>
      </c>
      <c r="F19" s="91">
        <f xml:space="preserve"> F$17</f>
        <v>106.9</v>
      </c>
      <c r="G19" s="99">
        <f t="shared" si="2"/>
        <v>0</v>
      </c>
      <c r="H19" s="99">
        <f t="shared" si="2"/>
        <v>0</v>
      </c>
      <c r="I19" s="99">
        <f t="shared" si="2"/>
        <v>0</v>
      </c>
      <c r="J19" s="99">
        <f t="shared" si="2"/>
        <v>0</v>
      </c>
      <c r="K19" s="99">
        <f t="shared" si="2"/>
        <v>0</v>
      </c>
      <c r="L19" s="99">
        <f t="shared" si="2"/>
        <v>0</v>
      </c>
      <c r="M19" s="99">
        <f t="shared" si="2"/>
        <v>0</v>
      </c>
      <c r="N19" s="99">
        <f t="shared" si="2"/>
        <v>0</v>
      </c>
      <c r="O19" s="99">
        <f t="shared" si="2"/>
        <v>0</v>
      </c>
      <c r="P19" s="99">
        <f t="shared" si="2"/>
        <v>0</v>
      </c>
      <c r="Q19" s="99">
        <f t="shared" si="2"/>
        <v>0</v>
      </c>
      <c r="R19" s="99">
        <f t="shared" si="2"/>
        <v>0</v>
      </c>
      <c r="S19" s="99">
        <f t="shared" si="2"/>
        <v>0</v>
      </c>
      <c r="T19" s="99">
        <f t="shared" si="2"/>
        <v>0</v>
      </c>
      <c r="U19" s="99">
        <f t="shared" si="2"/>
        <v>0</v>
      </c>
      <c r="V19" s="99">
        <f t="shared" si="2"/>
        <v>0</v>
      </c>
      <c r="W19" s="99">
        <f t="shared" si="2"/>
        <v>0</v>
      </c>
    </row>
    <row r="20" spans="1:23" s="206" customFormat="1" outlineLevel="1">
      <c r="A20" s="58"/>
      <c r="B20" s="58"/>
      <c r="C20" s="105"/>
      <c r="D20" s="3"/>
      <c r="E20" s="190" t="str">
        <f xml:space="preserve"> Inputs!E$41</f>
        <v>CPIH Index Nov (prior year)</v>
      </c>
      <c r="F20" s="190">
        <f xml:space="preserve"> Inputs!F$41</f>
        <v>0</v>
      </c>
      <c r="G20" s="190" t="str">
        <f xml:space="preserve"> Inputs!G$41</f>
        <v>index</v>
      </c>
      <c r="H20" s="190">
        <f xml:space="preserve"> Inputs!H$41</f>
        <v>0</v>
      </c>
      <c r="I20" s="190">
        <f xml:space="preserve"> Inputs!I$41</f>
        <v>0</v>
      </c>
      <c r="J20" s="190">
        <f xml:space="preserve"> Inputs!J$41</f>
        <v>0</v>
      </c>
      <c r="K20" s="190">
        <f xml:space="preserve"> Inputs!K$41</f>
        <v>99.9</v>
      </c>
      <c r="L20" s="190">
        <f xml:space="preserve"> Inputs!L$41</f>
        <v>100.3</v>
      </c>
      <c r="M20" s="190">
        <f xml:space="preserve"> Inputs!M$41</f>
        <v>101.8</v>
      </c>
      <c r="N20" s="190">
        <f xml:space="preserve"> Inputs!N$41</f>
        <v>104.7</v>
      </c>
      <c r="O20" s="190">
        <f xml:space="preserve"> Inputs!O$41</f>
        <v>106.9</v>
      </c>
      <c r="P20" s="190">
        <f xml:space="preserve"> Inputs!P$41</f>
        <v>108.5</v>
      </c>
      <c r="Q20" s="190">
        <f xml:space="preserve"> Inputs!Q$41</f>
        <v>109.1</v>
      </c>
      <c r="R20" s="190">
        <f xml:space="preserve"> Inputs!R$41</f>
        <v>114.1</v>
      </c>
      <c r="S20" s="190">
        <f xml:space="preserve"> Inputs!S$41</f>
        <v>124.8</v>
      </c>
      <c r="T20" s="190">
        <f xml:space="preserve"> Inputs!T$41</f>
        <v>130</v>
      </c>
      <c r="U20" s="190">
        <f xml:space="preserve"> Inputs!U$41</f>
        <v>133.30000000000001</v>
      </c>
      <c r="V20" s="190">
        <f xml:space="preserve"> Inputs!V$41</f>
        <v>135.96600000000001</v>
      </c>
      <c r="W20" s="190">
        <f xml:space="preserve"> Inputs!W$41</f>
        <v>138.68532000000002</v>
      </c>
    </row>
    <row r="21" spans="1:23" s="5" customFormat="1" ht="12.75" customHeight="1" outlineLevel="1">
      <c r="A21" s="62"/>
      <c r="B21" s="62"/>
      <c r="C21" s="60"/>
      <c r="D21" s="157"/>
      <c r="E21" s="96" t="str">
        <f xml:space="preserve"> Time!E$56</f>
        <v>Forecast period flag</v>
      </c>
      <c r="F21" s="96">
        <f xml:space="preserve"> Time!F$56</f>
        <v>0</v>
      </c>
      <c r="G21" s="96" t="str">
        <f xml:space="preserve"> Time!G$56</f>
        <v>flag</v>
      </c>
      <c r="H21" s="96">
        <f xml:space="preserve"> Time!H$56</f>
        <v>5</v>
      </c>
      <c r="I21" s="96">
        <f xml:space="preserve"> Time!I$56</f>
        <v>0</v>
      </c>
      <c r="J21" s="96">
        <f xml:space="preserve"> Time!J$56</f>
        <v>0</v>
      </c>
      <c r="K21" s="96">
        <f xml:space="preserve"> Time!K$56</f>
        <v>0</v>
      </c>
      <c r="L21" s="96">
        <f xml:space="preserve"> Time!L$56</f>
        <v>0</v>
      </c>
      <c r="M21" s="96">
        <f xml:space="preserve"> Time!M$56</f>
        <v>0</v>
      </c>
      <c r="N21" s="96">
        <f xml:space="preserve"> Time!N$56</f>
        <v>0</v>
      </c>
      <c r="O21" s="96">
        <f xml:space="preserve"> Time!O$56</f>
        <v>0</v>
      </c>
      <c r="P21" s="96">
        <f xml:space="preserve"> Time!P$56</f>
        <v>1</v>
      </c>
      <c r="Q21" s="96">
        <f xml:space="preserve"> Time!Q$56</f>
        <v>1</v>
      </c>
      <c r="R21" s="96">
        <f xml:space="preserve"> Time!R$56</f>
        <v>1</v>
      </c>
      <c r="S21" s="96">
        <f xml:space="preserve"> Time!S$56</f>
        <v>1</v>
      </c>
      <c r="T21" s="96">
        <f xml:space="preserve"> Time!T$56</f>
        <v>1</v>
      </c>
      <c r="U21" s="96">
        <f xml:space="preserve"> Time!U$56</f>
        <v>0</v>
      </c>
      <c r="V21" s="96">
        <f xml:space="preserve"> Time!V$56</f>
        <v>0</v>
      </c>
      <c r="W21" s="96">
        <f xml:space="preserve"> Time!W$56</f>
        <v>0</v>
      </c>
    </row>
    <row r="22" spans="1:23" s="192" customFormat="1" outlineLevel="1">
      <c r="A22" s="197"/>
      <c r="B22" s="197"/>
      <c r="C22" s="341" t="s">
        <v>26</v>
      </c>
      <c r="E22" s="192" t="s">
        <v>265</v>
      </c>
      <c r="G22" s="192" t="s">
        <v>151</v>
      </c>
      <c r="J22" s="40">
        <f xml:space="preserve"> IF($F19 = 0, 0, ( J20 / $F$19 ) * J21 )</f>
        <v>0</v>
      </c>
      <c r="K22" s="40">
        <f t="shared" ref="K22:W22" si="3" xml:space="preserve"> IF($F19 = 0, 0, ( K20 / $F$19 ) * K21 )</f>
        <v>0</v>
      </c>
      <c r="L22" s="40">
        <f t="shared" si="3"/>
        <v>0</v>
      </c>
      <c r="M22" s="40">
        <f t="shared" si="3"/>
        <v>0</v>
      </c>
      <c r="N22" s="40">
        <f t="shared" si="3"/>
        <v>0</v>
      </c>
      <c r="O22" s="40">
        <f t="shared" si="3"/>
        <v>0</v>
      </c>
      <c r="P22" s="40">
        <f t="shared" si="3"/>
        <v>1.0149672591206735</v>
      </c>
      <c r="Q22" s="40">
        <f t="shared" si="3"/>
        <v>1.020579981290926</v>
      </c>
      <c r="R22" s="40">
        <f t="shared" si="3"/>
        <v>1.0673526660430308</v>
      </c>
      <c r="S22" s="40">
        <f t="shared" si="3"/>
        <v>1.167446211412535</v>
      </c>
      <c r="T22" s="40">
        <f t="shared" si="3"/>
        <v>1.2160898035547241</v>
      </c>
      <c r="U22" s="40">
        <f t="shared" si="3"/>
        <v>0</v>
      </c>
      <c r="V22" s="40">
        <f t="shared" si="3"/>
        <v>0</v>
      </c>
      <c r="W22" s="40">
        <f t="shared" si="3"/>
        <v>0</v>
      </c>
    </row>
    <row r="23" spans="1:23" s="192" customFormat="1" outlineLevel="1">
      <c r="A23" s="197"/>
      <c r="B23" s="197"/>
      <c r="C23" s="198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192" customFormat="1" outlineLevel="1">
      <c r="A24" s="197"/>
      <c r="B24" s="62" t="s">
        <v>266</v>
      </c>
      <c r="C24" s="198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192" customFormat="1" outlineLevel="1">
      <c r="A25" s="197"/>
      <c r="B25" s="62"/>
      <c r="C25" s="198"/>
      <c r="E25" s="319" t="str">
        <f xml:space="preserve"> Inputs!E$43</f>
        <v>CPIH Index (base year 2017/18)</v>
      </c>
      <c r="F25" s="319">
        <f xml:space="preserve"> Inputs!F$43</f>
        <v>101.8</v>
      </c>
      <c r="G25" s="320" t="str">
        <f xml:space="preserve"> Inputs!G$43</f>
        <v>index</v>
      </c>
      <c r="H25" s="320">
        <f xml:space="preserve"> Inputs!H$43</f>
        <v>0</v>
      </c>
      <c r="I25" s="320">
        <f xml:space="preserve"> Inputs!I$43</f>
        <v>0</v>
      </c>
      <c r="J25" s="320">
        <f xml:space="preserve"> Inputs!J$43</f>
        <v>0</v>
      </c>
      <c r="K25" s="320">
        <f xml:space="preserve"> Inputs!K$43</f>
        <v>0</v>
      </c>
      <c r="L25" s="320">
        <f xml:space="preserve"> Inputs!L$43</f>
        <v>0</v>
      </c>
      <c r="M25" s="320">
        <f xml:space="preserve"> Inputs!M$43</f>
        <v>0</v>
      </c>
      <c r="N25" s="320">
        <f xml:space="preserve"> Inputs!N$43</f>
        <v>0</v>
      </c>
      <c r="O25" s="320">
        <f xml:space="preserve"> Inputs!O$43</f>
        <v>0</v>
      </c>
      <c r="P25" s="320">
        <f xml:space="preserve"> Inputs!P$43</f>
        <v>0</v>
      </c>
      <c r="Q25" s="320">
        <f xml:space="preserve"> Inputs!Q$43</f>
        <v>0</v>
      </c>
      <c r="R25" s="320">
        <f xml:space="preserve"> Inputs!R$43</f>
        <v>0</v>
      </c>
      <c r="S25" s="320">
        <f xml:space="preserve"> Inputs!S$43</f>
        <v>0</v>
      </c>
      <c r="T25" s="320">
        <f xml:space="preserve"> Inputs!T$43</f>
        <v>0</v>
      </c>
      <c r="U25" s="320">
        <f xml:space="preserve"> Inputs!U$43</f>
        <v>0</v>
      </c>
      <c r="V25" s="320">
        <f xml:space="preserve"> Inputs!V$43</f>
        <v>0</v>
      </c>
      <c r="W25" s="320">
        <f xml:space="preserve"> Inputs!W$43</f>
        <v>0</v>
      </c>
    </row>
    <row r="26" spans="1:23" s="206" customFormat="1" outlineLevel="1">
      <c r="A26" s="58"/>
      <c r="B26" s="58"/>
      <c r="C26" s="105"/>
      <c r="D26" s="3"/>
      <c r="E26" s="190" t="str">
        <f xml:space="preserve"> Inputs!E$41</f>
        <v>CPIH Index Nov (prior year)</v>
      </c>
      <c r="F26" s="190">
        <f xml:space="preserve"> Inputs!F$41</f>
        <v>0</v>
      </c>
      <c r="G26" s="190" t="str">
        <f xml:space="preserve"> Inputs!G$41</f>
        <v>index</v>
      </c>
      <c r="H26" s="190">
        <f xml:space="preserve"> Inputs!H$41</f>
        <v>0</v>
      </c>
      <c r="I26" s="190">
        <f xml:space="preserve"> Inputs!I$41</f>
        <v>0</v>
      </c>
      <c r="J26" s="190">
        <f xml:space="preserve"> Inputs!J$41</f>
        <v>0</v>
      </c>
      <c r="K26" s="190">
        <f xml:space="preserve"> Inputs!K$41</f>
        <v>99.9</v>
      </c>
      <c r="L26" s="190">
        <f xml:space="preserve"> Inputs!L$41</f>
        <v>100.3</v>
      </c>
      <c r="M26" s="190">
        <f xml:space="preserve"> Inputs!M$41</f>
        <v>101.8</v>
      </c>
      <c r="N26" s="190">
        <f xml:space="preserve"> Inputs!N$41</f>
        <v>104.7</v>
      </c>
      <c r="O26" s="190">
        <f xml:space="preserve"> Inputs!O$41</f>
        <v>106.9</v>
      </c>
      <c r="P26" s="190">
        <f xml:space="preserve"> Inputs!P$41</f>
        <v>108.5</v>
      </c>
      <c r="Q26" s="190">
        <f xml:space="preserve"> Inputs!Q$41</f>
        <v>109.1</v>
      </c>
      <c r="R26" s="190">
        <f xml:space="preserve"> Inputs!R$41</f>
        <v>114.1</v>
      </c>
      <c r="S26" s="190">
        <f xml:space="preserve"> Inputs!S$41</f>
        <v>124.8</v>
      </c>
      <c r="T26" s="190">
        <f xml:space="preserve"> Inputs!T$41</f>
        <v>130</v>
      </c>
      <c r="U26" s="190">
        <f xml:space="preserve"> Inputs!U$41</f>
        <v>133.30000000000001</v>
      </c>
      <c r="V26" s="190">
        <f xml:space="preserve"> Inputs!V$41</f>
        <v>135.96600000000001</v>
      </c>
      <c r="W26" s="190">
        <f xml:space="preserve"> Inputs!W$41</f>
        <v>138.68532000000002</v>
      </c>
    </row>
    <row r="27" spans="1:23" s="192" customFormat="1" outlineLevel="1">
      <c r="A27" s="197"/>
      <c r="B27" s="62"/>
      <c r="C27" s="198"/>
      <c r="E27" s="96" t="str">
        <f xml:space="preserve"> Time!E$56</f>
        <v>Forecast period flag</v>
      </c>
      <c r="F27" s="96">
        <f xml:space="preserve"> Time!F$56</f>
        <v>0</v>
      </c>
      <c r="G27" s="96" t="str">
        <f xml:space="preserve"> Time!G$56</f>
        <v>flag</v>
      </c>
      <c r="H27" s="96">
        <f xml:space="preserve"> Time!H$56</f>
        <v>5</v>
      </c>
      <c r="I27" s="96">
        <f xml:space="preserve"> Time!I$56</f>
        <v>0</v>
      </c>
      <c r="J27" s="96">
        <f xml:space="preserve"> Time!J$56</f>
        <v>0</v>
      </c>
      <c r="K27" s="96">
        <f xml:space="preserve"> Time!K$56</f>
        <v>0</v>
      </c>
      <c r="L27" s="96">
        <f xml:space="preserve"> Time!L$56</f>
        <v>0</v>
      </c>
      <c r="M27" s="96">
        <f xml:space="preserve"> Time!M$56</f>
        <v>0</v>
      </c>
      <c r="N27" s="96">
        <f xml:space="preserve"> Time!N$56</f>
        <v>0</v>
      </c>
      <c r="O27" s="96">
        <f xml:space="preserve"> Time!O$56</f>
        <v>0</v>
      </c>
      <c r="P27" s="96">
        <f xml:space="preserve"> Time!P$56</f>
        <v>1</v>
      </c>
      <c r="Q27" s="96">
        <f xml:space="preserve"> Time!Q$56</f>
        <v>1</v>
      </c>
      <c r="R27" s="96">
        <f xml:space="preserve"> Time!R$56</f>
        <v>1</v>
      </c>
      <c r="S27" s="96">
        <f xml:space="preserve"> Time!S$56</f>
        <v>1</v>
      </c>
      <c r="T27" s="96">
        <f xml:space="preserve"> Time!T$56</f>
        <v>1</v>
      </c>
      <c r="U27" s="96">
        <f xml:space="preserve"> Time!U$56</f>
        <v>0</v>
      </c>
      <c r="V27" s="96">
        <f xml:space="preserve"> Time!V$56</f>
        <v>0</v>
      </c>
      <c r="W27" s="96">
        <f xml:space="preserve"> Time!W$56</f>
        <v>0</v>
      </c>
    </row>
    <row r="28" spans="1:23" s="192" customFormat="1" outlineLevel="1">
      <c r="A28" s="197"/>
      <c r="B28" s="197"/>
      <c r="C28" s="198"/>
      <c r="E28" s="192" t="s">
        <v>267</v>
      </c>
      <c r="G28" s="192" t="s">
        <v>151</v>
      </c>
      <c r="J28" s="40">
        <f xml:space="preserve"> ( J26 / $F$25 ) * J27</f>
        <v>0</v>
      </c>
      <c r="K28" s="40">
        <f t="shared" ref="K28:W28" si="4" xml:space="preserve"> ( K26 / $F$25 ) * K27</f>
        <v>0</v>
      </c>
      <c r="L28" s="40">
        <f t="shared" si="4"/>
        <v>0</v>
      </c>
      <c r="M28" s="40">
        <f t="shared" si="4"/>
        <v>0</v>
      </c>
      <c r="N28" s="40">
        <f t="shared" si="4"/>
        <v>0</v>
      </c>
      <c r="O28" s="40">
        <f t="shared" si="4"/>
        <v>0</v>
      </c>
      <c r="P28" s="40">
        <f t="shared" si="4"/>
        <v>1.0658153241650294</v>
      </c>
      <c r="Q28" s="40">
        <f t="shared" si="4"/>
        <v>1.0717092337917484</v>
      </c>
      <c r="R28" s="40">
        <f t="shared" si="4"/>
        <v>1.1208251473477406</v>
      </c>
      <c r="S28" s="40">
        <f t="shared" si="4"/>
        <v>1.2259332023575638</v>
      </c>
      <c r="T28" s="40">
        <f t="shared" si="4"/>
        <v>1.2770137524557956</v>
      </c>
      <c r="U28" s="40">
        <f t="shared" si="4"/>
        <v>0</v>
      </c>
      <c r="V28" s="40">
        <f t="shared" si="4"/>
        <v>0</v>
      </c>
      <c r="W28" s="40">
        <f t="shared" si="4"/>
        <v>0</v>
      </c>
    </row>
    <row r="29" spans="1:23" outlineLevel="1">
      <c r="A29" s="62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3" outlineLevel="1">
      <c r="B30" s="61" t="s">
        <v>268</v>
      </c>
    </row>
    <row r="31" spans="1:23" s="193" customFormat="1" outlineLevel="1">
      <c r="A31" s="194"/>
      <c r="B31" s="194"/>
      <c r="C31" s="195"/>
      <c r="D31" s="196"/>
      <c r="E31" s="196" t="str">
        <f t="shared" ref="E31:W31" si="5" xml:space="preserve"> E$11</f>
        <v>CPIH: Nov % increase (prior year) - CALC</v>
      </c>
      <c r="F31" s="196">
        <f t="shared" si="5"/>
        <v>0</v>
      </c>
      <c r="G31" s="196" t="str">
        <f t="shared" si="5"/>
        <v>%</v>
      </c>
      <c r="H31" s="196">
        <f t="shared" si="5"/>
        <v>0</v>
      </c>
      <c r="I31" s="196">
        <f t="shared" si="5"/>
        <v>0</v>
      </c>
      <c r="J31" s="196">
        <f t="shared" si="5"/>
        <v>0</v>
      </c>
      <c r="K31" s="196">
        <f t="shared" si="5"/>
        <v>0</v>
      </c>
      <c r="L31" s="196">
        <f xml:space="preserve"> L$11</f>
        <v>1.0040040040040039</v>
      </c>
      <c r="M31" s="196">
        <f t="shared" si="5"/>
        <v>1.0149551345962113</v>
      </c>
      <c r="N31" s="196">
        <f t="shared" si="5"/>
        <v>1.0284872298624754</v>
      </c>
      <c r="O31" s="196">
        <f xml:space="preserve"> O$11</f>
        <v>1.0210124164278893</v>
      </c>
      <c r="P31" s="196">
        <f xml:space="preserve"> P$11</f>
        <v>1.0149672591206735</v>
      </c>
      <c r="Q31" s="196">
        <f t="shared" si="5"/>
        <v>1.0055299539170506</v>
      </c>
      <c r="R31" s="196">
        <f t="shared" si="5"/>
        <v>1.0458295142071494</v>
      </c>
      <c r="S31" s="196">
        <f t="shared" si="5"/>
        <v>1.0937773882559159</v>
      </c>
      <c r="T31" s="196">
        <f t="shared" si="5"/>
        <v>1.0416666666666667</v>
      </c>
      <c r="U31" s="196">
        <f t="shared" si="5"/>
        <v>1.0253846153846156</v>
      </c>
      <c r="V31" s="196">
        <f t="shared" si="5"/>
        <v>1.02</v>
      </c>
      <c r="W31" s="196">
        <f t="shared" si="5"/>
        <v>1.02</v>
      </c>
    </row>
    <row r="32" spans="1:23" s="70" customFormat="1" ht="12.75" outlineLevel="1">
      <c r="C32" s="134"/>
      <c r="E32" s="70" t="s">
        <v>269</v>
      </c>
      <c r="G32" s="70" t="s">
        <v>153</v>
      </c>
      <c r="I32" s="65"/>
      <c r="J32" s="70">
        <f t="shared" ref="J32:W32" si="6" xml:space="preserve"> IF(J31 = 0, 0, (J31 - 1))</f>
        <v>0</v>
      </c>
      <c r="K32" s="70">
        <f t="shared" si="6"/>
        <v>0</v>
      </c>
      <c r="L32" s="70">
        <f xml:space="preserve"> IF(L31 = 0, 0, (L31 - 1))</f>
        <v>4.0040040040039138E-3</v>
      </c>
      <c r="M32" s="70">
        <f t="shared" si="6"/>
        <v>1.4955134596211339E-2</v>
      </c>
      <c r="N32" s="70">
        <f t="shared" si="6"/>
        <v>2.8487229862475427E-2</v>
      </c>
      <c r="O32" s="70">
        <f xml:space="preserve"> IF(O31 = 0, 0, (O31 - 1))</f>
        <v>2.1012416427889313E-2</v>
      </c>
      <c r="P32" s="70">
        <f xml:space="preserve"> IF(P31 = 0, 0, (P31 - 1))</f>
        <v>1.4967259120673537E-2</v>
      </c>
      <c r="Q32" s="70">
        <f t="shared" si="6"/>
        <v>5.5299539170505785E-3</v>
      </c>
      <c r="R32" s="70">
        <f t="shared" si="6"/>
        <v>4.5829514207149424E-2</v>
      </c>
      <c r="S32" s="70">
        <f t="shared" si="6"/>
        <v>9.3777388255915861E-2</v>
      </c>
      <c r="T32" s="70">
        <f t="shared" si="6"/>
        <v>4.1666666666666741E-2</v>
      </c>
      <c r="U32" s="70">
        <f t="shared" si="6"/>
        <v>2.5384615384615561E-2</v>
      </c>
      <c r="V32" s="70">
        <f t="shared" si="6"/>
        <v>2.0000000000000018E-2</v>
      </c>
      <c r="W32" s="70">
        <f t="shared" si="6"/>
        <v>2.0000000000000018E-2</v>
      </c>
    </row>
    <row r="33" spans="1:24" s="70" customFormat="1" ht="12.75" outlineLevel="1">
      <c r="C33" s="134"/>
      <c r="I33" s="65"/>
    </row>
    <row r="34" spans="1:24" ht="12.75" customHeight="1">
      <c r="A34" s="113" t="s">
        <v>270</v>
      </c>
      <c r="B34" s="113"/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5"/>
    </row>
    <row r="35" spans="1:24"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4" s="55" customFormat="1" outlineLevel="1">
      <c r="B36" s="61" t="s">
        <v>271</v>
      </c>
      <c r="D36" s="60"/>
      <c r="I36" s="99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4" s="92" customFormat="1" ht="12.75" outlineLevel="1">
      <c r="C37" s="51"/>
      <c r="E37" s="110" t="str">
        <f xml:space="preserve"> Inputs!E$156</f>
        <v>Unit conversion to percentage</v>
      </c>
      <c r="F37" s="110">
        <f xml:space="preserve"> Inputs!F$156</f>
        <v>100</v>
      </c>
      <c r="G37" s="110" t="str">
        <f xml:space="preserve"> Inputs!G$156</f>
        <v>#</v>
      </c>
      <c r="H37" s="110">
        <f xml:space="preserve"> Inputs!H$156</f>
        <v>0</v>
      </c>
      <c r="I37" s="110">
        <f xml:space="preserve"> Inputs!I$156</f>
        <v>0</v>
      </c>
      <c r="J37" s="110">
        <f xml:space="preserve"> Inputs!J$156</f>
        <v>0</v>
      </c>
      <c r="K37" s="110">
        <f xml:space="preserve"> Inputs!K$156</f>
        <v>0</v>
      </c>
      <c r="L37" s="110">
        <f xml:space="preserve"> Inputs!L$156</f>
        <v>0</v>
      </c>
      <c r="M37" s="110">
        <f xml:space="preserve"> Inputs!M$156</f>
        <v>0</v>
      </c>
      <c r="N37" s="110">
        <f xml:space="preserve"> Inputs!N$156</f>
        <v>0</v>
      </c>
      <c r="O37" s="110">
        <f xml:space="preserve"> Inputs!O$156</f>
        <v>0</v>
      </c>
      <c r="P37" s="110">
        <f xml:space="preserve"> Inputs!P$156</f>
        <v>0</v>
      </c>
      <c r="Q37" s="110">
        <f xml:space="preserve"> Inputs!Q$156</f>
        <v>0</v>
      </c>
      <c r="R37" s="110">
        <f xml:space="preserve"> Inputs!R$156</f>
        <v>0</v>
      </c>
      <c r="S37" s="110">
        <f xml:space="preserve"> Inputs!S$156</f>
        <v>0</v>
      </c>
      <c r="T37" s="110">
        <f xml:space="preserve"> Inputs!T$156</f>
        <v>0</v>
      </c>
      <c r="U37" s="110">
        <f xml:space="preserve"> Inputs!U$156</f>
        <v>0</v>
      </c>
      <c r="V37" s="110">
        <f xml:space="preserve"> Inputs!V$156</f>
        <v>0</v>
      </c>
      <c r="W37" s="110">
        <f xml:space="preserve"> Inputs!W$156</f>
        <v>0</v>
      </c>
    </row>
    <row r="38" spans="1:24" s="147" customFormat="1" ht="12.75" customHeight="1" outlineLevel="1">
      <c r="A38" s="144"/>
      <c r="B38" s="144"/>
      <c r="C38" s="145"/>
      <c r="D38" s="146"/>
      <c r="E38" s="94" t="str">
        <f xml:space="preserve"> Inputs!E84</f>
        <v>Revised K - Water Res</v>
      </c>
      <c r="F38" s="94">
        <f xml:space="preserve"> Inputs!F84</f>
        <v>0</v>
      </c>
      <c r="G38" s="94" t="str">
        <f xml:space="preserve"> Inputs!G84</f>
        <v>#</v>
      </c>
      <c r="H38" s="94">
        <f xml:space="preserve"> Inputs!H84</f>
        <v>9.9</v>
      </c>
      <c r="I38" s="94">
        <f xml:space="preserve"> Inputs!I84</f>
        <v>0</v>
      </c>
      <c r="J38" s="94">
        <f xml:space="preserve"> Inputs!J84</f>
        <v>0</v>
      </c>
      <c r="K38" s="94">
        <f xml:space="preserve"> Inputs!K84</f>
        <v>0</v>
      </c>
      <c r="L38" s="94">
        <f xml:space="preserve"> Inputs!L84</f>
        <v>0</v>
      </c>
      <c r="M38" s="94">
        <f xml:space="preserve"> Inputs!M84</f>
        <v>0</v>
      </c>
      <c r="N38" s="94">
        <f xml:space="preserve"> Inputs!N84</f>
        <v>0</v>
      </c>
      <c r="O38" s="94">
        <f xml:space="preserve"> Inputs!O84</f>
        <v>0</v>
      </c>
      <c r="P38" s="94">
        <f xml:space="preserve"> Inputs!P84</f>
        <v>0</v>
      </c>
      <c r="Q38" s="94">
        <f xml:space="preserve"> Inputs!Q84</f>
        <v>6.76</v>
      </c>
      <c r="R38" s="94">
        <f xml:space="preserve"> Inputs!R84</f>
        <v>3.24</v>
      </c>
      <c r="S38" s="94">
        <f xml:space="preserve"> Inputs!S84</f>
        <v>5.14</v>
      </c>
      <c r="T38" s="94">
        <f xml:space="preserve"> Inputs!T84</f>
        <v>-5.24</v>
      </c>
      <c r="U38" s="94">
        <f xml:space="preserve"> Inputs!U84</f>
        <v>0</v>
      </c>
      <c r="V38" s="94">
        <f xml:space="preserve"> Inputs!V84</f>
        <v>0</v>
      </c>
      <c r="W38" s="94">
        <f xml:space="preserve"> Inputs!W84</f>
        <v>0</v>
      </c>
      <c r="X38" s="146"/>
    </row>
    <row r="39" spans="1:24" s="70" customFormat="1" ht="12.75" outlineLevel="1">
      <c r="C39" s="134"/>
      <c r="E39" s="36" t="s">
        <v>272</v>
      </c>
      <c r="F39" s="36"/>
      <c r="G39" s="36" t="s">
        <v>153</v>
      </c>
      <c r="H39" s="36"/>
      <c r="I39" s="37"/>
      <c r="J39" s="36">
        <f t="shared" ref="J39:W39" si="7" xml:space="preserve"> IF($F37 = 0, 0, J38 / $F37)</f>
        <v>0</v>
      </c>
      <c r="K39" s="36">
        <f t="shared" si="7"/>
        <v>0</v>
      </c>
      <c r="L39" s="36">
        <f t="shared" si="7"/>
        <v>0</v>
      </c>
      <c r="M39" s="36">
        <f t="shared" si="7"/>
        <v>0</v>
      </c>
      <c r="N39" s="36">
        <f t="shared" si="7"/>
        <v>0</v>
      </c>
      <c r="O39" s="36">
        <f t="shared" si="7"/>
        <v>0</v>
      </c>
      <c r="P39" s="36">
        <f t="shared" si="7"/>
        <v>0</v>
      </c>
      <c r="Q39" s="36">
        <f t="shared" si="7"/>
        <v>6.7599999999999993E-2</v>
      </c>
      <c r="R39" s="36">
        <f t="shared" si="7"/>
        <v>3.2400000000000005E-2</v>
      </c>
      <c r="S39" s="36">
        <f t="shared" si="7"/>
        <v>5.1399999999999994E-2</v>
      </c>
      <c r="T39" s="36">
        <f t="shared" si="7"/>
        <v>-5.2400000000000002E-2</v>
      </c>
      <c r="U39" s="36">
        <f t="shared" si="7"/>
        <v>0</v>
      </c>
      <c r="V39" s="36">
        <f t="shared" si="7"/>
        <v>0</v>
      </c>
      <c r="W39" s="36">
        <f t="shared" si="7"/>
        <v>0</v>
      </c>
    </row>
    <row r="40" spans="1:24" s="55" customFormat="1" ht="12.75" outlineLevel="1">
      <c r="C40" s="108"/>
      <c r="I40" s="9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4" s="147" customFormat="1" ht="12.75" customHeight="1" outlineLevel="1">
      <c r="A41" s="144"/>
      <c r="B41" s="144"/>
      <c r="C41" s="145"/>
      <c r="D41" s="146"/>
      <c r="E41" s="148" t="str">
        <f>E$39</f>
        <v>K - Water Res percentage</v>
      </c>
      <c r="F41" s="148">
        <f t="shared" ref="F41:W41" si="8">F$39</f>
        <v>0</v>
      </c>
      <c r="G41" s="148" t="str">
        <f t="shared" si="8"/>
        <v>%</v>
      </c>
      <c r="H41" s="148">
        <f t="shared" si="8"/>
        <v>0</v>
      </c>
      <c r="I41" s="148">
        <f t="shared" si="8"/>
        <v>0</v>
      </c>
      <c r="J41" s="148">
        <f t="shared" si="8"/>
        <v>0</v>
      </c>
      <c r="K41" s="148">
        <f t="shared" si="8"/>
        <v>0</v>
      </c>
      <c r="L41" s="148">
        <f t="shared" si="8"/>
        <v>0</v>
      </c>
      <c r="M41" s="148">
        <f t="shared" si="8"/>
        <v>0</v>
      </c>
      <c r="N41" s="148">
        <f t="shared" si="8"/>
        <v>0</v>
      </c>
      <c r="O41" s="148">
        <f t="shared" si="8"/>
        <v>0</v>
      </c>
      <c r="P41" s="148">
        <f>P$39</f>
        <v>0</v>
      </c>
      <c r="Q41" s="148">
        <f t="shared" si="8"/>
        <v>6.7599999999999993E-2</v>
      </c>
      <c r="R41" s="148">
        <f t="shared" si="8"/>
        <v>3.2400000000000005E-2</v>
      </c>
      <c r="S41" s="148">
        <f t="shared" si="8"/>
        <v>5.1399999999999994E-2</v>
      </c>
      <c r="T41" s="148">
        <f t="shared" si="8"/>
        <v>-5.2400000000000002E-2</v>
      </c>
      <c r="U41" s="148">
        <f t="shared" si="8"/>
        <v>0</v>
      </c>
      <c r="V41" s="148">
        <f t="shared" si="8"/>
        <v>0</v>
      </c>
      <c r="W41" s="148">
        <f t="shared" si="8"/>
        <v>0</v>
      </c>
      <c r="X41" s="146"/>
    </row>
    <row r="42" spans="1:24" s="70" customFormat="1" ht="12.75" outlineLevel="1">
      <c r="C42" s="134"/>
      <c r="E42" s="36" t="str">
        <f t="shared" ref="E42:W42" si="9" xml:space="preserve"> E$32</f>
        <v>Actual CPIH: Nov - Nov increase from base year</v>
      </c>
      <c r="F42" s="36">
        <f t="shared" si="9"/>
        <v>0</v>
      </c>
      <c r="G42" s="36" t="str">
        <f t="shared" si="9"/>
        <v>%</v>
      </c>
      <c r="H42" s="36">
        <f t="shared" si="9"/>
        <v>0</v>
      </c>
      <c r="I42" s="36">
        <f t="shared" si="9"/>
        <v>0</v>
      </c>
      <c r="J42" s="36">
        <f t="shared" si="9"/>
        <v>0</v>
      </c>
      <c r="K42" s="36">
        <f t="shared" si="9"/>
        <v>0</v>
      </c>
      <c r="L42" s="36">
        <f t="shared" si="9"/>
        <v>4.0040040040039138E-3</v>
      </c>
      <c r="M42" s="36">
        <f t="shared" si="9"/>
        <v>1.4955134596211339E-2</v>
      </c>
      <c r="N42" s="36">
        <f t="shared" si="9"/>
        <v>2.8487229862475427E-2</v>
      </c>
      <c r="O42" s="36">
        <f t="shared" si="9"/>
        <v>2.1012416427889313E-2</v>
      </c>
      <c r="P42" s="36">
        <f xml:space="preserve"> P$32</f>
        <v>1.4967259120673537E-2</v>
      </c>
      <c r="Q42" s="36">
        <f t="shared" si="9"/>
        <v>5.5299539170505785E-3</v>
      </c>
      <c r="R42" s="36">
        <f t="shared" si="9"/>
        <v>4.5829514207149424E-2</v>
      </c>
      <c r="S42" s="36">
        <f t="shared" si="9"/>
        <v>9.3777388255915861E-2</v>
      </c>
      <c r="T42" s="36">
        <f t="shared" si="9"/>
        <v>4.1666666666666741E-2</v>
      </c>
      <c r="U42" s="36">
        <f t="shared" si="9"/>
        <v>2.5384615384615561E-2</v>
      </c>
      <c r="V42" s="36">
        <f t="shared" si="9"/>
        <v>2.0000000000000018E-2</v>
      </c>
      <c r="W42" s="36">
        <f t="shared" si="9"/>
        <v>2.0000000000000018E-2</v>
      </c>
    </row>
    <row r="43" spans="1:24" s="5" customFormat="1" ht="12.75" customHeight="1" outlineLevel="1">
      <c r="A43" s="62"/>
      <c r="B43" s="62"/>
      <c r="C43" s="60"/>
      <c r="D43" s="157"/>
      <c r="E43" s="96" t="str">
        <f xml:space="preserve"> Time!E$56</f>
        <v>Forecast period flag</v>
      </c>
      <c r="F43" s="96">
        <f xml:space="preserve"> Time!F$56</f>
        <v>0</v>
      </c>
      <c r="G43" s="96" t="str">
        <f xml:space="preserve"> Time!G$56</f>
        <v>flag</v>
      </c>
      <c r="H43" s="96">
        <f xml:space="preserve"> Time!H$56</f>
        <v>5</v>
      </c>
      <c r="I43" s="96">
        <f xml:space="preserve"> Time!I$56</f>
        <v>0</v>
      </c>
      <c r="J43" s="96">
        <f xml:space="preserve"> Time!J$56</f>
        <v>0</v>
      </c>
      <c r="K43" s="96">
        <f xml:space="preserve"> Time!K$56</f>
        <v>0</v>
      </c>
      <c r="L43" s="96">
        <f xml:space="preserve"> Time!L$56</f>
        <v>0</v>
      </c>
      <c r="M43" s="96">
        <f xml:space="preserve"> Time!M$56</f>
        <v>0</v>
      </c>
      <c r="N43" s="96">
        <f xml:space="preserve"> Time!N$56</f>
        <v>0</v>
      </c>
      <c r="O43" s="96">
        <f xml:space="preserve"> Time!O$56</f>
        <v>0</v>
      </c>
      <c r="P43" s="96">
        <f xml:space="preserve"> Time!P$56</f>
        <v>1</v>
      </c>
      <c r="Q43" s="96">
        <f xml:space="preserve"> Time!Q$56</f>
        <v>1</v>
      </c>
      <c r="R43" s="96">
        <f xml:space="preserve"> Time!R$56</f>
        <v>1</v>
      </c>
      <c r="S43" s="96">
        <f xml:space="preserve"> Time!S$56</f>
        <v>1</v>
      </c>
      <c r="T43" s="96">
        <f xml:space="preserve"> Time!T$56</f>
        <v>1</v>
      </c>
      <c r="U43" s="96">
        <f xml:space="preserve"> Time!U$56</f>
        <v>0</v>
      </c>
      <c r="V43" s="96">
        <f xml:space="preserve"> Time!V$56</f>
        <v>0</v>
      </c>
      <c r="W43" s="96">
        <f xml:space="preserve"> Time!W$56</f>
        <v>0</v>
      </c>
    </row>
    <row r="44" spans="1:24" s="95" customFormat="1" outlineLevel="1">
      <c r="A44" s="44"/>
      <c r="B44" s="44"/>
      <c r="C44" s="45"/>
      <c r="E44" s="95" t="s">
        <v>273</v>
      </c>
      <c r="G44" s="95" t="s">
        <v>274</v>
      </c>
      <c r="I44" s="53"/>
      <c r="J44" s="227">
        <f t="shared" ref="J44:W44" si="10" xml:space="preserve"> (1 + J41 + J42) * J43</f>
        <v>0</v>
      </c>
      <c r="K44" s="227">
        <f t="shared" si="10"/>
        <v>0</v>
      </c>
      <c r="L44" s="227">
        <f t="shared" si="10"/>
        <v>0</v>
      </c>
      <c r="M44" s="227">
        <f t="shared" si="10"/>
        <v>0</v>
      </c>
      <c r="N44" s="227">
        <f t="shared" si="10"/>
        <v>0</v>
      </c>
      <c r="O44" s="227">
        <f t="shared" si="10"/>
        <v>0</v>
      </c>
      <c r="P44" s="227">
        <f xml:space="preserve"> (1 + P41 + P42) * P43</f>
        <v>1.0149672591206735</v>
      </c>
      <c r="Q44" s="227">
        <f t="shared" si="10"/>
        <v>1.0731299539170507</v>
      </c>
      <c r="R44" s="227">
        <f t="shared" si="10"/>
        <v>1.0782295142071494</v>
      </c>
      <c r="S44" s="227">
        <f t="shared" si="10"/>
        <v>1.1451773882559158</v>
      </c>
      <c r="T44" s="227">
        <f t="shared" si="10"/>
        <v>0.98926666666666674</v>
      </c>
      <c r="U44" s="227">
        <f t="shared" si="10"/>
        <v>0</v>
      </c>
      <c r="V44" s="227">
        <f t="shared" si="10"/>
        <v>0</v>
      </c>
      <c r="W44" s="227">
        <f t="shared" si="10"/>
        <v>0</v>
      </c>
    </row>
    <row r="45" spans="1:24" s="95" customFormat="1" outlineLevel="1">
      <c r="A45" s="44"/>
      <c r="B45" s="44"/>
      <c r="C45" s="45"/>
      <c r="I45" s="53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  <row r="46" spans="1:24" s="55" customFormat="1" outlineLevel="1">
      <c r="B46" s="61" t="s">
        <v>275</v>
      </c>
      <c r="I46" s="99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4" s="92" customFormat="1" ht="12.75" outlineLevel="1">
      <c r="C47" s="51"/>
      <c r="E47" s="110" t="str">
        <f xml:space="preserve"> Inputs!E$156</f>
        <v>Unit conversion to percentage</v>
      </c>
      <c r="F47" s="110">
        <f xml:space="preserve"> Inputs!F$156</f>
        <v>100</v>
      </c>
      <c r="G47" s="110" t="str">
        <f xml:space="preserve"> Inputs!G$156</f>
        <v>#</v>
      </c>
      <c r="H47" s="110">
        <f xml:space="preserve"> Inputs!H$156</f>
        <v>0</v>
      </c>
      <c r="I47" s="110">
        <f xml:space="preserve"> Inputs!I$156</f>
        <v>0</v>
      </c>
      <c r="J47" s="110">
        <f xml:space="preserve"> Inputs!J$156</f>
        <v>0</v>
      </c>
      <c r="K47" s="110">
        <f xml:space="preserve"> Inputs!K$156</f>
        <v>0</v>
      </c>
      <c r="L47" s="110">
        <f xml:space="preserve"> Inputs!L$156</f>
        <v>0</v>
      </c>
      <c r="M47" s="110">
        <f xml:space="preserve"> Inputs!M$156</f>
        <v>0</v>
      </c>
      <c r="N47" s="110">
        <f xml:space="preserve"> Inputs!N$156</f>
        <v>0</v>
      </c>
      <c r="O47" s="110">
        <f xml:space="preserve"> Inputs!O$156</f>
        <v>0</v>
      </c>
      <c r="P47" s="110">
        <f xml:space="preserve"> Inputs!P$156</f>
        <v>0</v>
      </c>
      <c r="Q47" s="110">
        <f xml:space="preserve"> Inputs!Q$156</f>
        <v>0</v>
      </c>
      <c r="R47" s="110">
        <f xml:space="preserve"> Inputs!R$156</f>
        <v>0</v>
      </c>
      <c r="S47" s="110">
        <f xml:space="preserve"> Inputs!S$156</f>
        <v>0</v>
      </c>
      <c r="T47" s="110">
        <f xml:space="preserve"> Inputs!T$156</f>
        <v>0</v>
      </c>
      <c r="U47" s="110">
        <f xml:space="preserve"> Inputs!U$156</f>
        <v>0</v>
      </c>
      <c r="V47" s="110">
        <f xml:space="preserve"> Inputs!V$156</f>
        <v>0</v>
      </c>
      <c r="W47" s="110">
        <f xml:space="preserve"> Inputs!W$156</f>
        <v>0</v>
      </c>
    </row>
    <row r="48" spans="1:24" s="147" customFormat="1" ht="12.75" customHeight="1" outlineLevel="1">
      <c r="A48" s="144"/>
      <c r="B48" s="144"/>
      <c r="C48" s="145"/>
      <c r="D48" s="146"/>
      <c r="E48" s="94" t="str">
        <f xml:space="preserve"> Inputs!E$102</f>
        <v>Revised K - Water-N+</v>
      </c>
      <c r="F48" s="94">
        <f xml:space="preserve"> Inputs!F$102</f>
        <v>0</v>
      </c>
      <c r="G48" s="94" t="str">
        <f xml:space="preserve"> Inputs!G$102</f>
        <v>#</v>
      </c>
      <c r="H48" s="94">
        <f xml:space="preserve"> Inputs!H$102</f>
        <v>-16.75</v>
      </c>
      <c r="I48" s="94">
        <f xml:space="preserve"> Inputs!I$102</f>
        <v>0</v>
      </c>
      <c r="J48" s="94">
        <f xml:space="preserve"> Inputs!J$102</f>
        <v>0</v>
      </c>
      <c r="K48" s="94">
        <f xml:space="preserve"> Inputs!K$102</f>
        <v>0</v>
      </c>
      <c r="L48" s="94">
        <f xml:space="preserve"> Inputs!L$102</f>
        <v>0</v>
      </c>
      <c r="M48" s="94">
        <f xml:space="preserve"> Inputs!M$102</f>
        <v>0</v>
      </c>
      <c r="N48" s="94">
        <f xml:space="preserve"> Inputs!N$102</f>
        <v>0</v>
      </c>
      <c r="O48" s="94">
        <f xml:space="preserve"> Inputs!O$102</f>
        <v>0</v>
      </c>
      <c r="P48" s="94">
        <f xml:space="preserve"> Inputs!P$102</f>
        <v>0</v>
      </c>
      <c r="Q48" s="94">
        <f xml:space="preserve"> Inputs!Q$102</f>
        <v>-5.71</v>
      </c>
      <c r="R48" s="94">
        <f xml:space="preserve"> Inputs!R$102</f>
        <v>-1.25</v>
      </c>
      <c r="S48" s="94">
        <f xml:space="preserve"> Inputs!S$102</f>
        <v>-2.8</v>
      </c>
      <c r="T48" s="94">
        <f xml:space="preserve"> Inputs!T$102</f>
        <v>-6.99</v>
      </c>
      <c r="U48" s="94">
        <f xml:space="preserve"> Inputs!U$102</f>
        <v>0</v>
      </c>
      <c r="V48" s="94">
        <f xml:space="preserve"> Inputs!V$102</f>
        <v>0</v>
      </c>
      <c r="W48" s="94">
        <f xml:space="preserve"> Inputs!W$102</f>
        <v>0</v>
      </c>
      <c r="X48" s="146"/>
    </row>
    <row r="49" spans="1:23" s="70" customFormat="1" ht="12.75" outlineLevel="1">
      <c r="C49" s="134"/>
      <c r="E49" s="36" t="s">
        <v>276</v>
      </c>
      <c r="F49" s="36"/>
      <c r="G49" s="36" t="s">
        <v>153</v>
      </c>
      <c r="H49" s="36"/>
      <c r="I49" s="37"/>
      <c r="J49" s="36">
        <f t="shared" ref="J49:W49" si="11" xml:space="preserve"> IF($F47 = 0, 0, J48 / $F47)</f>
        <v>0</v>
      </c>
      <c r="K49" s="36">
        <f t="shared" si="11"/>
        <v>0</v>
      </c>
      <c r="L49" s="36">
        <f t="shared" si="11"/>
        <v>0</v>
      </c>
      <c r="M49" s="36">
        <f t="shared" si="11"/>
        <v>0</v>
      </c>
      <c r="N49" s="36">
        <f t="shared" si="11"/>
        <v>0</v>
      </c>
      <c r="O49" s="36">
        <f t="shared" si="11"/>
        <v>0</v>
      </c>
      <c r="P49" s="36">
        <f t="shared" si="11"/>
        <v>0</v>
      </c>
      <c r="Q49" s="36">
        <f t="shared" si="11"/>
        <v>-5.7099999999999998E-2</v>
      </c>
      <c r="R49" s="36">
        <f t="shared" si="11"/>
        <v>-1.2500000000000001E-2</v>
      </c>
      <c r="S49" s="36">
        <f t="shared" si="11"/>
        <v>-2.7999999999999997E-2</v>
      </c>
      <c r="T49" s="36">
        <f t="shared" si="11"/>
        <v>-6.9900000000000004E-2</v>
      </c>
      <c r="U49" s="36">
        <f t="shared" si="11"/>
        <v>0</v>
      </c>
      <c r="V49" s="36">
        <f t="shared" si="11"/>
        <v>0</v>
      </c>
      <c r="W49" s="36">
        <f t="shared" si="11"/>
        <v>0</v>
      </c>
    </row>
    <row r="50" spans="1:23" s="55" customFormat="1" ht="12.75" outlineLevel="1">
      <c r="C50" s="108"/>
      <c r="I50" s="9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s="147" customFormat="1" ht="12.75" customHeight="1" outlineLevel="1">
      <c r="A51" s="144"/>
      <c r="B51" s="144"/>
      <c r="C51" s="145"/>
      <c r="D51" s="146"/>
      <c r="E51" s="148" t="str">
        <f t="shared" ref="E51:W51" si="12" xml:space="preserve"> E$49</f>
        <v>K - Water-N+ percentage</v>
      </c>
      <c r="F51" s="148">
        <f t="shared" si="12"/>
        <v>0</v>
      </c>
      <c r="G51" s="148" t="str">
        <f t="shared" si="12"/>
        <v>%</v>
      </c>
      <c r="H51" s="148">
        <f t="shared" si="12"/>
        <v>0</v>
      </c>
      <c r="I51" s="148">
        <f t="shared" si="12"/>
        <v>0</v>
      </c>
      <c r="J51" s="148">
        <f t="shared" si="12"/>
        <v>0</v>
      </c>
      <c r="K51" s="148">
        <f t="shared" si="12"/>
        <v>0</v>
      </c>
      <c r="L51" s="148">
        <f t="shared" si="12"/>
        <v>0</v>
      </c>
      <c r="M51" s="148">
        <f t="shared" si="12"/>
        <v>0</v>
      </c>
      <c r="N51" s="148">
        <f t="shared" si="12"/>
        <v>0</v>
      </c>
      <c r="O51" s="148">
        <f t="shared" si="12"/>
        <v>0</v>
      </c>
      <c r="P51" s="148">
        <f t="shared" si="12"/>
        <v>0</v>
      </c>
      <c r="Q51" s="148">
        <f t="shared" si="12"/>
        <v>-5.7099999999999998E-2</v>
      </c>
      <c r="R51" s="148">
        <f t="shared" si="12"/>
        <v>-1.2500000000000001E-2</v>
      </c>
      <c r="S51" s="148">
        <f t="shared" si="12"/>
        <v>-2.7999999999999997E-2</v>
      </c>
      <c r="T51" s="148">
        <f t="shared" si="12"/>
        <v>-6.9900000000000004E-2</v>
      </c>
      <c r="U51" s="148">
        <f t="shared" si="12"/>
        <v>0</v>
      </c>
      <c r="V51" s="148">
        <f t="shared" si="12"/>
        <v>0</v>
      </c>
      <c r="W51" s="148">
        <f t="shared" si="12"/>
        <v>0</v>
      </c>
    </row>
    <row r="52" spans="1:23" s="70" customFormat="1" ht="12.75" outlineLevel="1">
      <c r="C52" s="134"/>
      <c r="E52" s="36" t="str">
        <f t="shared" ref="E52:W52" si="13" xml:space="preserve"> E$32</f>
        <v>Actual CPIH: Nov - Nov increase from base year</v>
      </c>
      <c r="F52" s="36">
        <f t="shared" si="13"/>
        <v>0</v>
      </c>
      <c r="G52" s="36" t="str">
        <f t="shared" si="13"/>
        <v>%</v>
      </c>
      <c r="H52" s="36">
        <f t="shared" si="13"/>
        <v>0</v>
      </c>
      <c r="I52" s="36">
        <f t="shared" si="13"/>
        <v>0</v>
      </c>
      <c r="J52" s="36">
        <f t="shared" si="13"/>
        <v>0</v>
      </c>
      <c r="K52" s="36">
        <f t="shared" si="13"/>
        <v>0</v>
      </c>
      <c r="L52" s="36">
        <f t="shared" si="13"/>
        <v>4.0040040040039138E-3</v>
      </c>
      <c r="M52" s="36">
        <f t="shared" si="13"/>
        <v>1.4955134596211339E-2</v>
      </c>
      <c r="N52" s="36">
        <f t="shared" si="13"/>
        <v>2.8487229862475427E-2</v>
      </c>
      <c r="O52" s="36">
        <f t="shared" si="13"/>
        <v>2.1012416427889313E-2</v>
      </c>
      <c r="P52" s="36">
        <f t="shared" si="13"/>
        <v>1.4967259120673537E-2</v>
      </c>
      <c r="Q52" s="36">
        <f t="shared" si="13"/>
        <v>5.5299539170505785E-3</v>
      </c>
      <c r="R52" s="36">
        <f t="shared" si="13"/>
        <v>4.5829514207149424E-2</v>
      </c>
      <c r="S52" s="36">
        <f t="shared" si="13"/>
        <v>9.3777388255915861E-2</v>
      </c>
      <c r="T52" s="36">
        <f t="shared" si="13"/>
        <v>4.1666666666666741E-2</v>
      </c>
      <c r="U52" s="36">
        <f t="shared" si="13"/>
        <v>2.5384615384615561E-2</v>
      </c>
      <c r="V52" s="36">
        <f t="shared" si="13"/>
        <v>2.0000000000000018E-2</v>
      </c>
      <c r="W52" s="36">
        <f t="shared" si="13"/>
        <v>2.0000000000000018E-2</v>
      </c>
    </row>
    <row r="53" spans="1:23" s="5" customFormat="1" ht="12.75" customHeight="1" outlineLevel="1">
      <c r="A53" s="62"/>
      <c r="B53" s="62"/>
      <c r="C53" s="60"/>
      <c r="D53" s="157"/>
      <c r="E53" s="96" t="str">
        <f xml:space="preserve"> Time!E$56</f>
        <v>Forecast period flag</v>
      </c>
      <c r="F53" s="96">
        <f xml:space="preserve"> Time!F$56</f>
        <v>0</v>
      </c>
      <c r="G53" s="96" t="str">
        <f xml:space="preserve"> Time!G$56</f>
        <v>flag</v>
      </c>
      <c r="H53" s="96">
        <f xml:space="preserve"> Time!H$56</f>
        <v>5</v>
      </c>
      <c r="I53" s="96">
        <f xml:space="preserve"> Time!I$56</f>
        <v>0</v>
      </c>
      <c r="J53" s="96">
        <f xml:space="preserve"> Time!J$56</f>
        <v>0</v>
      </c>
      <c r="K53" s="96">
        <f xml:space="preserve"> Time!K$56</f>
        <v>0</v>
      </c>
      <c r="L53" s="96">
        <f xml:space="preserve"> Time!L$56</f>
        <v>0</v>
      </c>
      <c r="M53" s="96">
        <f xml:space="preserve"> Time!M$56</f>
        <v>0</v>
      </c>
      <c r="N53" s="96">
        <f xml:space="preserve"> Time!N$56</f>
        <v>0</v>
      </c>
      <c r="O53" s="96">
        <f xml:space="preserve"> Time!O$56</f>
        <v>0</v>
      </c>
      <c r="P53" s="96">
        <f xml:space="preserve"> Time!P$56</f>
        <v>1</v>
      </c>
      <c r="Q53" s="96">
        <f xml:space="preserve"> Time!Q$56</f>
        <v>1</v>
      </c>
      <c r="R53" s="96">
        <f xml:space="preserve"> Time!R$56</f>
        <v>1</v>
      </c>
      <c r="S53" s="96">
        <f xml:space="preserve"> Time!S$56</f>
        <v>1</v>
      </c>
      <c r="T53" s="96">
        <f xml:space="preserve"> Time!T$56</f>
        <v>1</v>
      </c>
      <c r="U53" s="96">
        <f xml:space="preserve"> Time!U$56</f>
        <v>0</v>
      </c>
      <c r="V53" s="96">
        <f xml:space="preserve"> Time!V$56</f>
        <v>0</v>
      </c>
      <c r="W53" s="96">
        <f xml:space="preserve"> Time!W$56</f>
        <v>0</v>
      </c>
    </row>
    <row r="54" spans="1:23" s="95" customFormat="1" outlineLevel="1">
      <c r="A54" s="44"/>
      <c r="B54" s="44"/>
      <c r="C54" s="45"/>
      <c r="E54" s="95" t="s">
        <v>277</v>
      </c>
      <c r="G54" s="95" t="s">
        <v>274</v>
      </c>
      <c r="I54" s="53"/>
      <c r="J54" s="227">
        <f t="shared" ref="J54:W54" si="14" xml:space="preserve"> (1 + J51 + J52) * J53</f>
        <v>0</v>
      </c>
      <c r="K54" s="227">
        <f t="shared" si="14"/>
        <v>0</v>
      </c>
      <c r="L54" s="227">
        <f t="shared" si="14"/>
        <v>0</v>
      </c>
      <c r="M54" s="227">
        <f t="shared" si="14"/>
        <v>0</v>
      </c>
      <c r="N54" s="227">
        <f t="shared" si="14"/>
        <v>0</v>
      </c>
      <c r="O54" s="227">
        <f t="shared" si="14"/>
        <v>0</v>
      </c>
      <c r="P54" s="227">
        <f xml:space="preserve"> (1 + P51 + P52) * P53</f>
        <v>1.0149672591206735</v>
      </c>
      <c r="Q54" s="227">
        <f t="shared" si="14"/>
        <v>0.94842995391705054</v>
      </c>
      <c r="R54" s="227">
        <f t="shared" si="14"/>
        <v>1.0333295142071495</v>
      </c>
      <c r="S54" s="227">
        <f t="shared" si="14"/>
        <v>1.0657773882559158</v>
      </c>
      <c r="T54" s="227">
        <f t="shared" si="14"/>
        <v>0.97176666666666678</v>
      </c>
      <c r="U54" s="227">
        <f t="shared" si="14"/>
        <v>0</v>
      </c>
      <c r="V54" s="227">
        <f t="shared" si="14"/>
        <v>0</v>
      </c>
      <c r="W54" s="227">
        <f t="shared" si="14"/>
        <v>0</v>
      </c>
    </row>
    <row r="55" spans="1:23" s="95" customFormat="1" outlineLevel="1">
      <c r="A55" s="44"/>
      <c r="B55" s="44"/>
      <c r="C55" s="45"/>
      <c r="I55" s="53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</row>
    <row r="56" spans="1:23" outlineLevel="1">
      <c r="B56" s="61" t="s">
        <v>278</v>
      </c>
      <c r="J56" s="31"/>
      <c r="K56" s="31"/>
      <c r="L56" s="31"/>
      <c r="M56" s="31"/>
      <c r="N56" s="18"/>
      <c r="O56" s="18"/>
      <c r="P56" s="18"/>
      <c r="Q56" s="18"/>
      <c r="R56" s="18"/>
      <c r="S56" s="31"/>
      <c r="T56" s="31"/>
      <c r="U56" s="31"/>
      <c r="V56" s="31"/>
      <c r="W56" s="31"/>
    </row>
    <row r="57" spans="1:23" s="92" customFormat="1" ht="12.75" outlineLevel="1">
      <c r="C57" s="51"/>
      <c r="E57" s="110" t="str">
        <f xml:space="preserve"> Inputs!E$156</f>
        <v>Unit conversion to percentage</v>
      </c>
      <c r="F57" s="110">
        <f xml:space="preserve"> Inputs!F$156</f>
        <v>100</v>
      </c>
      <c r="G57" s="110" t="str">
        <f xml:space="preserve"> Inputs!G$156</f>
        <v>#</v>
      </c>
      <c r="H57" s="110">
        <f xml:space="preserve"> Inputs!H$156</f>
        <v>0</v>
      </c>
      <c r="I57" s="110">
        <f xml:space="preserve"> Inputs!I$156</f>
        <v>0</v>
      </c>
      <c r="J57" s="110">
        <f xml:space="preserve"> Inputs!J$156</f>
        <v>0</v>
      </c>
      <c r="K57" s="110">
        <f xml:space="preserve"> Inputs!K$156</f>
        <v>0</v>
      </c>
      <c r="L57" s="110">
        <f xml:space="preserve"> Inputs!L$156</f>
        <v>0</v>
      </c>
      <c r="M57" s="110">
        <f xml:space="preserve"> Inputs!M$156</f>
        <v>0</v>
      </c>
      <c r="N57" s="110">
        <f xml:space="preserve"> Inputs!N$156</f>
        <v>0</v>
      </c>
      <c r="O57" s="110">
        <f xml:space="preserve"> Inputs!O$156</f>
        <v>0</v>
      </c>
      <c r="P57" s="110">
        <f xml:space="preserve"> Inputs!P$156</f>
        <v>0</v>
      </c>
      <c r="Q57" s="110">
        <f xml:space="preserve"> Inputs!Q$156</f>
        <v>0</v>
      </c>
      <c r="R57" s="110">
        <f xml:space="preserve"> Inputs!R$156</f>
        <v>0</v>
      </c>
      <c r="S57" s="110">
        <f xml:space="preserve"> Inputs!S$156</f>
        <v>0</v>
      </c>
      <c r="T57" s="110">
        <f xml:space="preserve"> Inputs!T$156</f>
        <v>0</v>
      </c>
      <c r="U57" s="110">
        <f xml:space="preserve"> Inputs!U$156</f>
        <v>0</v>
      </c>
      <c r="V57" s="110">
        <f xml:space="preserve"> Inputs!V$156</f>
        <v>0</v>
      </c>
      <c r="W57" s="110">
        <f xml:space="preserve"> Inputs!W$156</f>
        <v>0</v>
      </c>
    </row>
    <row r="58" spans="1:23" s="147" customFormat="1" ht="12.75" customHeight="1" outlineLevel="1">
      <c r="A58" s="144"/>
      <c r="B58" s="144"/>
      <c r="C58" s="145"/>
      <c r="D58" s="146"/>
      <c r="E58" s="94" t="str">
        <f xml:space="preserve"> Inputs!E$122</f>
        <v>Revised K - WW-N+</v>
      </c>
      <c r="F58" s="94">
        <f xml:space="preserve"> Inputs!F$122</f>
        <v>0</v>
      </c>
      <c r="G58" s="94" t="str">
        <f xml:space="preserve"> Inputs!G$122</f>
        <v>#</v>
      </c>
      <c r="H58" s="94">
        <f xml:space="preserve"> Inputs!H$122</f>
        <v>-4.03</v>
      </c>
      <c r="I58" s="94">
        <f xml:space="preserve"> Inputs!I$122</f>
        <v>0</v>
      </c>
      <c r="J58" s="94">
        <f xml:space="preserve"> Inputs!J$122</f>
        <v>0</v>
      </c>
      <c r="K58" s="94">
        <f xml:space="preserve"> Inputs!K$122</f>
        <v>0</v>
      </c>
      <c r="L58" s="94">
        <f xml:space="preserve"> Inputs!L$122</f>
        <v>0</v>
      </c>
      <c r="M58" s="94">
        <f xml:space="preserve"> Inputs!M$122</f>
        <v>0</v>
      </c>
      <c r="N58" s="94">
        <f xml:space="preserve"> Inputs!N$122</f>
        <v>0</v>
      </c>
      <c r="O58" s="94">
        <f xml:space="preserve"> Inputs!O$122</f>
        <v>0</v>
      </c>
      <c r="P58" s="94">
        <f xml:space="preserve"> Inputs!P$122</f>
        <v>0</v>
      </c>
      <c r="Q58" s="94">
        <f xml:space="preserve"> Inputs!Q$122</f>
        <v>-0.3</v>
      </c>
      <c r="R58" s="94">
        <f xml:space="preserve"> Inputs!R$122</f>
        <v>-1.31</v>
      </c>
      <c r="S58" s="94">
        <f xml:space="preserve"> Inputs!S$122</f>
        <v>-1.05</v>
      </c>
      <c r="T58" s="94">
        <f xml:space="preserve"> Inputs!T$122</f>
        <v>-1.37</v>
      </c>
      <c r="U58" s="94">
        <f xml:space="preserve"> Inputs!U$122</f>
        <v>0</v>
      </c>
      <c r="V58" s="94">
        <f xml:space="preserve"> Inputs!V$122</f>
        <v>0</v>
      </c>
      <c r="W58" s="94">
        <f xml:space="preserve"> Inputs!W$122</f>
        <v>0</v>
      </c>
    </row>
    <row r="59" spans="1:23" s="70" customFormat="1" ht="12.75" outlineLevel="1">
      <c r="C59" s="134"/>
      <c r="E59" s="36" t="s">
        <v>279</v>
      </c>
      <c r="F59" s="36"/>
      <c r="G59" s="36" t="s">
        <v>153</v>
      </c>
      <c r="H59" s="36"/>
      <c r="I59" s="37"/>
      <c r="J59" s="36">
        <f t="shared" ref="J59:W59" si="15" xml:space="preserve"> IF($F57 = 0, 0, J58 / $F57)</f>
        <v>0</v>
      </c>
      <c r="K59" s="36">
        <f t="shared" si="15"/>
        <v>0</v>
      </c>
      <c r="L59" s="36">
        <f t="shared" si="15"/>
        <v>0</v>
      </c>
      <c r="M59" s="36">
        <f t="shared" si="15"/>
        <v>0</v>
      </c>
      <c r="N59" s="36">
        <f t="shared" si="15"/>
        <v>0</v>
      </c>
      <c r="O59" s="36">
        <f t="shared" si="15"/>
        <v>0</v>
      </c>
      <c r="P59" s="36">
        <f t="shared" si="15"/>
        <v>0</v>
      </c>
      <c r="Q59" s="36">
        <f t="shared" si="15"/>
        <v>-3.0000000000000001E-3</v>
      </c>
      <c r="R59" s="36">
        <f t="shared" si="15"/>
        <v>-1.3100000000000001E-2</v>
      </c>
      <c r="S59" s="36">
        <f t="shared" si="15"/>
        <v>-1.0500000000000001E-2</v>
      </c>
      <c r="T59" s="36">
        <f t="shared" si="15"/>
        <v>-1.37E-2</v>
      </c>
      <c r="U59" s="36">
        <f t="shared" si="15"/>
        <v>0</v>
      </c>
      <c r="V59" s="36">
        <f t="shared" si="15"/>
        <v>0</v>
      </c>
      <c r="W59" s="36">
        <f t="shared" si="15"/>
        <v>0</v>
      </c>
    </row>
    <row r="60" spans="1:23" s="55" customFormat="1" ht="12.75" outlineLevel="1">
      <c r="C60" s="108"/>
      <c r="I60" s="9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s="147" customFormat="1" ht="12.75" customHeight="1" outlineLevel="1">
      <c r="A61" s="144"/>
      <c r="B61" s="144"/>
      <c r="C61" s="145"/>
      <c r="D61" s="146"/>
      <c r="E61" s="148" t="str">
        <f t="shared" ref="E61:W61" si="16" xml:space="preserve"> E$59</f>
        <v>K - WW-N+ percentage</v>
      </c>
      <c r="F61" s="148">
        <f t="shared" si="16"/>
        <v>0</v>
      </c>
      <c r="G61" s="148" t="str">
        <f t="shared" si="16"/>
        <v>%</v>
      </c>
      <c r="H61" s="148">
        <f t="shared" si="16"/>
        <v>0</v>
      </c>
      <c r="I61" s="148">
        <f t="shared" si="16"/>
        <v>0</v>
      </c>
      <c r="J61" s="148">
        <f t="shared" si="16"/>
        <v>0</v>
      </c>
      <c r="K61" s="148">
        <f t="shared" si="16"/>
        <v>0</v>
      </c>
      <c r="L61" s="148">
        <f t="shared" si="16"/>
        <v>0</v>
      </c>
      <c r="M61" s="148">
        <f t="shared" si="16"/>
        <v>0</v>
      </c>
      <c r="N61" s="148">
        <f t="shared" si="16"/>
        <v>0</v>
      </c>
      <c r="O61" s="148">
        <f t="shared" si="16"/>
        <v>0</v>
      </c>
      <c r="P61" s="148">
        <f t="shared" si="16"/>
        <v>0</v>
      </c>
      <c r="Q61" s="148">
        <f t="shared" si="16"/>
        <v>-3.0000000000000001E-3</v>
      </c>
      <c r="R61" s="148">
        <f t="shared" si="16"/>
        <v>-1.3100000000000001E-2</v>
      </c>
      <c r="S61" s="148">
        <f t="shared" si="16"/>
        <v>-1.0500000000000001E-2</v>
      </c>
      <c r="T61" s="148">
        <f t="shared" si="16"/>
        <v>-1.37E-2</v>
      </c>
      <c r="U61" s="148">
        <f t="shared" si="16"/>
        <v>0</v>
      </c>
      <c r="V61" s="148">
        <f t="shared" si="16"/>
        <v>0</v>
      </c>
      <c r="W61" s="148">
        <f t="shared" si="16"/>
        <v>0</v>
      </c>
    </row>
    <row r="62" spans="1:23" s="70" customFormat="1" ht="12.75" outlineLevel="1">
      <c r="C62" s="134"/>
      <c r="E62" s="36" t="str">
        <f t="shared" ref="E62:W62" si="17" xml:space="preserve"> E$32</f>
        <v>Actual CPIH: Nov - Nov increase from base year</v>
      </c>
      <c r="F62" s="36">
        <f t="shared" si="17"/>
        <v>0</v>
      </c>
      <c r="G62" s="36" t="str">
        <f t="shared" si="17"/>
        <v>%</v>
      </c>
      <c r="H62" s="36">
        <f t="shared" si="17"/>
        <v>0</v>
      </c>
      <c r="I62" s="36">
        <f t="shared" si="17"/>
        <v>0</v>
      </c>
      <c r="J62" s="36">
        <f t="shared" si="17"/>
        <v>0</v>
      </c>
      <c r="K62" s="36">
        <f t="shared" si="17"/>
        <v>0</v>
      </c>
      <c r="L62" s="36">
        <f t="shared" si="17"/>
        <v>4.0040040040039138E-3</v>
      </c>
      <c r="M62" s="36">
        <f t="shared" si="17"/>
        <v>1.4955134596211339E-2</v>
      </c>
      <c r="N62" s="36">
        <f t="shared" si="17"/>
        <v>2.8487229862475427E-2</v>
      </c>
      <c r="O62" s="36">
        <f t="shared" si="17"/>
        <v>2.1012416427889313E-2</v>
      </c>
      <c r="P62" s="36">
        <f xml:space="preserve"> P$32</f>
        <v>1.4967259120673537E-2</v>
      </c>
      <c r="Q62" s="36">
        <f t="shared" si="17"/>
        <v>5.5299539170505785E-3</v>
      </c>
      <c r="R62" s="36">
        <f t="shared" si="17"/>
        <v>4.5829514207149424E-2</v>
      </c>
      <c r="S62" s="36">
        <f t="shared" si="17"/>
        <v>9.3777388255915861E-2</v>
      </c>
      <c r="T62" s="36">
        <f t="shared" si="17"/>
        <v>4.1666666666666741E-2</v>
      </c>
      <c r="U62" s="36">
        <f t="shared" si="17"/>
        <v>2.5384615384615561E-2</v>
      </c>
      <c r="V62" s="36">
        <f t="shared" si="17"/>
        <v>2.0000000000000018E-2</v>
      </c>
      <c r="W62" s="36">
        <f t="shared" si="17"/>
        <v>2.0000000000000018E-2</v>
      </c>
    </row>
    <row r="63" spans="1:23" s="5" customFormat="1" ht="12.75" customHeight="1" outlineLevel="1">
      <c r="A63" s="62"/>
      <c r="B63" s="62"/>
      <c r="C63" s="60"/>
      <c r="D63" s="157"/>
      <c r="E63" s="96" t="str">
        <f xml:space="preserve"> Time!E$56</f>
        <v>Forecast period flag</v>
      </c>
      <c r="F63" s="96">
        <f xml:space="preserve"> Time!F$56</f>
        <v>0</v>
      </c>
      <c r="G63" s="96" t="str">
        <f xml:space="preserve"> Time!G$56</f>
        <v>flag</v>
      </c>
      <c r="H63" s="96">
        <f xml:space="preserve"> Time!H$56</f>
        <v>5</v>
      </c>
      <c r="I63" s="96">
        <f xml:space="preserve"> Time!I$56</f>
        <v>0</v>
      </c>
      <c r="J63" s="96">
        <f xml:space="preserve"> Time!J$56</f>
        <v>0</v>
      </c>
      <c r="K63" s="96">
        <f xml:space="preserve"> Time!K$56</f>
        <v>0</v>
      </c>
      <c r="L63" s="96">
        <f xml:space="preserve"> Time!L$56</f>
        <v>0</v>
      </c>
      <c r="M63" s="96">
        <f xml:space="preserve"> Time!M$56</f>
        <v>0</v>
      </c>
      <c r="N63" s="96">
        <f xml:space="preserve"> Time!N$56</f>
        <v>0</v>
      </c>
      <c r="O63" s="96">
        <f xml:space="preserve"> Time!O$56</f>
        <v>0</v>
      </c>
      <c r="P63" s="96">
        <f xml:space="preserve"> Time!P$56</f>
        <v>1</v>
      </c>
      <c r="Q63" s="96">
        <f xml:space="preserve"> Time!Q$56</f>
        <v>1</v>
      </c>
      <c r="R63" s="96">
        <f xml:space="preserve"> Time!R$56</f>
        <v>1</v>
      </c>
      <c r="S63" s="96">
        <f xml:space="preserve"> Time!S$56</f>
        <v>1</v>
      </c>
      <c r="T63" s="96">
        <f xml:space="preserve"> Time!T$56</f>
        <v>1</v>
      </c>
      <c r="U63" s="96">
        <f xml:space="preserve"> Time!U$56</f>
        <v>0</v>
      </c>
      <c r="V63" s="96">
        <f xml:space="preserve"> Time!V$56</f>
        <v>0</v>
      </c>
      <c r="W63" s="96">
        <f xml:space="preserve"> Time!W$56</f>
        <v>0</v>
      </c>
    </row>
    <row r="64" spans="1:23" s="95" customFormat="1" outlineLevel="1">
      <c r="A64" s="44"/>
      <c r="B64" s="44"/>
      <c r="C64" s="45"/>
      <c r="E64" s="95" t="s">
        <v>280</v>
      </c>
      <c r="G64" s="95" t="s">
        <v>274</v>
      </c>
      <c r="I64" s="53"/>
      <c r="J64" s="227">
        <f t="shared" ref="J64:W64" si="18" xml:space="preserve"> (1 + J61 + J62) * J63</f>
        <v>0</v>
      </c>
      <c r="K64" s="227">
        <f t="shared" si="18"/>
        <v>0</v>
      </c>
      <c r="L64" s="227">
        <f t="shared" si="18"/>
        <v>0</v>
      </c>
      <c r="M64" s="227">
        <f xml:space="preserve"> (1 + M61 + M62) * M63</f>
        <v>0</v>
      </c>
      <c r="N64" s="227">
        <f t="shared" si="18"/>
        <v>0</v>
      </c>
      <c r="O64" s="227">
        <f t="shared" si="18"/>
        <v>0</v>
      </c>
      <c r="P64" s="227">
        <f xml:space="preserve"> (1 + P61 + P62) * P63</f>
        <v>1.0149672591206735</v>
      </c>
      <c r="Q64" s="227">
        <f t="shared" si="18"/>
        <v>1.0025299539170507</v>
      </c>
      <c r="R64" s="227">
        <f t="shared" si="18"/>
        <v>1.0327295142071495</v>
      </c>
      <c r="S64" s="227">
        <f t="shared" si="18"/>
        <v>1.0832773882559159</v>
      </c>
      <c r="T64" s="227">
        <f t="shared" si="18"/>
        <v>1.0279666666666667</v>
      </c>
      <c r="U64" s="227">
        <f t="shared" si="18"/>
        <v>0</v>
      </c>
      <c r="V64" s="227">
        <f t="shared" si="18"/>
        <v>0</v>
      </c>
      <c r="W64" s="227">
        <f t="shared" si="18"/>
        <v>0</v>
      </c>
    </row>
    <row r="65" spans="1:23" outlineLevel="1">
      <c r="J65" s="31"/>
      <c r="K65" s="31"/>
      <c r="L65" s="31"/>
      <c r="M65" s="31"/>
      <c r="N65" s="18"/>
      <c r="O65" s="18"/>
      <c r="P65" s="18"/>
      <c r="Q65" s="18"/>
      <c r="R65" s="18"/>
      <c r="S65" s="31"/>
      <c r="T65" s="31"/>
      <c r="U65" s="31"/>
      <c r="V65" s="31"/>
      <c r="W65" s="31"/>
    </row>
    <row r="66" spans="1:23" outlineLevel="1">
      <c r="B66" s="61" t="s">
        <v>281</v>
      </c>
      <c r="J66" s="31"/>
      <c r="K66" s="31"/>
      <c r="L66" s="31"/>
      <c r="M66" s="31"/>
      <c r="N66" s="18"/>
      <c r="O66" s="18"/>
      <c r="P66" s="18"/>
      <c r="Q66" s="18"/>
      <c r="R66" s="18"/>
      <c r="S66" s="31"/>
      <c r="T66" s="31"/>
      <c r="U66" s="31"/>
      <c r="V66" s="31"/>
      <c r="W66" s="31"/>
    </row>
    <row r="67" spans="1:23" s="92" customFormat="1" ht="12.75" outlineLevel="1">
      <c r="C67" s="51"/>
      <c r="E67" s="110" t="str">
        <f xml:space="preserve"> Inputs!E$156</f>
        <v>Unit conversion to percentage</v>
      </c>
      <c r="F67" s="110">
        <f xml:space="preserve"> Inputs!F$156</f>
        <v>100</v>
      </c>
      <c r="G67" s="110" t="str">
        <f xml:space="preserve"> Inputs!G$156</f>
        <v>#</v>
      </c>
      <c r="H67" s="110">
        <f xml:space="preserve"> Inputs!H$156</f>
        <v>0</v>
      </c>
      <c r="I67" s="110">
        <f xml:space="preserve"> Inputs!I$156</f>
        <v>0</v>
      </c>
      <c r="J67" s="110">
        <f xml:space="preserve"> Inputs!J$156</f>
        <v>0</v>
      </c>
      <c r="K67" s="110">
        <f xml:space="preserve"> Inputs!K$156</f>
        <v>0</v>
      </c>
      <c r="L67" s="110">
        <f xml:space="preserve"> Inputs!L$156</f>
        <v>0</v>
      </c>
      <c r="M67" s="110">
        <f xml:space="preserve"> Inputs!M$156</f>
        <v>0</v>
      </c>
      <c r="N67" s="110">
        <f xml:space="preserve"> Inputs!N$156</f>
        <v>0</v>
      </c>
      <c r="O67" s="110">
        <f xml:space="preserve"> Inputs!O$156</f>
        <v>0</v>
      </c>
      <c r="P67" s="110">
        <f xml:space="preserve"> Inputs!P$156</f>
        <v>0</v>
      </c>
      <c r="Q67" s="110">
        <f xml:space="preserve"> Inputs!Q$156</f>
        <v>0</v>
      </c>
      <c r="R67" s="110">
        <f xml:space="preserve"> Inputs!R$156</f>
        <v>0</v>
      </c>
      <c r="S67" s="110">
        <f xml:space="preserve"> Inputs!S$156</f>
        <v>0</v>
      </c>
      <c r="T67" s="110">
        <f xml:space="preserve"> Inputs!T$156</f>
        <v>0</v>
      </c>
      <c r="U67" s="110">
        <f xml:space="preserve"> Inputs!U$156</f>
        <v>0</v>
      </c>
      <c r="V67" s="110">
        <f xml:space="preserve"> Inputs!V$156</f>
        <v>0</v>
      </c>
      <c r="W67" s="110">
        <f xml:space="preserve"> Inputs!W$156</f>
        <v>0</v>
      </c>
    </row>
    <row r="68" spans="1:23" s="147" customFormat="1" ht="12.75" customHeight="1" outlineLevel="1">
      <c r="A68" s="144"/>
      <c r="B68" s="144"/>
      <c r="C68" s="145"/>
      <c r="D68" s="146"/>
      <c r="E68" s="94" t="str">
        <f xml:space="preserve"> Inputs!E$140</f>
        <v>Revised K - WW-TTT</v>
      </c>
      <c r="F68" s="94">
        <f xml:space="preserve"> Inputs!F$140</f>
        <v>0</v>
      </c>
      <c r="G68" s="94" t="str">
        <f xml:space="preserve"> Inputs!G$140</f>
        <v>#</v>
      </c>
      <c r="H68" s="94">
        <f xml:space="preserve"> Inputs!H$140</f>
        <v>0</v>
      </c>
      <c r="I68" s="94">
        <f xml:space="preserve"> Inputs!I$140</f>
        <v>0</v>
      </c>
      <c r="J68" s="94">
        <f xml:space="preserve"> Inputs!J$140</f>
        <v>0</v>
      </c>
      <c r="K68" s="94">
        <f xml:space="preserve"> Inputs!K$140</f>
        <v>0</v>
      </c>
      <c r="L68" s="94">
        <f xml:space="preserve"> Inputs!L$140</f>
        <v>0</v>
      </c>
      <c r="M68" s="94">
        <f xml:space="preserve"> Inputs!M$140</f>
        <v>0</v>
      </c>
      <c r="N68" s="94">
        <f xml:space="preserve"> Inputs!N$140</f>
        <v>0</v>
      </c>
      <c r="O68" s="94">
        <f xml:space="preserve"> Inputs!O$140</f>
        <v>0</v>
      </c>
      <c r="P68" s="94">
        <f xml:space="preserve"> Inputs!P$140</f>
        <v>0</v>
      </c>
      <c r="Q68" s="94">
        <f xml:space="preserve"> Inputs!Q$140</f>
        <v>0</v>
      </c>
      <c r="R68" s="94">
        <f xml:space="preserve"> Inputs!R$140</f>
        <v>0</v>
      </c>
      <c r="S68" s="94">
        <f xml:space="preserve"> Inputs!S$140</f>
        <v>0</v>
      </c>
      <c r="T68" s="94">
        <f xml:space="preserve"> Inputs!T$140</f>
        <v>0</v>
      </c>
      <c r="U68" s="94">
        <f xml:space="preserve"> Inputs!U$140</f>
        <v>0</v>
      </c>
      <c r="V68" s="94">
        <f xml:space="preserve"> Inputs!V$140</f>
        <v>0</v>
      </c>
      <c r="W68" s="94">
        <f xml:space="preserve"> Inputs!W$140</f>
        <v>0</v>
      </c>
    </row>
    <row r="69" spans="1:23" s="70" customFormat="1" ht="12.75" outlineLevel="1">
      <c r="C69" s="134"/>
      <c r="E69" s="36" t="s">
        <v>282</v>
      </c>
      <c r="F69" s="36"/>
      <c r="G69" s="36" t="s">
        <v>153</v>
      </c>
      <c r="H69" s="36"/>
      <c r="I69" s="37"/>
      <c r="J69" s="36">
        <f t="shared" ref="J69:W69" si="19" xml:space="preserve"> IF($F67 = 0, 0, J68 / $F67)</f>
        <v>0</v>
      </c>
      <c r="K69" s="36">
        <f t="shared" si="19"/>
        <v>0</v>
      </c>
      <c r="L69" s="36">
        <f t="shared" si="19"/>
        <v>0</v>
      </c>
      <c r="M69" s="36">
        <f t="shared" si="19"/>
        <v>0</v>
      </c>
      <c r="N69" s="36">
        <f t="shared" si="19"/>
        <v>0</v>
      </c>
      <c r="O69" s="36">
        <f t="shared" si="19"/>
        <v>0</v>
      </c>
      <c r="P69" s="36">
        <f t="shared" si="19"/>
        <v>0</v>
      </c>
      <c r="Q69" s="36">
        <f t="shared" si="19"/>
        <v>0</v>
      </c>
      <c r="R69" s="36">
        <f t="shared" si="19"/>
        <v>0</v>
      </c>
      <c r="S69" s="36">
        <f t="shared" si="19"/>
        <v>0</v>
      </c>
      <c r="T69" s="36">
        <f t="shared" si="19"/>
        <v>0</v>
      </c>
      <c r="U69" s="36">
        <f t="shared" si="19"/>
        <v>0</v>
      </c>
      <c r="V69" s="36">
        <f t="shared" si="19"/>
        <v>0</v>
      </c>
      <c r="W69" s="36">
        <f t="shared" si="19"/>
        <v>0</v>
      </c>
    </row>
    <row r="70" spans="1:23" s="55" customFormat="1" ht="12.75" outlineLevel="1">
      <c r="C70" s="108"/>
      <c r="I70" s="9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s="147" customFormat="1" ht="12.75" customHeight="1" outlineLevel="1">
      <c r="A71" s="144"/>
      <c r="B71" s="144"/>
      <c r="C71" s="145"/>
      <c r="D71" s="146"/>
      <c r="E71" s="148" t="str">
        <f t="shared" ref="E71:W71" si="20" xml:space="preserve"> E$69</f>
        <v>K - WW-TTT percentage</v>
      </c>
      <c r="F71" s="148">
        <f t="shared" si="20"/>
        <v>0</v>
      </c>
      <c r="G71" s="148" t="str">
        <f t="shared" si="20"/>
        <v>%</v>
      </c>
      <c r="H71" s="148">
        <f t="shared" si="20"/>
        <v>0</v>
      </c>
      <c r="I71" s="148">
        <f t="shared" si="20"/>
        <v>0</v>
      </c>
      <c r="J71" s="148">
        <f t="shared" si="20"/>
        <v>0</v>
      </c>
      <c r="K71" s="148">
        <f t="shared" si="20"/>
        <v>0</v>
      </c>
      <c r="L71" s="148">
        <f t="shared" si="20"/>
        <v>0</v>
      </c>
      <c r="M71" s="148">
        <f t="shared" si="20"/>
        <v>0</v>
      </c>
      <c r="N71" s="148">
        <f t="shared" si="20"/>
        <v>0</v>
      </c>
      <c r="O71" s="148">
        <f t="shared" si="20"/>
        <v>0</v>
      </c>
      <c r="P71" s="148">
        <f t="shared" si="20"/>
        <v>0</v>
      </c>
      <c r="Q71" s="148">
        <f t="shared" si="20"/>
        <v>0</v>
      </c>
      <c r="R71" s="148">
        <f t="shared" si="20"/>
        <v>0</v>
      </c>
      <c r="S71" s="148">
        <f t="shared" si="20"/>
        <v>0</v>
      </c>
      <c r="T71" s="148">
        <f t="shared" si="20"/>
        <v>0</v>
      </c>
      <c r="U71" s="148">
        <f t="shared" si="20"/>
        <v>0</v>
      </c>
      <c r="V71" s="148">
        <f t="shared" si="20"/>
        <v>0</v>
      </c>
      <c r="W71" s="148">
        <f t="shared" si="20"/>
        <v>0</v>
      </c>
    </row>
    <row r="72" spans="1:23" s="70" customFormat="1" ht="12.75" outlineLevel="1">
      <c r="C72" s="134"/>
      <c r="E72" s="36" t="str">
        <f t="shared" ref="E72:W72" si="21" xml:space="preserve"> E$32</f>
        <v>Actual CPIH: Nov - Nov increase from base year</v>
      </c>
      <c r="F72" s="36">
        <f t="shared" si="21"/>
        <v>0</v>
      </c>
      <c r="G72" s="36" t="str">
        <f t="shared" si="21"/>
        <v>%</v>
      </c>
      <c r="H72" s="36">
        <f t="shared" si="21"/>
        <v>0</v>
      </c>
      <c r="I72" s="36">
        <f t="shared" si="21"/>
        <v>0</v>
      </c>
      <c r="J72" s="36">
        <f t="shared" si="21"/>
        <v>0</v>
      </c>
      <c r="K72" s="36">
        <f t="shared" si="21"/>
        <v>0</v>
      </c>
      <c r="L72" s="36">
        <f t="shared" si="21"/>
        <v>4.0040040040039138E-3</v>
      </c>
      <c r="M72" s="36">
        <f t="shared" si="21"/>
        <v>1.4955134596211339E-2</v>
      </c>
      <c r="N72" s="36">
        <f t="shared" si="21"/>
        <v>2.8487229862475427E-2</v>
      </c>
      <c r="O72" s="36">
        <f t="shared" si="21"/>
        <v>2.1012416427889313E-2</v>
      </c>
      <c r="P72" s="36">
        <f xml:space="preserve"> P$32</f>
        <v>1.4967259120673537E-2</v>
      </c>
      <c r="Q72" s="36">
        <f t="shared" si="21"/>
        <v>5.5299539170505785E-3</v>
      </c>
      <c r="R72" s="36">
        <f t="shared" si="21"/>
        <v>4.5829514207149424E-2</v>
      </c>
      <c r="S72" s="36">
        <f t="shared" si="21"/>
        <v>9.3777388255915861E-2</v>
      </c>
      <c r="T72" s="36">
        <f t="shared" si="21"/>
        <v>4.1666666666666741E-2</v>
      </c>
      <c r="U72" s="36">
        <f t="shared" si="21"/>
        <v>2.5384615384615561E-2</v>
      </c>
      <c r="V72" s="36">
        <f t="shared" si="21"/>
        <v>2.0000000000000018E-2</v>
      </c>
      <c r="W72" s="36">
        <f t="shared" si="21"/>
        <v>2.0000000000000018E-2</v>
      </c>
    </row>
    <row r="73" spans="1:23" s="5" customFormat="1" ht="12.75" customHeight="1" outlineLevel="1">
      <c r="A73" s="62"/>
      <c r="B73" s="62"/>
      <c r="C73" s="60"/>
      <c r="D73" s="157"/>
      <c r="E73" s="96" t="str">
        <f xml:space="preserve"> Time!E$56</f>
        <v>Forecast period flag</v>
      </c>
      <c r="F73" s="96">
        <f xml:space="preserve"> Time!F$56</f>
        <v>0</v>
      </c>
      <c r="G73" s="96" t="str">
        <f xml:space="preserve"> Time!G$56</f>
        <v>flag</v>
      </c>
      <c r="H73" s="96">
        <f xml:space="preserve"> Time!H$56</f>
        <v>5</v>
      </c>
      <c r="I73" s="96">
        <f xml:space="preserve"> Time!I$56</f>
        <v>0</v>
      </c>
      <c r="J73" s="96">
        <f xml:space="preserve"> Time!J$56</f>
        <v>0</v>
      </c>
      <c r="K73" s="96">
        <f xml:space="preserve"> Time!K$56</f>
        <v>0</v>
      </c>
      <c r="L73" s="96">
        <f xml:space="preserve"> Time!L$56</f>
        <v>0</v>
      </c>
      <c r="M73" s="96">
        <f xml:space="preserve"> Time!M$56</f>
        <v>0</v>
      </c>
      <c r="N73" s="96">
        <f xml:space="preserve"> Time!N$56</f>
        <v>0</v>
      </c>
      <c r="O73" s="96">
        <f xml:space="preserve"> Time!O$56</f>
        <v>0</v>
      </c>
      <c r="P73" s="96">
        <f xml:space="preserve"> Time!P$56</f>
        <v>1</v>
      </c>
      <c r="Q73" s="96">
        <f xml:space="preserve"> Time!Q$56</f>
        <v>1</v>
      </c>
      <c r="R73" s="96">
        <f xml:space="preserve"> Time!R$56</f>
        <v>1</v>
      </c>
      <c r="S73" s="96">
        <f xml:space="preserve"> Time!S$56</f>
        <v>1</v>
      </c>
      <c r="T73" s="96">
        <f xml:space="preserve"> Time!T$56</f>
        <v>1</v>
      </c>
      <c r="U73" s="96">
        <f xml:space="preserve"> Time!U$56</f>
        <v>0</v>
      </c>
      <c r="V73" s="96">
        <f xml:space="preserve"> Time!V$56</f>
        <v>0</v>
      </c>
      <c r="W73" s="96">
        <f xml:space="preserve"> Time!W$56</f>
        <v>0</v>
      </c>
    </row>
    <row r="74" spans="1:23" s="95" customFormat="1" outlineLevel="1">
      <c r="A74" s="44"/>
      <c r="B74" s="44"/>
      <c r="C74" s="45"/>
      <c r="E74" s="95" t="s">
        <v>283</v>
      </c>
      <c r="G74" s="95" t="s">
        <v>274</v>
      </c>
      <c r="I74" s="53"/>
      <c r="J74" s="227">
        <f t="shared" ref="J74:P74" si="22" xml:space="preserve"> (1 + J71 + J72) * J73</f>
        <v>0</v>
      </c>
      <c r="K74" s="227">
        <f t="shared" si="22"/>
        <v>0</v>
      </c>
      <c r="L74" s="227">
        <f t="shared" si="22"/>
        <v>0</v>
      </c>
      <c r="M74" s="227">
        <f t="shared" si="22"/>
        <v>0</v>
      </c>
      <c r="N74" s="227">
        <f t="shared" si="22"/>
        <v>0</v>
      </c>
      <c r="O74" s="227">
        <f t="shared" si="22"/>
        <v>0</v>
      </c>
      <c r="P74" s="227">
        <f t="shared" si="22"/>
        <v>1.0149672591206735</v>
      </c>
      <c r="Q74" s="227">
        <f t="shared" ref="Q74:W74" si="23" xml:space="preserve"> (1 + Q71 + Q72) * Q73</f>
        <v>1.0055299539170506</v>
      </c>
      <c r="R74" s="227">
        <f t="shared" si="23"/>
        <v>1.0458295142071494</v>
      </c>
      <c r="S74" s="227">
        <f t="shared" si="23"/>
        <v>1.0937773882559159</v>
      </c>
      <c r="T74" s="227">
        <f t="shared" si="23"/>
        <v>1.0416666666666667</v>
      </c>
      <c r="U74" s="227">
        <f t="shared" si="23"/>
        <v>0</v>
      </c>
      <c r="V74" s="227">
        <f t="shared" si="23"/>
        <v>0</v>
      </c>
      <c r="W74" s="227">
        <f t="shared" si="23"/>
        <v>0</v>
      </c>
    </row>
    <row r="75" spans="1:23" outlineLevel="1">
      <c r="J75" s="31"/>
      <c r="K75" s="31"/>
      <c r="L75" s="31"/>
      <c r="M75" s="31"/>
      <c r="N75" s="18"/>
      <c r="O75" s="18"/>
      <c r="P75" s="18"/>
      <c r="Q75" s="18"/>
      <c r="R75" s="18"/>
      <c r="S75" s="31"/>
      <c r="T75" s="31"/>
      <c r="U75" s="31"/>
      <c r="V75" s="31"/>
      <c r="W75" s="31"/>
    </row>
    <row r="76" spans="1:23" s="186" customFormat="1">
      <c r="A76" s="186" t="s">
        <v>219</v>
      </c>
      <c r="C76" s="187"/>
      <c r="D76" s="188"/>
      <c r="E76" s="187"/>
      <c r="F76" s="189"/>
    </row>
    <row r="77" spans="1:23"/>
    <row r="78" spans="1:23"/>
    <row r="79" spans="1:23"/>
    <row r="80" spans="1:23"/>
    <row r="81"/>
    <row r="82"/>
    <row r="83"/>
  </sheetData>
  <conditionalFormatting sqref="F2">
    <cfRule type="cellIs" dxfId="78" priority="3" stopIfTrue="1" operator="notEqual">
      <formula>0</formula>
    </cfRule>
    <cfRule type="cellIs" dxfId="77" priority="4" stopIfTrue="1" operator="equal">
      <formula>""</formula>
    </cfRule>
  </conditionalFormatting>
  <conditionalFormatting sqref="F3">
    <cfRule type="cellIs" dxfId="76" priority="1" stopIfTrue="1" operator="notEqual">
      <formula>0</formula>
    </cfRule>
    <cfRule type="cellIs" dxfId="75" priority="2" stopIfTrue="1" operator="equal">
      <formula>""</formula>
    </cfRule>
  </conditionalFormatting>
  <pageMargins left="0.7" right="0.7" top="0.75" bottom="0.75" header="0.3" footer="0.3"/>
  <pageSetup paperSize="9" scale="50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stopIfTrue="1" operator="equal" id="{52FAFFA0-308A-4500-90B0-8CD29E223FEB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15" stopIfTrue="1" operator="equal" id="{BFDC9DC7-D521-4A32-97ED-5FD8A7A420F3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AF4D6761-9042-49F7-BC30-E38B92B1A931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06C9F-7D59-49D5-A44F-1CE99216C8F0}">
  <sheetPr codeName="Sheet24">
    <outlinePr applyStyles="1" summaryBelow="0" summaryRight="0"/>
    <pageSetUpPr fitToPage="1"/>
  </sheetPr>
  <dimension ref="A1:Z484"/>
  <sheetViews>
    <sheetView showGridLines="0" zoomScale="70" zoomScaleNormal="70" workbookViewId="0">
      <pane xSplit="9" ySplit="5" topLeftCell="M95" activePane="bottomRight" state="frozen"/>
      <selection pane="topRight" activeCell="C22" sqref="C22"/>
      <selection pane="bottomLeft" activeCell="C22" sqref="C22"/>
      <selection pane="bottomRight" activeCell="S127" sqref="S127"/>
    </sheetView>
  </sheetViews>
  <sheetFormatPr defaultColWidth="0" defaultRowHeight="0" customHeight="1" zeroHeight="1" outlineLevelRow="1"/>
  <cols>
    <col min="1" max="1" width="1.3984375" style="62" customWidth="1"/>
    <col min="2" max="2" width="1.3984375" style="61" customWidth="1"/>
    <col min="3" max="3" width="1.3984375" style="60" customWidth="1"/>
    <col min="4" max="4" width="1.3984375" style="59" customWidth="1"/>
    <col min="5" max="5" width="85.59765625" style="55" bestFit="1" customWidth="1"/>
    <col min="6" max="6" width="12.59765625" style="55" customWidth="1"/>
    <col min="7" max="7" width="11.59765625" style="55" customWidth="1"/>
    <col min="8" max="8" width="15.59765625" style="55" customWidth="1"/>
    <col min="9" max="9" width="2.59765625" style="55" customWidth="1"/>
    <col min="10" max="21" width="12.59765625" style="55" customWidth="1"/>
    <col min="22" max="23" width="12.59765625" customWidth="1"/>
    <col min="24" max="26" width="8.73046875" customWidth="1"/>
    <col min="27" max="16384" width="8.73046875" hidden="1"/>
  </cols>
  <sheetData>
    <row r="1" spans="1:23" ht="29.65">
      <c r="A1" s="211" t="str">
        <f ca="1" xml:space="preserve"> RIGHT(CELL("filename", $A$1), LEN(CELL("filename", $A$1)) - SEARCH("]", CELL("filename", $A$1)))</f>
        <v>Wholesale Water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2</v>
      </c>
      <c r="G3" s="80" t="str">
        <f xml:space="preserve"> Check!G$24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ht="12.75" customHeight="1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116</v>
      </c>
      <c r="G5" s="158" t="s">
        <v>117</v>
      </c>
      <c r="H5" s="48" t="s">
        <v>118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 ht="12.75" customHeight="1">
      <c r="A6" s="88"/>
      <c r="B6" s="88"/>
      <c r="C6" s="89"/>
      <c r="D6" s="159"/>
      <c r="E6" s="107"/>
      <c r="F6" s="54"/>
      <c r="G6" s="109"/>
      <c r="H6" s="54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 ht="12.75" customHeight="1">
      <c r="A7" s="113" t="s">
        <v>284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s="5" customFormat="1" ht="12.75" customHeight="1">
      <c r="A8" s="88"/>
      <c r="B8" s="88"/>
      <c r="C8" s="56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</row>
    <row r="9" spans="1:23" s="120" customFormat="1" ht="12.75" customHeight="1" outlineLevel="1">
      <c r="A9" s="64"/>
      <c r="B9" s="64" t="s">
        <v>285</v>
      </c>
      <c r="C9" s="71"/>
      <c r="D9" s="69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0" customFormat="1" ht="12.75" customHeight="1" outlineLevel="1">
      <c r="A10" s="64"/>
      <c r="B10" s="64"/>
      <c r="C10" s="71"/>
      <c r="D10" s="69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0" customFormat="1" ht="12.75" customHeight="1" outlineLevel="1">
      <c r="A11" s="64"/>
      <c r="B11" s="64"/>
      <c r="C11" s="71"/>
      <c r="D11" s="69"/>
      <c r="E11" s="94" t="str">
        <f>Inputs!E$80</f>
        <v>Allowed revenue - Water Res (base year 2019/2020)</v>
      </c>
      <c r="F11" s="94">
        <f>Inputs!F$80</f>
        <v>35.896000000000001</v>
      </c>
      <c r="G11" s="94" t="str">
        <f>Inputs!G$80</f>
        <v>£m</v>
      </c>
      <c r="H11" s="94">
        <f>Inputs!H$80</f>
        <v>0</v>
      </c>
      <c r="I11" s="94">
        <f>Inputs!I$80</f>
        <v>0</v>
      </c>
      <c r="J11" s="94">
        <f>Inputs!J$80</f>
        <v>0</v>
      </c>
      <c r="K11" s="94">
        <f>Inputs!K$80</f>
        <v>0</v>
      </c>
      <c r="L11" s="94">
        <f>Inputs!L$80</f>
        <v>0</v>
      </c>
      <c r="M11" s="94">
        <f>Inputs!M$80</f>
        <v>0</v>
      </c>
      <c r="N11" s="94">
        <f>Inputs!N$80</f>
        <v>0</v>
      </c>
      <c r="O11" s="94">
        <f>Inputs!O$80</f>
        <v>0</v>
      </c>
      <c r="P11" s="94">
        <f>Inputs!P$80</f>
        <v>0</v>
      </c>
      <c r="Q11" s="94">
        <f>Inputs!Q$80</f>
        <v>0</v>
      </c>
      <c r="R11" s="94">
        <f>Inputs!R$80</f>
        <v>0</v>
      </c>
      <c r="S11" s="94">
        <f>Inputs!S$80</f>
        <v>0</v>
      </c>
      <c r="T11" s="94">
        <f>Inputs!T$80</f>
        <v>0</v>
      </c>
      <c r="U11" s="94">
        <f>Inputs!U$80</f>
        <v>0</v>
      </c>
      <c r="V11" s="94">
        <f>Inputs!V$80</f>
        <v>0</v>
      </c>
      <c r="W11" s="94">
        <f>Inputs!W$80</f>
        <v>0</v>
      </c>
    </row>
    <row r="12" spans="1:23" s="122" customFormat="1" ht="12.75" customHeight="1" outlineLevel="1">
      <c r="A12" s="114"/>
      <c r="B12" s="114"/>
      <c r="C12" s="115"/>
      <c r="D12" s="83"/>
      <c r="E12" s="79" t="str">
        <f xml:space="preserve"> 'Indices and K factor'!E$44</f>
        <v>Revenue indexation - Water Res</v>
      </c>
      <c r="F12" s="79">
        <f xml:space="preserve"> 'Indices and K factor'!F$44</f>
        <v>0</v>
      </c>
      <c r="G12" s="79" t="str">
        <f xml:space="preserve"> 'Indices and K factor'!G$44</f>
        <v>factor</v>
      </c>
      <c r="H12" s="79">
        <f xml:space="preserve"> 'Indices and K factor'!H$44</f>
        <v>0</v>
      </c>
      <c r="I12" s="79">
        <f xml:space="preserve"> 'Indices and K factor'!I$44</f>
        <v>0</v>
      </c>
      <c r="J12" s="225">
        <f xml:space="preserve"> 'Indices and K factor'!J$44</f>
        <v>0</v>
      </c>
      <c r="K12" s="225">
        <f xml:space="preserve"> 'Indices and K factor'!K$44</f>
        <v>0</v>
      </c>
      <c r="L12" s="225">
        <f xml:space="preserve"> 'Indices and K factor'!L$44</f>
        <v>0</v>
      </c>
      <c r="M12" s="225">
        <f xml:space="preserve"> 'Indices and K factor'!M$44</f>
        <v>0</v>
      </c>
      <c r="N12" s="225">
        <f xml:space="preserve"> 'Indices and K factor'!N$44</f>
        <v>0</v>
      </c>
      <c r="O12" s="225">
        <f xml:space="preserve"> 'Indices and K factor'!O$44</f>
        <v>0</v>
      </c>
      <c r="P12" s="225">
        <f xml:space="preserve"> 'Indices and K factor'!P$44</f>
        <v>1.0149672591206735</v>
      </c>
      <c r="Q12" s="225">
        <f xml:space="preserve"> 'Indices and K factor'!Q$44</f>
        <v>1.0731299539170507</v>
      </c>
      <c r="R12" s="225">
        <f xml:space="preserve"> 'Indices and K factor'!R$44</f>
        <v>1.0782295142071494</v>
      </c>
      <c r="S12" s="225">
        <f xml:space="preserve"> 'Indices and K factor'!S$44</f>
        <v>1.1451773882559158</v>
      </c>
      <c r="T12" s="225">
        <f xml:space="preserve"> 'Indices and K factor'!T$44</f>
        <v>0.98926666666666674</v>
      </c>
      <c r="U12" s="225">
        <f xml:space="preserve"> 'Indices and K factor'!U$44</f>
        <v>0</v>
      </c>
      <c r="V12" s="225">
        <f xml:space="preserve"> 'Indices and K factor'!V$44</f>
        <v>0</v>
      </c>
      <c r="W12" s="225">
        <f xml:space="preserve"> 'Indices and K factor'!W$44</f>
        <v>0</v>
      </c>
    </row>
    <row r="13" spans="1:23" s="121" customFormat="1" ht="12.75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t="12.75" customHeight="1" outlineLevel="1">
      <c r="A14" s="302"/>
      <c r="B14" s="302"/>
      <c r="C14" s="303"/>
      <c r="E14" s="203" t="s">
        <v>286</v>
      </c>
      <c r="F14" s="304"/>
      <c r="G14" s="304" t="s">
        <v>77</v>
      </c>
      <c r="H14" s="208">
        <f xml:space="preserve"> SUM(J14:W14)</f>
        <v>213.72163342066062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t="shared" si="0"/>
        <v>36.433264733395696</v>
      </c>
      <c r="Q14" s="208">
        <f t="shared" si="0"/>
        <v>39.097627704396629</v>
      </c>
      <c r="R14" s="208">
        <f t="shared" si="0"/>
        <v>42.15621612636356</v>
      </c>
      <c r="S14" s="208">
        <f t="shared" si="0"/>
        <v>48.276345482340936</v>
      </c>
      <c r="T14" s="208">
        <f t="shared" si="0"/>
        <v>47.758179374163817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t="12.75" customHeight="1" outlineLevel="1">
      <c r="A15" s="61"/>
      <c r="C15" s="108"/>
      <c r="E15" s="111"/>
      <c r="V15" s="55"/>
      <c r="W15" s="55"/>
    </row>
    <row r="16" spans="1:23" s="121" customFormat="1" ht="12.75" customHeight="1" outlineLevel="1">
      <c r="A16" s="164"/>
      <c r="B16" s="164" t="s">
        <v>287</v>
      </c>
      <c r="C16" s="165"/>
      <c r="D16" s="73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</row>
    <row r="17" spans="1:23" s="121" customFormat="1" ht="12.75" customHeight="1" outlineLevel="1">
      <c r="A17" s="164"/>
      <c r="B17" s="164"/>
      <c r="C17" s="165"/>
      <c r="D17" s="73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</row>
    <row r="18" spans="1:23" s="120" customFormat="1" ht="12.75" customHeight="1" outlineLevel="1">
      <c r="A18" s="64"/>
      <c r="B18" s="64"/>
      <c r="C18" s="71"/>
      <c r="D18" s="69"/>
      <c r="E18" s="110" t="str">
        <f xml:space="preserve"> Inputs!E$100</f>
        <v>Allowed revenue - Water-N+ (base year 2019/2020)</v>
      </c>
      <c r="F18" s="110">
        <f xml:space="preserve"> Inputs!F$100</f>
        <v>283.34199999999998</v>
      </c>
      <c r="G18" s="110" t="str">
        <f xml:space="preserve"> Inputs!G$100</f>
        <v>£m</v>
      </c>
      <c r="H18" s="110">
        <f xml:space="preserve"> Inputs!H$100</f>
        <v>0</v>
      </c>
      <c r="I18" s="110">
        <f xml:space="preserve"> Inputs!I$100</f>
        <v>0</v>
      </c>
      <c r="J18" s="110">
        <f xml:space="preserve"> Inputs!J$100</f>
        <v>0</v>
      </c>
      <c r="K18" s="110">
        <f xml:space="preserve"> Inputs!K$100</f>
        <v>0</v>
      </c>
      <c r="L18" s="110">
        <f xml:space="preserve"> Inputs!L$100</f>
        <v>0</v>
      </c>
      <c r="M18" s="110">
        <f xml:space="preserve"> Inputs!M$100</f>
        <v>0</v>
      </c>
      <c r="N18" s="110">
        <f xml:space="preserve"> Inputs!N$100</f>
        <v>0</v>
      </c>
      <c r="O18" s="110">
        <f xml:space="preserve"> Inputs!O$100</f>
        <v>0</v>
      </c>
      <c r="P18" s="110">
        <f xml:space="preserve"> Inputs!P$100</f>
        <v>0</v>
      </c>
      <c r="Q18" s="110">
        <f xml:space="preserve"> Inputs!Q$100</f>
        <v>0</v>
      </c>
      <c r="R18" s="110">
        <f xml:space="preserve"> Inputs!R$100</f>
        <v>0</v>
      </c>
      <c r="S18" s="110">
        <f xml:space="preserve"> Inputs!S$100</f>
        <v>0</v>
      </c>
      <c r="T18" s="110">
        <f xml:space="preserve"> Inputs!T$100</f>
        <v>0</v>
      </c>
      <c r="U18" s="110">
        <f xml:space="preserve"> Inputs!U$100</f>
        <v>0</v>
      </c>
      <c r="V18" s="110">
        <f xml:space="preserve"> Inputs!V$100</f>
        <v>0</v>
      </c>
      <c r="W18" s="110">
        <f xml:space="preserve"> Inputs!W$100</f>
        <v>0</v>
      </c>
    </row>
    <row r="19" spans="1:23" s="122" customFormat="1" ht="12.75" customHeight="1" outlineLevel="1">
      <c r="A19" s="114"/>
      <c r="B19" s="114"/>
      <c r="C19" s="115"/>
      <c r="D19" s="83"/>
      <c r="E19" s="79" t="str">
        <f xml:space="preserve"> 'Indices and K factor'!E$54</f>
        <v>Revenue indexation - Water-N+</v>
      </c>
      <c r="F19" s="79">
        <f xml:space="preserve"> 'Indices and K factor'!F$54</f>
        <v>0</v>
      </c>
      <c r="G19" s="79" t="str">
        <f xml:space="preserve"> 'Indices and K factor'!G$54</f>
        <v>factor</v>
      </c>
      <c r="H19" s="79">
        <f xml:space="preserve"> 'Indices and K factor'!H$54</f>
        <v>0</v>
      </c>
      <c r="I19" s="79">
        <f xml:space="preserve"> 'Indices and K factor'!I$54</f>
        <v>0</v>
      </c>
      <c r="J19" s="225">
        <f xml:space="preserve"> 'Indices and K factor'!J$54</f>
        <v>0</v>
      </c>
      <c r="K19" s="225">
        <f xml:space="preserve"> 'Indices and K factor'!K$54</f>
        <v>0</v>
      </c>
      <c r="L19" s="225">
        <f xml:space="preserve"> 'Indices and K factor'!L$54</f>
        <v>0</v>
      </c>
      <c r="M19" s="225">
        <f xml:space="preserve"> 'Indices and K factor'!M$54</f>
        <v>0</v>
      </c>
      <c r="N19" s="225">
        <f xml:space="preserve"> 'Indices and K factor'!N$54</f>
        <v>0</v>
      </c>
      <c r="O19" s="225">
        <f xml:space="preserve"> 'Indices and K factor'!O$54</f>
        <v>0</v>
      </c>
      <c r="P19" s="225">
        <f xml:space="preserve"> 'Indices and K factor'!P$54</f>
        <v>1.0149672591206735</v>
      </c>
      <c r="Q19" s="225">
        <f xml:space="preserve"> 'Indices and K factor'!Q$54</f>
        <v>0.94842995391705054</v>
      </c>
      <c r="R19" s="225">
        <f xml:space="preserve"> 'Indices and K factor'!R$54</f>
        <v>1.0333295142071495</v>
      </c>
      <c r="S19" s="225">
        <f xml:space="preserve"> 'Indices and K factor'!S$54</f>
        <v>1.0657773882559158</v>
      </c>
      <c r="T19" s="225">
        <f xml:space="preserve"> 'Indices and K factor'!T$54</f>
        <v>0.97176666666666678</v>
      </c>
      <c r="U19" s="225">
        <f xml:space="preserve"> 'Indices and K factor'!U$54</f>
        <v>0</v>
      </c>
      <c r="V19" s="225">
        <f xml:space="preserve"> 'Indices and K factor'!V$54</f>
        <v>0</v>
      </c>
      <c r="W19" s="225">
        <f xml:space="preserve"> 'Indices and K factor'!W$54</f>
        <v>0</v>
      </c>
    </row>
    <row r="20" spans="1:23" s="121" customFormat="1" ht="12.75" customHeight="1" outlineLevel="1">
      <c r="A20" s="164"/>
      <c r="B20" s="164"/>
      <c r="C20" s="165"/>
      <c r="D20" s="73"/>
      <c r="E20" s="96" t="str">
        <f xml:space="preserve"> Time!E$41</f>
        <v>Forecast start period flag</v>
      </c>
      <c r="F20" s="96">
        <f xml:space="preserve"> Time!F$41</f>
        <v>0</v>
      </c>
      <c r="G20" s="96" t="str">
        <f xml:space="preserve"> Time!G$41</f>
        <v>flag</v>
      </c>
      <c r="H20" s="96">
        <f xml:space="preserve"> Time!H$41</f>
        <v>1</v>
      </c>
      <c r="I20" s="96">
        <f xml:space="preserve"> Time!I$41</f>
        <v>0</v>
      </c>
      <c r="J20" s="96">
        <f xml:space="preserve"> Time!J$41</f>
        <v>0</v>
      </c>
      <c r="K20" s="96">
        <f xml:space="preserve"> Time!K$41</f>
        <v>0</v>
      </c>
      <c r="L20" s="96">
        <f xml:space="preserve"> Time!L$41</f>
        <v>0</v>
      </c>
      <c r="M20" s="96">
        <f xml:space="preserve"> Time!M$41</f>
        <v>0</v>
      </c>
      <c r="N20" s="96">
        <f xml:space="preserve"> Time!N$41</f>
        <v>0</v>
      </c>
      <c r="O20" s="96">
        <f xml:space="preserve"> Time!O$41</f>
        <v>0</v>
      </c>
      <c r="P20" s="96">
        <f xml:space="preserve"> Time!P$41</f>
        <v>1</v>
      </c>
      <c r="Q20" s="96">
        <f xml:space="preserve"> Time!Q$41</f>
        <v>0</v>
      </c>
      <c r="R20" s="96">
        <f xml:space="preserve"> Time!R$41</f>
        <v>0</v>
      </c>
      <c r="S20" s="96">
        <f xml:space="preserve"> Time!S$41</f>
        <v>0</v>
      </c>
      <c r="T20" s="96">
        <f xml:space="preserve"> Time!T$41</f>
        <v>0</v>
      </c>
      <c r="U20" s="96">
        <f xml:space="preserve"> Time!U$41</f>
        <v>0</v>
      </c>
      <c r="V20" s="96">
        <f xml:space="preserve"> Time!V$41</f>
        <v>0</v>
      </c>
      <c r="W20" s="96">
        <f xml:space="preserve"> Time!W$41</f>
        <v>0</v>
      </c>
    </row>
    <row r="21" spans="1:23" s="171" customFormat="1" ht="12.75" customHeight="1" outlineLevel="1">
      <c r="A21" s="302"/>
      <c r="B21" s="302"/>
      <c r="C21" s="303"/>
      <c r="E21" s="203" t="s">
        <v>288</v>
      </c>
      <c r="F21" s="304"/>
      <c r="G21" s="304" t="s">
        <v>77</v>
      </c>
      <c r="H21" s="208">
        <f xml:space="preserve"> SUM(J21:W21)</f>
        <v>1434.4607154301605</v>
      </c>
      <c r="I21" s="304"/>
      <c r="J21" s="208">
        <f xml:space="preserve"> IF(J20 = 1, $F18 * J19, I21 * J19 )</f>
        <v>0</v>
      </c>
      <c r="K21" s="208">
        <f t="shared" ref="K21:W21" si="1" xml:space="preserve"> IF(K20 = 1, $F18 * K19, J21 * K19 )</f>
        <v>0</v>
      </c>
      <c r="L21" s="208">
        <f t="shared" si="1"/>
        <v>0</v>
      </c>
      <c r="M21" s="208">
        <f t="shared" si="1"/>
        <v>0</v>
      </c>
      <c r="N21" s="208">
        <f t="shared" si="1"/>
        <v>0</v>
      </c>
      <c r="O21" s="208">
        <f t="shared" si="1"/>
        <v>0</v>
      </c>
      <c r="P21" s="208">
        <f t="shared" si="1"/>
        <v>287.58285313376985</v>
      </c>
      <c r="Q21" s="208">
        <f t="shared" si="1"/>
        <v>272.75219214499526</v>
      </c>
      <c r="R21" s="208">
        <f t="shared" si="1"/>
        <v>281.84289020812304</v>
      </c>
      <c r="S21" s="208">
        <f t="shared" si="1"/>
        <v>300.38177942451222</v>
      </c>
      <c r="T21" s="208">
        <f t="shared" si="1"/>
        <v>291.90100051876021</v>
      </c>
      <c r="U21" s="208">
        <f t="shared" si="1"/>
        <v>0</v>
      </c>
      <c r="V21" s="208">
        <f t="shared" si="1"/>
        <v>0</v>
      </c>
      <c r="W21" s="208">
        <f t="shared" si="1"/>
        <v>0</v>
      </c>
    </row>
    <row r="22" spans="1:23" ht="12.75" customHeight="1" outlineLevel="1">
      <c r="A22" s="61"/>
      <c r="C22" s="341" t="s">
        <v>26</v>
      </c>
      <c r="E22" s="111"/>
    </row>
    <row r="23" spans="1:23" ht="12.75" customHeight="1">
      <c r="A23" s="113" t="s">
        <v>289</v>
      </c>
      <c r="B23" s="113"/>
      <c r="C23" s="112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</row>
    <row r="24" spans="1:23" s="5" customFormat="1" ht="12.75" customHeight="1">
      <c r="A24" s="62"/>
      <c r="B24" s="62"/>
      <c r="C24" s="60"/>
      <c r="D24" s="157"/>
      <c r="E24" s="96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</row>
    <row r="25" spans="1:23" s="5" customFormat="1" ht="12.75" customHeight="1" outlineLevel="1">
      <c r="A25" s="62"/>
      <c r="B25" s="62"/>
      <c r="C25" s="60"/>
      <c r="D25" s="157"/>
      <c r="E25" s="96" t="str">
        <f xml:space="preserve"> Inputs!E$69</f>
        <v>Timing delay</v>
      </c>
      <c r="F25" s="96">
        <f xml:space="preserve"> Inputs!F$69</f>
        <v>2</v>
      </c>
      <c r="G25" s="96" t="str">
        <f xml:space="preserve"> Inputs!G$69</f>
        <v>years</v>
      </c>
      <c r="H25" s="96">
        <f xml:space="preserve"> Inputs!H$69</f>
        <v>0</v>
      </c>
      <c r="I25" s="96">
        <f xml:space="preserve"> Inputs!I$69</f>
        <v>0</v>
      </c>
      <c r="J25" s="96">
        <f xml:space="preserve"> Inputs!J$69</f>
        <v>0</v>
      </c>
      <c r="K25" s="96">
        <f xml:space="preserve"> Inputs!K$69</f>
        <v>0</v>
      </c>
      <c r="L25" s="96">
        <f xml:space="preserve"> Inputs!L$69</f>
        <v>0</v>
      </c>
      <c r="M25" s="96">
        <f xml:space="preserve"> Inputs!M$69</f>
        <v>0</v>
      </c>
      <c r="N25" s="96">
        <f xml:space="preserve"> Inputs!N$69</f>
        <v>0</v>
      </c>
      <c r="O25" s="96">
        <f xml:space="preserve"> Inputs!O$69</f>
        <v>0</v>
      </c>
      <c r="P25" s="96">
        <f xml:space="preserve"> Inputs!P$69</f>
        <v>0</v>
      </c>
      <c r="Q25" s="96">
        <f xml:space="preserve"> Inputs!Q$69</f>
        <v>0</v>
      </c>
      <c r="R25" s="96">
        <f xml:space="preserve"> Inputs!R$69</f>
        <v>0</v>
      </c>
      <c r="S25" s="96">
        <f xml:space="preserve"> Inputs!S$69</f>
        <v>0</v>
      </c>
      <c r="T25" s="96">
        <f xml:space="preserve"> Inputs!T$69</f>
        <v>0</v>
      </c>
      <c r="U25" s="96">
        <f xml:space="preserve"> Inputs!U$69</f>
        <v>0</v>
      </c>
      <c r="V25" s="96">
        <f xml:space="preserve"> Inputs!V$69</f>
        <v>0</v>
      </c>
      <c r="W25" s="96">
        <f xml:space="preserve"> Inputs!W$69</f>
        <v>0</v>
      </c>
    </row>
    <row r="26" spans="1:23" s="5" customFormat="1" ht="12.75" customHeight="1" outlineLevel="1">
      <c r="A26" s="62"/>
      <c r="B26" s="62"/>
      <c r="C26" s="60"/>
      <c r="D26" s="157"/>
      <c r="E26" s="41" t="str">
        <f xml:space="preserve"> Inputs!E$63</f>
        <v>Discount rate</v>
      </c>
      <c r="F26" s="41">
        <f xml:space="preserve"> Inputs!F$63</f>
        <v>2.92E-2</v>
      </c>
      <c r="G26" s="41" t="str">
        <f xml:space="preserve"> Inputs!G$63</f>
        <v>%</v>
      </c>
      <c r="H26" s="41">
        <f xml:space="preserve"> Inputs!H$63</f>
        <v>0</v>
      </c>
      <c r="I26" s="41">
        <f xml:space="preserve"> Inputs!I$63</f>
        <v>0</v>
      </c>
      <c r="J26" s="41">
        <f xml:space="preserve"> Inputs!J$63</f>
        <v>0</v>
      </c>
      <c r="K26" s="41">
        <f xml:space="preserve"> Inputs!K$63</f>
        <v>0</v>
      </c>
      <c r="L26" s="41">
        <f xml:space="preserve"> Inputs!L$63</f>
        <v>0</v>
      </c>
      <c r="M26" s="41">
        <f xml:space="preserve"> Inputs!M$63</f>
        <v>0</v>
      </c>
      <c r="N26" s="41">
        <f xml:space="preserve"> Inputs!N$63</f>
        <v>0</v>
      </c>
      <c r="O26" s="41">
        <f xml:space="preserve"> Inputs!O$63</f>
        <v>0</v>
      </c>
      <c r="P26" s="41">
        <f xml:space="preserve"> Inputs!P$63</f>
        <v>0</v>
      </c>
      <c r="Q26" s="41">
        <f xml:space="preserve"> Inputs!Q$63</f>
        <v>0</v>
      </c>
      <c r="R26" s="41">
        <f xml:space="preserve"> Inputs!R$63</f>
        <v>0</v>
      </c>
      <c r="S26" s="41">
        <f xml:space="preserve"> Inputs!S$63</f>
        <v>0</v>
      </c>
      <c r="T26" s="41">
        <f xml:space="preserve"> Inputs!T$63</f>
        <v>0</v>
      </c>
      <c r="U26" s="41">
        <f xml:space="preserve"> Inputs!U$63</f>
        <v>0</v>
      </c>
      <c r="V26" s="41">
        <f xml:space="preserve"> Inputs!V$63</f>
        <v>0</v>
      </c>
      <c r="W26" s="41">
        <f xml:space="preserve"> Inputs!W$63</f>
        <v>0</v>
      </c>
    </row>
    <row r="27" spans="1:23" s="5" customFormat="1" ht="12.75" customHeight="1" outlineLevel="1">
      <c r="A27" s="62"/>
      <c r="B27" s="62"/>
      <c r="C27" s="60"/>
      <c r="D27" s="157"/>
      <c r="E27" s="202" t="str">
        <f xml:space="preserve"> Time!E$63</f>
        <v>Forecast period counter</v>
      </c>
      <c r="F27" s="202">
        <f xml:space="preserve"> Time!F$63</f>
        <v>0</v>
      </c>
      <c r="G27" s="202" t="str">
        <f xml:space="preserve"> Time!G$63</f>
        <v>counter</v>
      </c>
      <c r="H27" s="202">
        <f xml:space="preserve"> Time!H$63</f>
        <v>0</v>
      </c>
      <c r="I27" s="202">
        <f xml:space="preserve"> Time!I$63</f>
        <v>0</v>
      </c>
      <c r="J27" s="96">
        <f xml:space="preserve"> Time!J$63</f>
        <v>0</v>
      </c>
      <c r="K27" s="96">
        <f xml:space="preserve"> Time!K$63</f>
        <v>0</v>
      </c>
      <c r="L27" s="96">
        <f xml:space="preserve"> Time!L$63</f>
        <v>0</v>
      </c>
      <c r="M27" s="96">
        <f xml:space="preserve"> Time!M$63</f>
        <v>0</v>
      </c>
      <c r="N27" s="96">
        <f xml:space="preserve"> Time!N$63</f>
        <v>0</v>
      </c>
      <c r="O27" s="96">
        <f xml:space="preserve"> Time!O$63</f>
        <v>0</v>
      </c>
      <c r="P27" s="96">
        <f xml:space="preserve"> Time!P$63</f>
        <v>1</v>
      </c>
      <c r="Q27" s="96">
        <f xml:space="preserve"> Time!Q$63</f>
        <v>2</v>
      </c>
      <c r="R27" s="96">
        <f xml:space="preserve"> Time!R$63</f>
        <v>3</v>
      </c>
      <c r="S27" s="96">
        <f xml:space="preserve"> Time!S$63</f>
        <v>4</v>
      </c>
      <c r="T27" s="96">
        <f xml:space="preserve"> Time!T$63</f>
        <v>5</v>
      </c>
      <c r="U27" s="96">
        <f xml:space="preserve"> Time!U$63</f>
        <v>0</v>
      </c>
      <c r="V27" s="96">
        <f xml:space="preserve"> Time!V$63</f>
        <v>0</v>
      </c>
      <c r="W27" s="96">
        <f xml:space="preserve"> Time!W$63</f>
        <v>0</v>
      </c>
    </row>
    <row r="28" spans="1:23" s="121" customFormat="1" ht="12.75" customHeight="1" outlineLevel="1">
      <c r="A28" s="164"/>
      <c r="B28" s="164"/>
      <c r="C28" s="165"/>
      <c r="D28" s="73"/>
      <c r="E28" s="94" t="str">
        <f xml:space="preserve"> Inputs!E$82</f>
        <v>Bilateral entry adjustment (BEA) (base year 2017/18)</v>
      </c>
      <c r="F28" s="94">
        <f xml:space="preserve"> Inputs!F$82</f>
        <v>0</v>
      </c>
      <c r="G28" s="94" t="str">
        <f xml:space="preserve"> Inputs!G$82</f>
        <v>£m</v>
      </c>
      <c r="H28" s="94">
        <f xml:space="preserve"> Inputs!H$82</f>
        <v>0</v>
      </c>
      <c r="I28" s="94">
        <f xml:space="preserve"> Inputs!I$82</f>
        <v>0</v>
      </c>
      <c r="J28" s="94">
        <f xml:space="preserve"> Inputs!J$82</f>
        <v>0</v>
      </c>
      <c r="K28" s="94">
        <f xml:space="preserve"> Inputs!K$82</f>
        <v>0</v>
      </c>
      <c r="L28" s="94">
        <f xml:space="preserve"> Inputs!L$82</f>
        <v>0</v>
      </c>
      <c r="M28" s="94">
        <f xml:space="preserve"> Inputs!M$82</f>
        <v>0</v>
      </c>
      <c r="N28" s="94">
        <f xml:space="preserve"> Inputs!N$82</f>
        <v>0</v>
      </c>
      <c r="O28" s="94">
        <f xml:space="preserve"> Inputs!O$82</f>
        <v>0</v>
      </c>
      <c r="P28" s="94">
        <f xml:space="preserve"> Inputs!P$82</f>
        <v>0</v>
      </c>
      <c r="Q28" s="94">
        <f xml:space="preserve"> Inputs!Q$82</f>
        <v>0</v>
      </c>
      <c r="R28" s="94">
        <f xml:space="preserve"> Inputs!R$82</f>
        <v>0</v>
      </c>
      <c r="S28" s="94">
        <f xml:space="preserve"> Inputs!S$82</f>
        <v>0</v>
      </c>
      <c r="T28" s="94">
        <f xml:space="preserve"> Inputs!T$82</f>
        <v>0</v>
      </c>
      <c r="U28" s="94">
        <f xml:space="preserve"> Inputs!U$82</f>
        <v>0</v>
      </c>
      <c r="V28" s="94">
        <f xml:space="preserve"> Inputs!V$82</f>
        <v>0</v>
      </c>
      <c r="W28" s="94">
        <f xml:space="preserve"> Inputs!W$82</f>
        <v>0</v>
      </c>
    </row>
    <row r="29" spans="1:23" s="5" customFormat="1" ht="12.75" customHeight="1" outlineLevel="1">
      <c r="A29" s="62"/>
      <c r="B29" s="62"/>
      <c r="C29" s="60"/>
      <c r="D29" s="157"/>
      <c r="E29" s="127" t="s">
        <v>290</v>
      </c>
      <c r="F29" s="99"/>
      <c r="G29" s="99" t="s">
        <v>77</v>
      </c>
      <c r="H29" s="91">
        <f xml:space="preserve"> SUM( J29:W29 )</f>
        <v>0</v>
      </c>
      <c r="I29" s="99"/>
      <c r="J29" s="91">
        <f t="shared" ref="J29:W29" si="2" xml:space="preserve"> IF( J27 &gt;= $F25 + 1,  J28 * ( 1 + $F26 ) * ( 1 + $F26 ), 0 )</f>
        <v>0</v>
      </c>
      <c r="K29" s="91">
        <f t="shared" si="2"/>
        <v>0</v>
      </c>
      <c r="L29" s="91">
        <f t="shared" si="2"/>
        <v>0</v>
      </c>
      <c r="M29" s="91">
        <f t="shared" si="2"/>
        <v>0</v>
      </c>
      <c r="N29" s="91">
        <f t="shared" si="2"/>
        <v>0</v>
      </c>
      <c r="O29" s="91">
        <f t="shared" si="2"/>
        <v>0</v>
      </c>
      <c r="P29" s="91">
        <f t="shared" si="2"/>
        <v>0</v>
      </c>
      <c r="Q29" s="91">
        <f t="shared" si="2"/>
        <v>0</v>
      </c>
      <c r="R29" s="91">
        <f t="shared" si="2"/>
        <v>0</v>
      </c>
      <c r="S29" s="91">
        <f t="shared" si="2"/>
        <v>0</v>
      </c>
      <c r="T29" s="91">
        <f t="shared" si="2"/>
        <v>0</v>
      </c>
      <c r="U29" s="91">
        <f t="shared" si="2"/>
        <v>0</v>
      </c>
      <c r="V29" s="91">
        <f t="shared" si="2"/>
        <v>0</v>
      </c>
      <c r="W29" s="91">
        <f t="shared" si="2"/>
        <v>0</v>
      </c>
    </row>
    <row r="30" spans="1:23" s="5" customFormat="1" ht="12.75" customHeight="1" outlineLevel="1">
      <c r="A30" s="62"/>
      <c r="B30" s="62"/>
      <c r="C30" s="60"/>
      <c r="D30" s="157"/>
      <c r="E30" s="127"/>
      <c r="F30" s="99"/>
      <c r="G30" s="99"/>
      <c r="H30" s="91"/>
      <c r="I30" s="99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</row>
    <row r="31" spans="1:23" s="99" customFormat="1" ht="12.75" customHeight="1" outlineLevel="1">
      <c r="A31" s="164"/>
      <c r="B31" s="164"/>
      <c r="C31" s="165"/>
      <c r="D31" s="73"/>
      <c r="E31" s="91" t="str">
        <f xml:space="preserve"> E$29</f>
        <v>Bilateral entry adjustment - with financing adjustment</v>
      </c>
      <c r="F31" s="91">
        <f t="shared" ref="F31:W31" si="3" xml:space="preserve"> F$29</f>
        <v>0</v>
      </c>
      <c r="G31" s="91" t="str">
        <f t="shared" si="3"/>
        <v>£m</v>
      </c>
      <c r="H31" s="91">
        <f t="shared" si="3"/>
        <v>0</v>
      </c>
      <c r="I31" s="91">
        <f t="shared" si="3"/>
        <v>0</v>
      </c>
      <c r="J31" s="91">
        <f t="shared" si="3"/>
        <v>0</v>
      </c>
      <c r="K31" s="91">
        <f t="shared" si="3"/>
        <v>0</v>
      </c>
      <c r="L31" s="91">
        <f t="shared" si="3"/>
        <v>0</v>
      </c>
      <c r="M31" s="91">
        <f t="shared" si="3"/>
        <v>0</v>
      </c>
      <c r="N31" s="91">
        <f t="shared" si="3"/>
        <v>0</v>
      </c>
      <c r="O31" s="91">
        <f t="shared" si="3"/>
        <v>0</v>
      </c>
      <c r="P31" s="91">
        <f t="shared" si="3"/>
        <v>0</v>
      </c>
      <c r="Q31" s="91">
        <f t="shared" si="3"/>
        <v>0</v>
      </c>
      <c r="R31" s="91">
        <f t="shared" si="3"/>
        <v>0</v>
      </c>
      <c r="S31" s="91">
        <f t="shared" si="3"/>
        <v>0</v>
      </c>
      <c r="T31" s="91">
        <f t="shared" si="3"/>
        <v>0</v>
      </c>
      <c r="U31" s="91">
        <f t="shared" si="3"/>
        <v>0</v>
      </c>
      <c r="V31" s="91">
        <f t="shared" si="3"/>
        <v>0</v>
      </c>
      <c r="W31" s="91">
        <f t="shared" si="3"/>
        <v>0</v>
      </c>
    </row>
    <row r="32" spans="1:23" s="53" customFormat="1" ht="12.75" customHeight="1" outlineLevel="1">
      <c r="E32" s="321" t="str">
        <f xml:space="preserve"> 'Indices and K factor'!E$28</f>
        <v>CPIH: Nov - Nov index (prior year) inflating from 2017/18</v>
      </c>
      <c r="F32" s="321">
        <f xml:space="preserve"> 'Indices and K factor'!F$28</f>
        <v>0</v>
      </c>
      <c r="G32" s="321" t="str">
        <f xml:space="preserve"> 'Indices and K factor'!G$28</f>
        <v>index</v>
      </c>
      <c r="H32" s="322">
        <f xml:space="preserve"> 'Indices and K factor'!H$28</f>
        <v>0</v>
      </c>
      <c r="I32" s="322">
        <f xml:space="preserve"> 'Indices and K factor'!I$28</f>
        <v>0</v>
      </c>
      <c r="J32" s="41">
        <f xml:space="preserve"> 'Indices and K factor'!J$28</f>
        <v>0</v>
      </c>
      <c r="K32" s="41">
        <f xml:space="preserve"> 'Indices and K factor'!K$28</f>
        <v>0</v>
      </c>
      <c r="L32" s="41">
        <f xml:space="preserve"> 'Indices and K factor'!L$28</f>
        <v>0</v>
      </c>
      <c r="M32" s="41">
        <f xml:space="preserve"> 'Indices and K factor'!M$28</f>
        <v>0</v>
      </c>
      <c r="N32" s="41">
        <f xml:space="preserve"> 'Indices and K factor'!N$28</f>
        <v>0</v>
      </c>
      <c r="O32" s="41">
        <f xml:space="preserve"> 'Indices and K factor'!O$28</f>
        <v>0</v>
      </c>
      <c r="P32" s="41">
        <f xml:space="preserve"> 'Indices and K factor'!P$28</f>
        <v>1.0658153241650294</v>
      </c>
      <c r="Q32" s="41">
        <f xml:space="preserve"> 'Indices and K factor'!Q$28</f>
        <v>1.0717092337917484</v>
      </c>
      <c r="R32" s="41">
        <f xml:space="preserve"> 'Indices and K factor'!R$28</f>
        <v>1.1208251473477406</v>
      </c>
      <c r="S32" s="41">
        <f xml:space="preserve"> 'Indices and K factor'!S$28</f>
        <v>1.2259332023575638</v>
      </c>
      <c r="T32" s="41">
        <f xml:space="preserve"> 'Indices and K factor'!T$28</f>
        <v>1.2770137524557956</v>
      </c>
      <c r="U32" s="41">
        <f xml:space="preserve"> 'Indices and K factor'!U$28</f>
        <v>0</v>
      </c>
      <c r="V32" s="41">
        <f xml:space="preserve"> 'Indices and K factor'!V$28</f>
        <v>0</v>
      </c>
      <c r="W32" s="41">
        <f xml:space="preserve"> 'Indices and K factor'!W$28</f>
        <v>0</v>
      </c>
    </row>
    <row r="33" spans="1:23" s="5" customFormat="1" ht="12.75" customHeight="1" outlineLevel="1">
      <c r="A33" s="62"/>
      <c r="B33" s="62"/>
      <c r="C33" s="60"/>
      <c r="D33" s="157"/>
      <c r="E33" s="127" t="s">
        <v>291</v>
      </c>
      <c r="F33" s="99"/>
      <c r="G33" s="99"/>
      <c r="H33" s="91">
        <f xml:space="preserve"> SUM( J33:W33 )</f>
        <v>0</v>
      </c>
      <c r="I33" s="99"/>
      <c r="J33" s="91">
        <f xml:space="preserve"> J31 * L32</f>
        <v>0</v>
      </c>
      <c r="K33" s="91">
        <f t="shared" ref="K33:S33" si="4" xml:space="preserve"> K31 * M32</f>
        <v>0</v>
      </c>
      <c r="L33" s="91">
        <f t="shared" si="4"/>
        <v>0</v>
      </c>
      <c r="M33" s="91">
        <f t="shared" si="4"/>
        <v>0</v>
      </c>
      <c r="N33" s="91">
        <f t="shared" si="4"/>
        <v>0</v>
      </c>
      <c r="O33" s="91">
        <f t="shared" si="4"/>
        <v>0</v>
      </c>
      <c r="P33" s="91">
        <f t="shared" si="4"/>
        <v>0</v>
      </c>
      <c r="Q33" s="91">
        <f t="shared" si="4"/>
        <v>0</v>
      </c>
      <c r="R33" s="91">
        <f t="shared" si="4"/>
        <v>0</v>
      </c>
      <c r="S33" s="91">
        <f t="shared" si="4"/>
        <v>0</v>
      </c>
      <c r="T33" s="91">
        <f xml:space="preserve"> T31 * V32</f>
        <v>0</v>
      </c>
      <c r="U33" s="91">
        <f xml:space="preserve"> U31 * W32</f>
        <v>0</v>
      </c>
      <c r="V33" s="424"/>
      <c r="W33" s="424"/>
    </row>
    <row r="34" spans="1:23" s="5" customFormat="1" ht="12.75" customHeight="1" outlineLevel="1">
      <c r="A34" s="62"/>
      <c r="B34" s="62"/>
      <c r="C34" s="60"/>
      <c r="D34" s="157"/>
      <c r="E34" s="127"/>
      <c r="F34" s="99"/>
      <c r="G34" s="99"/>
      <c r="H34" s="91"/>
      <c r="I34" s="99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</row>
    <row r="35" spans="1:23" s="5" customFormat="1" ht="12.75" customHeight="1" outlineLevel="1">
      <c r="A35" s="62"/>
      <c r="B35" s="62"/>
      <c r="C35" s="60"/>
      <c r="D35" s="157"/>
      <c r="E35" s="96" t="str">
        <f xml:space="preserve"> Inputs!E$69</f>
        <v>Timing delay</v>
      </c>
      <c r="F35" s="96">
        <f xml:space="preserve"> Inputs!F$69</f>
        <v>2</v>
      </c>
      <c r="G35" s="96" t="str">
        <f xml:space="preserve"> Inputs!G$69</f>
        <v>years</v>
      </c>
      <c r="H35" s="96">
        <f xml:space="preserve"> Inputs!H$69</f>
        <v>0</v>
      </c>
      <c r="I35" s="96">
        <f xml:space="preserve"> Inputs!I$69</f>
        <v>0</v>
      </c>
      <c r="J35" s="96">
        <f xml:space="preserve"> Inputs!J$69</f>
        <v>0</v>
      </c>
      <c r="K35" s="96">
        <f xml:space="preserve"> Inputs!K$69</f>
        <v>0</v>
      </c>
      <c r="L35" s="96">
        <f xml:space="preserve"> Inputs!L$69</f>
        <v>0</v>
      </c>
      <c r="M35" s="96">
        <f xml:space="preserve"> Inputs!M$69</f>
        <v>0</v>
      </c>
      <c r="N35" s="96">
        <f xml:space="preserve"> Inputs!N$69</f>
        <v>0</v>
      </c>
      <c r="O35" s="96">
        <f xml:space="preserve"> Inputs!O$69</f>
        <v>0</v>
      </c>
      <c r="P35" s="96">
        <f xml:space="preserve"> Inputs!P$69</f>
        <v>0</v>
      </c>
      <c r="Q35" s="96">
        <f xml:space="preserve"> Inputs!Q$69</f>
        <v>0</v>
      </c>
      <c r="R35" s="96">
        <f xml:space="preserve"> Inputs!R$69</f>
        <v>0</v>
      </c>
      <c r="S35" s="96">
        <f xml:space="preserve"> Inputs!S$69</f>
        <v>0</v>
      </c>
      <c r="T35" s="96">
        <f xml:space="preserve"> Inputs!T$69</f>
        <v>0</v>
      </c>
      <c r="U35" s="96">
        <f xml:space="preserve"> Inputs!U$69</f>
        <v>0</v>
      </c>
      <c r="V35" s="96">
        <f xml:space="preserve"> Inputs!V$69</f>
        <v>0</v>
      </c>
      <c r="W35" s="96">
        <f xml:space="preserve"> Inputs!W$69</f>
        <v>0</v>
      </c>
    </row>
    <row r="36" spans="1:23" s="5" customFormat="1" ht="12.75" customHeight="1" outlineLevel="1">
      <c r="A36" s="62"/>
      <c r="B36" s="62"/>
      <c r="C36" s="60"/>
      <c r="D36" s="157"/>
      <c r="E36" s="127" t="str">
        <f xml:space="preserve"> E$33</f>
        <v>Bilateral entry adjustment - with financing adjustment and inflation adjustment</v>
      </c>
      <c r="F36" s="127">
        <f t="shared" ref="F36:W36" si="5" xml:space="preserve"> F$33</f>
        <v>0</v>
      </c>
      <c r="G36" s="127">
        <f t="shared" si="5"/>
        <v>0</v>
      </c>
      <c r="H36" s="146">
        <f t="shared" si="5"/>
        <v>0</v>
      </c>
      <c r="I36" s="146">
        <f t="shared" si="5"/>
        <v>0</v>
      </c>
      <c r="J36" s="146">
        <f t="shared" si="5"/>
        <v>0</v>
      </c>
      <c r="K36" s="146">
        <f t="shared" si="5"/>
        <v>0</v>
      </c>
      <c r="L36" s="146">
        <f t="shared" si="5"/>
        <v>0</v>
      </c>
      <c r="M36" s="146">
        <f t="shared" si="5"/>
        <v>0</v>
      </c>
      <c r="N36" s="146">
        <f t="shared" si="5"/>
        <v>0</v>
      </c>
      <c r="O36" s="146">
        <f t="shared" si="5"/>
        <v>0</v>
      </c>
      <c r="P36" s="146">
        <f t="shared" si="5"/>
        <v>0</v>
      </c>
      <c r="Q36" s="146">
        <f t="shared" si="5"/>
        <v>0</v>
      </c>
      <c r="R36" s="146">
        <f t="shared" si="5"/>
        <v>0</v>
      </c>
      <c r="S36" s="146">
        <f t="shared" si="5"/>
        <v>0</v>
      </c>
      <c r="T36" s="146">
        <f t="shared" si="5"/>
        <v>0</v>
      </c>
      <c r="U36" s="146">
        <f t="shared" si="5"/>
        <v>0</v>
      </c>
      <c r="V36" s="146">
        <f t="shared" si="5"/>
        <v>0</v>
      </c>
      <c r="W36" s="146">
        <f t="shared" si="5"/>
        <v>0</v>
      </c>
    </row>
    <row r="37" spans="1:23" s="210" customFormat="1" ht="12.75" customHeight="1" outlineLevel="1">
      <c r="A37" s="281"/>
      <c r="B37" s="281"/>
      <c r="C37" s="282"/>
      <c r="D37" s="283"/>
      <c r="E37" s="205" t="str">
        <f xml:space="preserve"> Time!E$127</f>
        <v>Financial year ending</v>
      </c>
      <c r="F37" s="205">
        <f xml:space="preserve"> Time!F$127</f>
        <v>0</v>
      </c>
      <c r="G37" s="205" t="str">
        <f xml:space="preserve"> Time!G$127</f>
        <v>year #</v>
      </c>
      <c r="H37" s="205">
        <f xml:space="preserve"> Time!H$127</f>
        <v>0</v>
      </c>
      <c r="I37" s="205">
        <f xml:space="preserve"> Time!I$127</f>
        <v>0</v>
      </c>
      <c r="J37" s="205">
        <f xml:space="preserve"> Time!J$127</f>
        <v>2015</v>
      </c>
      <c r="K37" s="205">
        <f xml:space="preserve"> Time!K$127</f>
        <v>2016</v>
      </c>
      <c r="L37" s="205">
        <f xml:space="preserve"> Time!L$127</f>
        <v>2017</v>
      </c>
      <c r="M37" s="205">
        <f xml:space="preserve"> Time!M$127</f>
        <v>2018</v>
      </c>
      <c r="N37" s="205">
        <f xml:space="preserve"> Time!N$127</f>
        <v>2019</v>
      </c>
      <c r="O37" s="205">
        <f xml:space="preserve"> Time!O$127</f>
        <v>2020</v>
      </c>
      <c r="P37" s="205">
        <f xml:space="preserve"> Time!P$127</f>
        <v>2021</v>
      </c>
      <c r="Q37" s="205">
        <f xml:space="preserve"> Time!Q$127</f>
        <v>2022</v>
      </c>
      <c r="R37" s="205">
        <f xml:space="preserve"> Time!R$127</f>
        <v>2023</v>
      </c>
      <c r="S37" s="205">
        <f xml:space="preserve"> Time!S$127</f>
        <v>2024</v>
      </c>
      <c r="T37" s="205">
        <f xml:space="preserve"> Time!T$127</f>
        <v>2025</v>
      </c>
      <c r="U37" s="205">
        <f xml:space="preserve"> Time!U$127</f>
        <v>2026</v>
      </c>
      <c r="V37" s="205">
        <f xml:space="preserve"> Time!V$127</f>
        <v>2027</v>
      </c>
      <c r="W37" s="205">
        <f xml:space="preserve"> Time!W$127</f>
        <v>2028</v>
      </c>
    </row>
    <row r="38" spans="1:23" s="5" customFormat="1" ht="12.75" customHeight="1" outlineLevel="1" thickBot="1">
      <c r="A38" s="62"/>
      <c r="B38" s="62"/>
      <c r="C38" s="60"/>
      <c r="D38" s="157"/>
      <c r="E38" s="217" t="s">
        <v>292</v>
      </c>
      <c r="F38" s="221"/>
      <c r="G38" s="221" t="s">
        <v>77</v>
      </c>
      <c r="H38" s="284">
        <f xml:space="preserve"> SUM(J38:W38)</f>
        <v>0</v>
      </c>
      <c r="I38" s="221"/>
      <c r="J38" s="285">
        <f t="shared" ref="J38:O38" si="6" xml:space="preserve"> SUMIF($J37:$W37, J37 - $F35, $J36:$W36)</f>
        <v>0</v>
      </c>
      <c r="K38" s="285">
        <f t="shared" si="6"/>
        <v>0</v>
      </c>
      <c r="L38" s="285">
        <f xml:space="preserve"> SUMIF($J37:$W37, L37 - $F35, $J36:$W36)</f>
        <v>0</v>
      </c>
      <c r="M38" s="285">
        <f t="shared" si="6"/>
        <v>0</v>
      </c>
      <c r="N38" s="285">
        <f xml:space="preserve"> SUMIF($J37:$W37, N37 - $F35, $J36:$W36)</f>
        <v>0</v>
      </c>
      <c r="O38" s="285">
        <f t="shared" si="6"/>
        <v>0</v>
      </c>
      <c r="P38" s="285">
        <f t="shared" ref="P38:W38" si="7" xml:space="preserve"> SUMIF($J37:$W37, P37 - $F35, $J36:$W36)</f>
        <v>0</v>
      </c>
      <c r="Q38" s="285">
        <f t="shared" si="7"/>
        <v>0</v>
      </c>
      <c r="R38" s="285">
        <f t="shared" si="7"/>
        <v>0</v>
      </c>
      <c r="S38" s="285">
        <f t="shared" si="7"/>
        <v>0</v>
      </c>
      <c r="T38" s="285">
        <f t="shared" si="7"/>
        <v>0</v>
      </c>
      <c r="U38" s="285">
        <f t="shared" si="7"/>
        <v>0</v>
      </c>
      <c r="V38" s="285">
        <f t="shared" si="7"/>
        <v>0</v>
      </c>
      <c r="W38" s="285">
        <f t="shared" si="7"/>
        <v>0</v>
      </c>
    </row>
    <row r="39" spans="1:23" s="5" customFormat="1" ht="12.75" customHeight="1" thickTop="1">
      <c r="A39" s="62"/>
      <c r="B39" s="62"/>
      <c r="C39" s="60"/>
      <c r="D39" s="157"/>
      <c r="E39" s="151"/>
      <c r="F39" s="56"/>
      <c r="G39" s="56"/>
      <c r="H39" s="93"/>
      <c r="I39" s="56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</row>
    <row r="40" spans="1:23" ht="12.75" customHeight="1">
      <c r="A40" s="113" t="s">
        <v>293</v>
      </c>
      <c r="B40" s="113"/>
      <c r="C40" s="112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</row>
    <row r="41" spans="1:23" ht="12.75" customHeight="1">
      <c r="A41" s="61"/>
      <c r="C41" s="108"/>
      <c r="E41" s="111"/>
    </row>
    <row r="42" spans="1:23" s="72" customFormat="1" ht="12.75" customHeight="1" outlineLevel="1">
      <c r="A42" s="64"/>
      <c r="B42" s="64" t="s">
        <v>294</v>
      </c>
      <c r="C42" s="71"/>
      <c r="D42" s="69"/>
    </row>
    <row r="43" spans="1:23" s="72" customFormat="1" ht="12.75" customHeight="1" outlineLevel="1">
      <c r="A43" s="64"/>
      <c r="B43" s="64"/>
      <c r="C43" s="71"/>
      <c r="D43" s="69"/>
    </row>
    <row r="44" spans="1:23" s="120" customFormat="1" ht="12.75" customHeight="1" outlineLevel="1">
      <c r="A44" s="64"/>
      <c r="B44" s="64"/>
      <c r="C44" s="71"/>
      <c r="D44" s="69"/>
      <c r="E44" s="110" t="str">
        <f xml:space="preserve"> Inputs!E$110</f>
        <v>Total blind year adjustment - Water-N+ (base year 2019/2020)</v>
      </c>
      <c r="F44" s="110">
        <f xml:space="preserve"> Inputs!F$110</f>
        <v>2.3260000265723297</v>
      </c>
      <c r="G44" s="110" t="str">
        <f xml:space="preserve"> Inputs!G$110</f>
        <v>£m</v>
      </c>
      <c r="H44" s="110">
        <f xml:space="preserve"> Inputs!H$110</f>
        <v>0</v>
      </c>
      <c r="I44" s="110">
        <f xml:space="preserve"> Inputs!I$110</f>
        <v>0</v>
      </c>
      <c r="J44" s="110">
        <f xml:space="preserve"> Inputs!J$110</f>
        <v>0</v>
      </c>
      <c r="K44" s="110">
        <f xml:space="preserve"> Inputs!K$110</f>
        <v>0</v>
      </c>
      <c r="L44" s="110">
        <f xml:space="preserve"> Inputs!L$110</f>
        <v>0</v>
      </c>
      <c r="M44" s="110">
        <f xml:space="preserve"> Inputs!M$110</f>
        <v>0</v>
      </c>
      <c r="N44" s="110">
        <f xml:space="preserve"> Inputs!N$110</f>
        <v>0</v>
      </c>
      <c r="O44" s="110">
        <f xml:space="preserve"> Inputs!O$110</f>
        <v>0</v>
      </c>
      <c r="P44" s="110">
        <f xml:space="preserve"> Inputs!P$110</f>
        <v>0</v>
      </c>
      <c r="Q44" s="110">
        <f xml:space="preserve"> Inputs!Q$110</f>
        <v>0</v>
      </c>
      <c r="R44" s="110">
        <f xml:space="preserve"> Inputs!R$110</f>
        <v>0</v>
      </c>
      <c r="S44" s="110">
        <f xml:space="preserve"> Inputs!S$110</f>
        <v>0</v>
      </c>
      <c r="T44" s="110">
        <f xml:space="preserve"> Inputs!T$110</f>
        <v>0</v>
      </c>
      <c r="U44" s="110">
        <f xml:space="preserve"> Inputs!U$110</f>
        <v>0</v>
      </c>
      <c r="V44" s="110">
        <f xml:space="preserve"> Inputs!V$110</f>
        <v>0</v>
      </c>
      <c r="W44" s="110">
        <f xml:space="preserve"> Inputs!W$110</f>
        <v>0</v>
      </c>
    </row>
    <row r="45" spans="1:23" s="120" customFormat="1" ht="12.75" customHeight="1" outlineLevel="1">
      <c r="A45" s="64"/>
      <c r="B45" s="64"/>
      <c r="C45" s="71"/>
      <c r="D45" s="69"/>
      <c r="E45" s="110" t="str">
        <f xml:space="preserve"> Inputs!E$112</f>
        <v>Blind year profiling factor - Water-N+</v>
      </c>
      <c r="F45" s="110">
        <f xml:space="preserve"> Inputs!F$112</f>
        <v>0</v>
      </c>
      <c r="G45" s="110" t="str">
        <f xml:space="preserve"> Inputs!G$112</f>
        <v>%</v>
      </c>
      <c r="H45" s="34">
        <f xml:space="preserve"> Inputs!H$112</f>
        <v>1</v>
      </c>
      <c r="I45" s="34">
        <f xml:space="preserve"> Inputs!I$112</f>
        <v>0</v>
      </c>
      <c r="J45" s="34">
        <f xml:space="preserve"> Inputs!J$112</f>
        <v>0</v>
      </c>
      <c r="K45" s="34">
        <f xml:space="preserve"> Inputs!K$112</f>
        <v>0</v>
      </c>
      <c r="L45" s="34">
        <f xml:space="preserve"> Inputs!L$112</f>
        <v>0</v>
      </c>
      <c r="M45" s="34">
        <f xml:space="preserve"> Inputs!M$112</f>
        <v>0</v>
      </c>
      <c r="N45" s="34">
        <f xml:space="preserve"> Inputs!N$112</f>
        <v>0</v>
      </c>
      <c r="O45" s="34">
        <f xml:space="preserve"> Inputs!O$112</f>
        <v>0</v>
      </c>
      <c r="P45" s="34">
        <f xml:space="preserve"> Inputs!P$112</f>
        <v>0</v>
      </c>
      <c r="Q45" s="34">
        <f xml:space="preserve"> Inputs!Q$112</f>
        <v>0.25</v>
      </c>
      <c r="R45" s="34">
        <f xml:space="preserve"> Inputs!R$112</f>
        <v>0.25</v>
      </c>
      <c r="S45" s="34">
        <f xml:space="preserve"> Inputs!S$112</f>
        <v>0.25</v>
      </c>
      <c r="T45" s="34">
        <f xml:space="preserve"> Inputs!T$112</f>
        <v>0.25</v>
      </c>
      <c r="U45" s="34">
        <f xml:space="preserve"> Inputs!U$112</f>
        <v>0</v>
      </c>
      <c r="V45" s="34">
        <f xml:space="preserve"> Inputs!V$112</f>
        <v>0</v>
      </c>
      <c r="W45" s="34">
        <f xml:space="preserve"> Inputs!W$112</f>
        <v>0</v>
      </c>
    </row>
    <row r="46" spans="1:23" s="120" customFormat="1" ht="12.75" customHeight="1" outlineLevel="1">
      <c r="A46" s="64"/>
      <c r="B46" s="64"/>
      <c r="C46" s="71"/>
      <c r="D46" s="69"/>
      <c r="E46" s="127" t="s">
        <v>295</v>
      </c>
      <c r="F46" s="110"/>
      <c r="G46" s="68" t="s">
        <v>77</v>
      </c>
      <c r="H46" s="81">
        <f xml:space="preserve"> SUM(J46:W46)</f>
        <v>2.3260000265723297</v>
      </c>
      <c r="I46" s="72"/>
      <c r="J46" s="68">
        <f xml:space="preserve"> J45 * $F$44</f>
        <v>0</v>
      </c>
      <c r="K46" s="68">
        <f t="shared" ref="K46:W46" si="8" xml:space="preserve"> K45 * $F$44</f>
        <v>0</v>
      </c>
      <c r="L46" s="68">
        <f t="shared" si="8"/>
        <v>0</v>
      </c>
      <c r="M46" s="68">
        <f t="shared" si="8"/>
        <v>0</v>
      </c>
      <c r="N46" s="68">
        <f t="shared" si="8"/>
        <v>0</v>
      </c>
      <c r="O46" s="68">
        <f t="shared" si="8"/>
        <v>0</v>
      </c>
      <c r="P46" s="68">
        <f t="shared" si="8"/>
        <v>0</v>
      </c>
      <c r="Q46" s="68">
        <f t="shared" si="8"/>
        <v>0.58150000664308243</v>
      </c>
      <c r="R46" s="68">
        <f t="shared" si="8"/>
        <v>0.58150000664308243</v>
      </c>
      <c r="S46" s="68">
        <f t="shared" si="8"/>
        <v>0.58150000664308243</v>
      </c>
      <c r="T46" s="68">
        <f t="shared" si="8"/>
        <v>0.58150000664308243</v>
      </c>
      <c r="U46" s="68">
        <f t="shared" si="8"/>
        <v>0</v>
      </c>
      <c r="V46" s="68">
        <f t="shared" si="8"/>
        <v>0</v>
      </c>
      <c r="W46" s="68">
        <f t="shared" si="8"/>
        <v>0</v>
      </c>
    </row>
    <row r="47" spans="1:23" s="120" customFormat="1" ht="12.75" customHeight="1" outlineLevel="1">
      <c r="A47" s="64"/>
      <c r="B47" s="64"/>
      <c r="C47" s="71"/>
      <c r="D47" s="69"/>
      <c r="E47" s="110"/>
      <c r="F47" s="110"/>
      <c r="G47" s="110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</row>
    <row r="48" spans="1:23" s="120" customFormat="1" ht="12.75" customHeight="1" outlineLevel="1">
      <c r="A48" s="64"/>
      <c r="B48" s="64"/>
      <c r="C48" s="71"/>
      <c r="D48" s="69"/>
      <c r="E48" s="34" t="str">
        <f xml:space="preserve"> Inputs!E$63</f>
        <v>Discount rate</v>
      </c>
      <c r="F48" s="34">
        <f xml:space="preserve"> Inputs!F$63</f>
        <v>2.92E-2</v>
      </c>
      <c r="G48" s="34" t="str">
        <f xml:space="preserve"> Inputs!G$63</f>
        <v>%</v>
      </c>
      <c r="H48" s="34">
        <f xml:space="preserve"> Inputs!H$63</f>
        <v>0</v>
      </c>
      <c r="I48" s="34">
        <f xml:space="preserve"> Inputs!I$63</f>
        <v>0</v>
      </c>
      <c r="J48" s="34">
        <f xml:space="preserve"> Inputs!J$63</f>
        <v>0</v>
      </c>
      <c r="K48" s="34">
        <f xml:space="preserve"> Inputs!K$63</f>
        <v>0</v>
      </c>
      <c r="L48" s="34">
        <f xml:space="preserve"> Inputs!L$63</f>
        <v>0</v>
      </c>
      <c r="M48" s="34">
        <f xml:space="preserve"> Inputs!M$63</f>
        <v>0</v>
      </c>
      <c r="N48" s="34">
        <f xml:space="preserve"> Inputs!N$63</f>
        <v>0</v>
      </c>
      <c r="O48" s="34">
        <f xml:space="preserve"> Inputs!O$63</f>
        <v>0</v>
      </c>
      <c r="P48" s="34">
        <f xml:space="preserve"> Inputs!P$63</f>
        <v>0</v>
      </c>
      <c r="Q48" s="34">
        <f xml:space="preserve"> Inputs!Q$63</f>
        <v>0</v>
      </c>
      <c r="R48" s="34">
        <f xml:space="preserve"> Inputs!R$63</f>
        <v>0</v>
      </c>
      <c r="S48" s="34">
        <f xml:space="preserve"> Inputs!S$63</f>
        <v>0</v>
      </c>
      <c r="T48" s="34">
        <f xml:space="preserve"> Inputs!T$63</f>
        <v>0</v>
      </c>
      <c r="U48" s="34">
        <f xml:space="preserve"> Inputs!U$63</f>
        <v>0</v>
      </c>
      <c r="V48" s="34">
        <f xml:space="preserve"> Inputs!V$63</f>
        <v>0</v>
      </c>
      <c r="W48" s="34">
        <f xml:space="preserve"> Inputs!W$63</f>
        <v>0</v>
      </c>
    </row>
    <row r="49" spans="1:23" s="120" customFormat="1" ht="12.75" customHeight="1" outlineLevel="1">
      <c r="A49" s="64"/>
      <c r="B49" s="64"/>
      <c r="C49" s="71"/>
      <c r="D49" s="69"/>
      <c r="E49" s="81" t="str">
        <f xml:space="preserve"> E$46</f>
        <v>Blind year adjustment (profiled) - Water-N+ (base year 2019/20)</v>
      </c>
      <c r="F49" s="81">
        <f t="shared" ref="F49:W49" si="9" xml:space="preserve"> F$46</f>
        <v>0</v>
      </c>
      <c r="G49" s="81" t="str">
        <f t="shared" si="9"/>
        <v>£m</v>
      </c>
      <c r="H49" s="81">
        <f t="shared" si="9"/>
        <v>2.3260000265723297</v>
      </c>
      <c r="I49" s="81">
        <f t="shared" si="9"/>
        <v>0</v>
      </c>
      <c r="J49" s="81">
        <f t="shared" si="9"/>
        <v>0</v>
      </c>
      <c r="K49" s="81">
        <f t="shared" si="9"/>
        <v>0</v>
      </c>
      <c r="L49" s="81">
        <f t="shared" si="9"/>
        <v>0</v>
      </c>
      <c r="M49" s="81">
        <f t="shared" si="9"/>
        <v>0</v>
      </c>
      <c r="N49" s="81">
        <f t="shared" si="9"/>
        <v>0</v>
      </c>
      <c r="O49" s="81">
        <f t="shared" si="9"/>
        <v>0</v>
      </c>
      <c r="P49" s="81">
        <f t="shared" si="9"/>
        <v>0</v>
      </c>
      <c r="Q49" s="81">
        <f t="shared" si="9"/>
        <v>0.58150000664308243</v>
      </c>
      <c r="R49" s="81">
        <f t="shared" si="9"/>
        <v>0.58150000664308243</v>
      </c>
      <c r="S49" s="81">
        <f t="shared" si="9"/>
        <v>0.58150000664308243</v>
      </c>
      <c r="T49" s="81">
        <f t="shared" si="9"/>
        <v>0.58150000664308243</v>
      </c>
      <c r="U49" s="81">
        <f t="shared" si="9"/>
        <v>0</v>
      </c>
      <c r="V49" s="81">
        <f t="shared" si="9"/>
        <v>0</v>
      </c>
      <c r="W49" s="81">
        <f t="shared" si="9"/>
        <v>0</v>
      </c>
    </row>
    <row r="50" spans="1:23" ht="12.75" customHeight="1" outlineLevel="1">
      <c r="E50" s="111" t="str">
        <f xml:space="preserve"> Time!E$63</f>
        <v>Forecast period counter</v>
      </c>
      <c r="F50" s="111">
        <f xml:space="preserve"> Time!F$63</f>
        <v>0</v>
      </c>
      <c r="G50" s="111" t="str">
        <f xml:space="preserve"> Time!G$63</f>
        <v>counter</v>
      </c>
      <c r="H50" s="111">
        <f xml:space="preserve"> Time!H$63</f>
        <v>0</v>
      </c>
      <c r="I50" s="111">
        <f xml:space="preserve"> Time!I$63</f>
        <v>0</v>
      </c>
      <c r="J50" s="111">
        <f xml:space="preserve"> Time!J$63</f>
        <v>0</v>
      </c>
      <c r="K50" s="111">
        <f xml:space="preserve"> Time!K$63</f>
        <v>0</v>
      </c>
      <c r="L50" s="111">
        <f xml:space="preserve"> Time!L$63</f>
        <v>0</v>
      </c>
      <c r="M50" s="111">
        <f xml:space="preserve"> Time!M$63</f>
        <v>0</v>
      </c>
      <c r="N50" s="111">
        <f xml:space="preserve"> Time!N$63</f>
        <v>0</v>
      </c>
      <c r="O50" s="111">
        <f xml:space="preserve"> Time!O$63</f>
        <v>0</v>
      </c>
      <c r="P50" s="111">
        <f xml:space="preserve"> Time!P$63</f>
        <v>1</v>
      </c>
      <c r="Q50" s="111">
        <f xml:space="preserve"> Time!Q$63</f>
        <v>2</v>
      </c>
      <c r="R50" s="111">
        <f xml:space="preserve"> Time!R$63</f>
        <v>3</v>
      </c>
      <c r="S50" s="111">
        <f xml:space="preserve"> Time!S$63</f>
        <v>4</v>
      </c>
      <c r="T50" s="111">
        <f xml:space="preserve"> Time!T$63</f>
        <v>5</v>
      </c>
      <c r="U50" s="111">
        <f xml:space="preserve"> Time!U$63</f>
        <v>0</v>
      </c>
      <c r="V50" s="111">
        <f xml:space="preserve"> Time!V$63</f>
        <v>0</v>
      </c>
      <c r="W50" s="111">
        <f xml:space="preserve"> Time!W$63</f>
        <v>0</v>
      </c>
    </row>
    <row r="51" spans="1:23" s="55" customFormat="1" ht="12.75" customHeight="1" outlineLevel="1">
      <c r="A51" s="62"/>
      <c r="B51" s="61"/>
      <c r="C51" s="60"/>
      <c r="D51" s="59"/>
      <c r="E51" s="99" t="s">
        <v>296</v>
      </c>
      <c r="F51" s="102"/>
      <c r="G51" s="55" t="s">
        <v>77</v>
      </c>
      <c r="H51" s="102"/>
      <c r="I51" s="102"/>
      <c r="J51" s="92">
        <f xml:space="preserve"> J49 * ( 1 + $F$48 ) ^ J50</f>
        <v>0</v>
      </c>
      <c r="K51" s="92">
        <f t="shared" ref="K51:W51" si="10" xml:space="preserve"> K49 * ( 1 + $F$48 ) ^ K50</f>
        <v>0</v>
      </c>
      <c r="L51" s="92">
        <f t="shared" si="10"/>
        <v>0</v>
      </c>
      <c r="M51" s="92">
        <f t="shared" si="10"/>
        <v>0</v>
      </c>
      <c r="N51" s="92">
        <f t="shared" si="10"/>
        <v>0</v>
      </c>
      <c r="O51" s="92">
        <f t="shared" si="10"/>
        <v>0</v>
      </c>
      <c r="P51" s="92">
        <f t="shared" si="10"/>
        <v>0</v>
      </c>
      <c r="Q51" s="92">
        <f t="shared" si="10"/>
        <v>0.61595541719670244</v>
      </c>
      <c r="R51" s="92">
        <f t="shared" si="10"/>
        <v>0.63394131537884613</v>
      </c>
      <c r="S51" s="92">
        <f t="shared" si="10"/>
        <v>0.65245240178790831</v>
      </c>
      <c r="T51" s="92">
        <f t="shared" si="10"/>
        <v>0.67150401192011522</v>
      </c>
      <c r="U51" s="92">
        <f t="shared" si="10"/>
        <v>0</v>
      </c>
      <c r="V51" s="92">
        <f t="shared" si="10"/>
        <v>0</v>
      </c>
      <c r="W51" s="92">
        <f t="shared" si="10"/>
        <v>0</v>
      </c>
    </row>
    <row r="52" spans="1:23" s="120" customFormat="1" ht="12.75" customHeight="1" outlineLevel="1">
      <c r="A52" s="64"/>
      <c r="B52" s="64"/>
      <c r="C52" s="71"/>
      <c r="D52" s="69"/>
      <c r="E52" s="110"/>
      <c r="F52" s="110"/>
      <c r="G52" s="110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</row>
    <row r="53" spans="1:23" ht="12.75" customHeight="1" outlineLevel="1">
      <c r="E53" s="34" t="str">
        <f>'Indices and K factor'!E$22</f>
        <v>CPIH: Nov - Nov index (prior year) inflating from 2019/20</v>
      </c>
      <c r="F53" s="34">
        <f>'Indices and K factor'!F$22</f>
        <v>0</v>
      </c>
      <c r="G53" s="34" t="str">
        <f>'Indices and K factor'!G$22</f>
        <v>index</v>
      </c>
      <c r="H53" s="34">
        <f>'Indices and K factor'!H$22</f>
        <v>0</v>
      </c>
      <c r="I53" s="34">
        <f>'Indices and K factor'!I$22</f>
        <v>0</v>
      </c>
      <c r="J53" s="34">
        <f>'Indices and K factor'!J$22</f>
        <v>0</v>
      </c>
      <c r="K53" s="34">
        <f>'Indices and K factor'!K$22</f>
        <v>0</v>
      </c>
      <c r="L53" s="34">
        <f>'Indices and K factor'!L$22</f>
        <v>0</v>
      </c>
      <c r="M53" s="34">
        <f>'Indices and K factor'!M$22</f>
        <v>0</v>
      </c>
      <c r="N53" s="34">
        <f>'Indices and K factor'!N$22</f>
        <v>0</v>
      </c>
      <c r="O53" s="34">
        <f>'Indices and K factor'!O$22</f>
        <v>0</v>
      </c>
      <c r="P53" s="34">
        <f>'Indices and K factor'!P$22</f>
        <v>1.0149672591206735</v>
      </c>
      <c r="Q53" s="34">
        <f>'Indices and K factor'!Q$22</f>
        <v>1.020579981290926</v>
      </c>
      <c r="R53" s="34">
        <f>'Indices and K factor'!R$22</f>
        <v>1.0673526660430308</v>
      </c>
      <c r="S53" s="34">
        <f>'Indices and K factor'!S$22</f>
        <v>1.167446211412535</v>
      </c>
      <c r="T53" s="34">
        <f>'Indices and K factor'!T$22</f>
        <v>1.2160898035547241</v>
      </c>
      <c r="U53" s="34">
        <f>'Indices and K factor'!U$22</f>
        <v>0</v>
      </c>
      <c r="V53" s="34">
        <f>'Indices and K factor'!V$22</f>
        <v>0</v>
      </c>
      <c r="W53" s="34">
        <f>'Indices and K factor'!W$22</f>
        <v>0</v>
      </c>
    </row>
    <row r="54" spans="1:23" s="32" customFormat="1" ht="12.75" customHeight="1" outlineLevel="1">
      <c r="A54" s="52"/>
      <c r="B54" s="52"/>
      <c r="C54" s="50"/>
      <c r="D54" s="91"/>
      <c r="E54" s="99" t="str">
        <f t="shared" ref="E54:W54" si="11">E$51</f>
        <v>Blind year adjustment inc. financing rate adjustment - Water-N+ (base year 2019/2020)</v>
      </c>
      <c r="F54" s="99">
        <f t="shared" si="11"/>
        <v>0</v>
      </c>
      <c r="G54" s="99" t="str">
        <f t="shared" si="11"/>
        <v>£m</v>
      </c>
      <c r="H54" s="99">
        <f t="shared" si="11"/>
        <v>0</v>
      </c>
      <c r="I54" s="99">
        <f t="shared" si="11"/>
        <v>0</v>
      </c>
      <c r="J54" s="91">
        <f t="shared" si="11"/>
        <v>0</v>
      </c>
      <c r="K54" s="91">
        <f t="shared" si="11"/>
        <v>0</v>
      </c>
      <c r="L54" s="91">
        <f t="shared" si="11"/>
        <v>0</v>
      </c>
      <c r="M54" s="91">
        <f t="shared" si="11"/>
        <v>0</v>
      </c>
      <c r="N54" s="91">
        <f t="shared" si="11"/>
        <v>0</v>
      </c>
      <c r="O54" s="91">
        <f t="shared" si="11"/>
        <v>0</v>
      </c>
      <c r="P54" s="91">
        <f t="shared" si="11"/>
        <v>0</v>
      </c>
      <c r="Q54" s="91">
        <f t="shared" si="11"/>
        <v>0.61595541719670244</v>
      </c>
      <c r="R54" s="91">
        <f t="shared" si="11"/>
        <v>0.63394131537884613</v>
      </c>
      <c r="S54" s="91">
        <f t="shared" si="11"/>
        <v>0.65245240178790831</v>
      </c>
      <c r="T54" s="91">
        <f t="shared" si="11"/>
        <v>0.67150401192011522</v>
      </c>
      <c r="U54" s="91">
        <f t="shared" si="11"/>
        <v>0</v>
      </c>
      <c r="V54" s="91">
        <f t="shared" si="11"/>
        <v>0</v>
      </c>
      <c r="W54" s="91">
        <f t="shared" si="11"/>
        <v>0</v>
      </c>
    </row>
    <row r="55" spans="1:23" s="274" customFormat="1" ht="12.75" customHeight="1" outlineLevel="1">
      <c r="A55" s="164"/>
      <c r="B55" s="164"/>
      <c r="C55" s="165"/>
      <c r="D55" s="73"/>
      <c r="E55" s="151" t="s">
        <v>297</v>
      </c>
      <c r="F55" s="151"/>
      <c r="G55" s="151" t="s">
        <v>77</v>
      </c>
      <c r="H55" s="273">
        <f xml:space="preserve"> SUM(J55:W55)</f>
        <v>2.8835829877795369</v>
      </c>
      <c r="I55" s="151"/>
      <c r="J55" s="273">
        <f xml:space="preserve"> J53 * J54</f>
        <v>0</v>
      </c>
      <c r="K55" s="273">
        <f t="shared" ref="K55:T55" si="12" xml:space="preserve"> K53 * K54</f>
        <v>0</v>
      </c>
      <c r="L55" s="273">
        <f t="shared" si="12"/>
        <v>0</v>
      </c>
      <c r="M55" s="273">
        <f t="shared" si="12"/>
        <v>0</v>
      </c>
      <c r="N55" s="273">
        <f t="shared" si="12"/>
        <v>0</v>
      </c>
      <c r="O55" s="273">
        <f t="shared" si="12"/>
        <v>0</v>
      </c>
      <c r="P55" s="273">
        <f t="shared" si="12"/>
        <v>0</v>
      </c>
      <c r="Q55" s="273">
        <f xml:space="preserve"> Q53 * Q54</f>
        <v>0.62863176815865507</v>
      </c>
      <c r="R55" s="273">
        <f t="shared" si="12"/>
        <v>0.67663895308443722</v>
      </c>
      <c r="S55" s="273">
        <f t="shared" si="12"/>
        <v>0.76170308459430269</v>
      </c>
      <c r="T55" s="273">
        <f t="shared" si="12"/>
        <v>0.81660918194214205</v>
      </c>
      <c r="U55" s="273">
        <f xml:space="preserve"> U53 * U54</f>
        <v>0</v>
      </c>
      <c r="V55" s="273">
        <f xml:space="preserve"> V53 * V54</f>
        <v>0</v>
      </c>
      <c r="W55" s="273">
        <f xml:space="preserve"> W53 * W54</f>
        <v>0</v>
      </c>
    </row>
    <row r="56" spans="1:23" s="274" customFormat="1" ht="12.75" customHeight="1" outlineLevel="1">
      <c r="A56" s="164"/>
      <c r="B56" s="164"/>
      <c r="C56" s="165"/>
      <c r="D56" s="73"/>
      <c r="E56" s="151"/>
      <c r="F56" s="151"/>
      <c r="G56" s="151"/>
      <c r="H56" s="273"/>
      <c r="I56" s="151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</row>
    <row r="57" spans="1:23" s="127" customFormat="1" ht="12.75" customHeight="1" outlineLevel="1">
      <c r="A57" s="164"/>
      <c r="B57" s="164" t="s">
        <v>298</v>
      </c>
      <c r="C57" s="165"/>
      <c r="D57" s="73"/>
    </row>
    <row r="58" spans="1:23" s="127" customFormat="1" ht="12.75" customHeight="1" outlineLevel="1">
      <c r="A58" s="164"/>
      <c r="B58" s="164"/>
      <c r="C58" s="165"/>
      <c r="D58" s="73"/>
    </row>
    <row r="59" spans="1:23" s="121" customFormat="1" ht="12.75" customHeight="1" outlineLevel="1">
      <c r="A59" s="164"/>
      <c r="B59" s="164"/>
      <c r="C59" s="165"/>
      <c r="D59" s="73"/>
      <c r="E59" s="94" t="str">
        <f xml:space="preserve"> Inputs!E$90</f>
        <v>Total blind year adjustment - Water Res (base year 2019/2020)</v>
      </c>
      <c r="F59" s="94">
        <f xml:space="preserve"> Inputs!F$90</f>
        <v>0</v>
      </c>
      <c r="G59" s="94" t="str">
        <f xml:space="preserve"> Inputs!G$90</f>
        <v>£m</v>
      </c>
      <c r="H59" s="94">
        <f xml:space="preserve"> Inputs!H$90</f>
        <v>0</v>
      </c>
      <c r="I59" s="94">
        <f xml:space="preserve"> Inputs!I$90</f>
        <v>0</v>
      </c>
      <c r="J59" s="94">
        <f xml:space="preserve"> Inputs!J$90</f>
        <v>0</v>
      </c>
      <c r="K59" s="94">
        <f xml:space="preserve"> Inputs!K$90</f>
        <v>0</v>
      </c>
      <c r="L59" s="94">
        <f xml:space="preserve"> Inputs!L$90</f>
        <v>0</v>
      </c>
      <c r="M59" s="94">
        <f xml:space="preserve"> Inputs!M$90</f>
        <v>0</v>
      </c>
      <c r="N59" s="94">
        <f xml:space="preserve"> Inputs!N$90</f>
        <v>0</v>
      </c>
      <c r="O59" s="94">
        <f xml:space="preserve"> Inputs!O$90</f>
        <v>0</v>
      </c>
      <c r="P59" s="94">
        <f xml:space="preserve"> Inputs!P$90</f>
        <v>0</v>
      </c>
      <c r="Q59" s="94">
        <f xml:space="preserve"> Inputs!Q$90</f>
        <v>0</v>
      </c>
      <c r="R59" s="94">
        <f xml:space="preserve"> Inputs!R$90</f>
        <v>0</v>
      </c>
      <c r="S59" s="94">
        <f xml:space="preserve"> Inputs!S$90</f>
        <v>0</v>
      </c>
      <c r="T59" s="94">
        <f xml:space="preserve"> Inputs!T$90</f>
        <v>0</v>
      </c>
      <c r="U59" s="94">
        <f xml:space="preserve"> Inputs!U$90</f>
        <v>0</v>
      </c>
      <c r="V59" s="94">
        <f xml:space="preserve"> Inputs!V$90</f>
        <v>0</v>
      </c>
      <c r="W59" s="94">
        <f xml:space="preserve"> Inputs!W$90</f>
        <v>0</v>
      </c>
    </row>
    <row r="60" spans="1:23" s="121" customFormat="1" ht="12.75" customHeight="1" outlineLevel="1">
      <c r="A60" s="164"/>
      <c r="B60" s="164"/>
      <c r="C60" s="165"/>
      <c r="D60" s="73"/>
      <c r="E60" s="94" t="str">
        <f xml:space="preserve"> Inputs!E$92</f>
        <v>Blind year profiling factor - Water Res</v>
      </c>
      <c r="F60" s="94">
        <f xml:space="preserve"> Inputs!F$92</f>
        <v>0</v>
      </c>
      <c r="G60" s="94" t="str">
        <f xml:space="preserve"> Inputs!G$92</f>
        <v>%</v>
      </c>
      <c r="H60" s="94">
        <f xml:space="preserve"> Inputs!H$92</f>
        <v>1</v>
      </c>
      <c r="I60" s="94">
        <f xml:space="preserve"> Inputs!I$92</f>
        <v>0</v>
      </c>
      <c r="J60" s="94">
        <f xml:space="preserve"> Inputs!J$92</f>
        <v>0</v>
      </c>
      <c r="K60" s="94">
        <f xml:space="preserve"> Inputs!K$92</f>
        <v>0</v>
      </c>
      <c r="L60" s="94">
        <f xml:space="preserve"> Inputs!L$92</f>
        <v>0</v>
      </c>
      <c r="M60" s="94">
        <f xml:space="preserve"> Inputs!M$92</f>
        <v>0</v>
      </c>
      <c r="N60" s="94">
        <f xml:space="preserve"> Inputs!N$92</f>
        <v>0</v>
      </c>
      <c r="O60" s="94">
        <f xml:space="preserve"> Inputs!O$92</f>
        <v>0</v>
      </c>
      <c r="P60" s="94">
        <f xml:space="preserve"> Inputs!P$92</f>
        <v>0</v>
      </c>
      <c r="Q60" s="94">
        <f xml:space="preserve"> Inputs!Q$92</f>
        <v>0.25</v>
      </c>
      <c r="R60" s="94">
        <f xml:space="preserve"> Inputs!R$92</f>
        <v>0.25</v>
      </c>
      <c r="S60" s="94">
        <f xml:space="preserve"> Inputs!S$92</f>
        <v>0.25</v>
      </c>
      <c r="T60" s="94">
        <f xml:space="preserve"> Inputs!T$92</f>
        <v>0.25</v>
      </c>
      <c r="U60" s="94">
        <f xml:space="preserve"> Inputs!U$92</f>
        <v>0</v>
      </c>
      <c r="V60" s="94">
        <f xml:space="preserve"> Inputs!V$92</f>
        <v>0</v>
      </c>
      <c r="W60" s="94">
        <f xml:space="preserve"> Inputs!W$92</f>
        <v>0</v>
      </c>
    </row>
    <row r="61" spans="1:23" s="121" customFormat="1" ht="12.75" customHeight="1" outlineLevel="1">
      <c r="A61" s="164"/>
      <c r="B61" s="164"/>
      <c r="C61" s="165"/>
      <c r="D61" s="73"/>
      <c r="E61" s="127" t="s">
        <v>299</v>
      </c>
      <c r="F61" s="94"/>
      <c r="G61" s="146" t="s">
        <v>77</v>
      </c>
      <c r="H61" s="84">
        <f xml:space="preserve"> SUM( J61:W61 )</f>
        <v>0</v>
      </c>
      <c r="I61" s="127"/>
      <c r="J61" s="146">
        <f xml:space="preserve"> J60 * $F$59</f>
        <v>0</v>
      </c>
      <c r="K61" s="146">
        <f t="shared" ref="K61:W61" si="13" xml:space="preserve"> K60 * $F$59</f>
        <v>0</v>
      </c>
      <c r="L61" s="146">
        <f t="shared" si="13"/>
        <v>0</v>
      </c>
      <c r="M61" s="146">
        <f t="shared" si="13"/>
        <v>0</v>
      </c>
      <c r="N61" s="146">
        <f t="shared" si="13"/>
        <v>0</v>
      </c>
      <c r="O61" s="146">
        <f t="shared" si="13"/>
        <v>0</v>
      </c>
      <c r="P61" s="146">
        <f t="shared" si="13"/>
        <v>0</v>
      </c>
      <c r="Q61" s="146">
        <f t="shared" si="13"/>
        <v>0</v>
      </c>
      <c r="R61" s="146">
        <f t="shared" si="13"/>
        <v>0</v>
      </c>
      <c r="S61" s="146">
        <f t="shared" si="13"/>
        <v>0</v>
      </c>
      <c r="T61" s="146">
        <f t="shared" si="13"/>
        <v>0</v>
      </c>
      <c r="U61" s="146">
        <f t="shared" si="13"/>
        <v>0</v>
      </c>
      <c r="V61" s="146">
        <f t="shared" si="13"/>
        <v>0</v>
      </c>
      <c r="W61" s="146">
        <f t="shared" si="13"/>
        <v>0</v>
      </c>
    </row>
    <row r="62" spans="1:23" s="121" customFormat="1" ht="12.75" customHeight="1" outlineLevel="1">
      <c r="A62" s="164"/>
      <c r="B62" s="164"/>
      <c r="C62" s="165"/>
      <c r="D62" s="73"/>
      <c r="E62" s="94"/>
      <c r="F62" s="94"/>
      <c r="G62" s="94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</row>
    <row r="63" spans="1:23" s="121" customFormat="1" ht="12.75" customHeight="1" outlineLevel="1">
      <c r="A63" s="164"/>
      <c r="B63" s="164"/>
      <c r="C63" s="165"/>
      <c r="D63" s="73"/>
      <c r="E63" s="41" t="str">
        <f xml:space="preserve"> Inputs!E$63</f>
        <v>Discount rate</v>
      </c>
      <c r="F63" s="41">
        <f xml:space="preserve"> Inputs!F$63</f>
        <v>2.92E-2</v>
      </c>
      <c r="G63" s="41" t="str">
        <f xml:space="preserve"> Inputs!G$63</f>
        <v>%</v>
      </c>
      <c r="H63" s="41">
        <f xml:space="preserve"> Inputs!H$63</f>
        <v>0</v>
      </c>
      <c r="I63" s="41">
        <f xml:space="preserve"> Inputs!I$63</f>
        <v>0</v>
      </c>
      <c r="J63" s="41">
        <f xml:space="preserve"> Inputs!J$63</f>
        <v>0</v>
      </c>
      <c r="K63" s="41">
        <f xml:space="preserve"> Inputs!K$63</f>
        <v>0</v>
      </c>
      <c r="L63" s="41">
        <f xml:space="preserve"> Inputs!L$63</f>
        <v>0</v>
      </c>
      <c r="M63" s="41">
        <f xml:space="preserve"> Inputs!M$63</f>
        <v>0</v>
      </c>
      <c r="N63" s="41">
        <f xml:space="preserve"> Inputs!N$63</f>
        <v>0</v>
      </c>
      <c r="O63" s="41">
        <f xml:space="preserve"> Inputs!O$63</f>
        <v>0</v>
      </c>
      <c r="P63" s="41">
        <f xml:space="preserve"> Inputs!P$63</f>
        <v>0</v>
      </c>
      <c r="Q63" s="41">
        <f xml:space="preserve"> Inputs!Q$63</f>
        <v>0</v>
      </c>
      <c r="R63" s="41">
        <f xml:space="preserve"> Inputs!R$63</f>
        <v>0</v>
      </c>
      <c r="S63" s="41">
        <f xml:space="preserve"> Inputs!S$63</f>
        <v>0</v>
      </c>
      <c r="T63" s="41">
        <f xml:space="preserve"> Inputs!T$63</f>
        <v>0</v>
      </c>
      <c r="U63" s="41">
        <f xml:space="preserve"> Inputs!U$63</f>
        <v>0</v>
      </c>
      <c r="V63" s="41">
        <f xml:space="preserve"> Inputs!V$63</f>
        <v>0</v>
      </c>
      <c r="W63" s="41">
        <f xml:space="preserve"> Inputs!W$63</f>
        <v>0</v>
      </c>
    </row>
    <row r="64" spans="1:23" s="121" customFormat="1" ht="12.75" customHeight="1" outlineLevel="1">
      <c r="A64" s="164"/>
      <c r="B64" s="164"/>
      <c r="C64" s="165"/>
      <c r="D64" s="73"/>
      <c r="E64" s="84" t="str">
        <f xml:space="preserve"> E$61</f>
        <v>Blind year adjustment (profiled) - Water Res (base year 2019/20)</v>
      </c>
      <c r="F64" s="84">
        <f t="shared" ref="F64:W64" si="14" xml:space="preserve"> F$61</f>
        <v>0</v>
      </c>
      <c r="G64" s="84" t="str">
        <f t="shared" si="14"/>
        <v>£m</v>
      </c>
      <c r="H64" s="84">
        <f t="shared" si="14"/>
        <v>0</v>
      </c>
      <c r="I64" s="84">
        <f t="shared" si="14"/>
        <v>0</v>
      </c>
      <c r="J64" s="84">
        <f t="shared" si="14"/>
        <v>0</v>
      </c>
      <c r="K64" s="84">
        <f t="shared" si="14"/>
        <v>0</v>
      </c>
      <c r="L64" s="84">
        <f t="shared" si="14"/>
        <v>0</v>
      </c>
      <c r="M64" s="84">
        <f t="shared" si="14"/>
        <v>0</v>
      </c>
      <c r="N64" s="84">
        <f t="shared" si="14"/>
        <v>0</v>
      </c>
      <c r="O64" s="84">
        <f t="shared" si="14"/>
        <v>0</v>
      </c>
      <c r="P64" s="84">
        <f t="shared" si="14"/>
        <v>0</v>
      </c>
      <c r="Q64" s="84">
        <f t="shared" si="14"/>
        <v>0</v>
      </c>
      <c r="R64" s="84">
        <f t="shared" si="14"/>
        <v>0</v>
      </c>
      <c r="S64" s="84">
        <f t="shared" si="14"/>
        <v>0</v>
      </c>
      <c r="T64" s="84">
        <f t="shared" si="14"/>
        <v>0</v>
      </c>
      <c r="U64" s="84">
        <f t="shared" si="14"/>
        <v>0</v>
      </c>
      <c r="V64" s="84">
        <f t="shared" si="14"/>
        <v>0</v>
      </c>
      <c r="W64" s="84">
        <f t="shared" si="14"/>
        <v>0</v>
      </c>
    </row>
    <row r="65" spans="1:23" s="5" customFormat="1" ht="12.75" customHeight="1" outlineLevel="1">
      <c r="A65" s="62"/>
      <c r="B65" s="62"/>
      <c r="C65" s="60"/>
      <c r="D65" s="157"/>
      <c r="E65" s="202" t="str">
        <f xml:space="preserve"> Time!E$63</f>
        <v>Forecast period counter</v>
      </c>
      <c r="F65" s="202">
        <f xml:space="preserve"> Time!F$63</f>
        <v>0</v>
      </c>
      <c r="G65" s="202" t="str">
        <f xml:space="preserve"> Time!G$63</f>
        <v>counter</v>
      </c>
      <c r="H65" s="202">
        <f xml:space="preserve"> Time!H$63</f>
        <v>0</v>
      </c>
      <c r="I65" s="202">
        <f xml:space="preserve"> Time!I$63</f>
        <v>0</v>
      </c>
      <c r="J65" s="202">
        <f xml:space="preserve"> Time!J$63</f>
        <v>0</v>
      </c>
      <c r="K65" s="202">
        <f xml:space="preserve"> Time!K$63</f>
        <v>0</v>
      </c>
      <c r="L65" s="202">
        <f xml:space="preserve"> Time!L$63</f>
        <v>0</v>
      </c>
      <c r="M65" s="202">
        <f xml:space="preserve"> Time!M$63</f>
        <v>0</v>
      </c>
      <c r="N65" s="202">
        <f xml:space="preserve"> Time!N$63</f>
        <v>0</v>
      </c>
      <c r="O65" s="202">
        <f xml:space="preserve"> Time!O$63</f>
        <v>0</v>
      </c>
      <c r="P65" s="202">
        <f xml:space="preserve"> Time!P$63</f>
        <v>1</v>
      </c>
      <c r="Q65" s="202">
        <f xml:space="preserve"> Time!Q$63</f>
        <v>2</v>
      </c>
      <c r="R65" s="202">
        <f xml:space="preserve"> Time!R$63</f>
        <v>3</v>
      </c>
      <c r="S65" s="202">
        <f xml:space="preserve"> Time!S$63</f>
        <v>4</v>
      </c>
      <c r="T65" s="202">
        <f xml:space="preserve"> Time!T$63</f>
        <v>5</v>
      </c>
      <c r="U65" s="202">
        <f xml:space="preserve"> Time!U$63</f>
        <v>0</v>
      </c>
      <c r="V65" s="202">
        <f xml:space="preserve"> Time!V$63</f>
        <v>0</v>
      </c>
      <c r="W65" s="202">
        <f xml:space="preserve"> Time!W$63</f>
        <v>0</v>
      </c>
    </row>
    <row r="66" spans="1:23" s="99" customFormat="1" ht="12.75" customHeight="1" outlineLevel="1">
      <c r="A66" s="62"/>
      <c r="B66" s="62"/>
      <c r="C66" s="60"/>
      <c r="D66" s="157"/>
      <c r="E66" s="99" t="s">
        <v>300</v>
      </c>
      <c r="F66" s="46"/>
      <c r="G66" s="99" t="s">
        <v>77</v>
      </c>
      <c r="H66" s="91">
        <f xml:space="preserve"> SUM( J66:W66 )</f>
        <v>0</v>
      </c>
      <c r="I66" s="46"/>
      <c r="J66" s="91">
        <f xml:space="preserve"> J64 * ( 1 + $F$63 ) ^ J65</f>
        <v>0</v>
      </c>
      <c r="K66" s="91">
        <f t="shared" ref="K66:W66" si="15" xml:space="preserve"> K64 * ( 1 + $F$63 ) ^ K65</f>
        <v>0</v>
      </c>
      <c r="L66" s="91">
        <f t="shared" si="15"/>
        <v>0</v>
      </c>
      <c r="M66" s="91">
        <f t="shared" si="15"/>
        <v>0</v>
      </c>
      <c r="N66" s="91">
        <f t="shared" si="15"/>
        <v>0</v>
      </c>
      <c r="O66" s="91">
        <f t="shared" si="15"/>
        <v>0</v>
      </c>
      <c r="P66" s="91">
        <f t="shared" si="15"/>
        <v>0</v>
      </c>
      <c r="Q66" s="91">
        <f t="shared" si="15"/>
        <v>0</v>
      </c>
      <c r="R66" s="91">
        <f t="shared" si="15"/>
        <v>0</v>
      </c>
      <c r="S66" s="91">
        <f t="shared" si="15"/>
        <v>0</v>
      </c>
      <c r="T66" s="91">
        <f t="shared" si="15"/>
        <v>0</v>
      </c>
      <c r="U66" s="91">
        <f t="shared" si="15"/>
        <v>0</v>
      </c>
      <c r="V66" s="91">
        <f t="shared" si="15"/>
        <v>0</v>
      </c>
      <c r="W66" s="91">
        <f t="shared" si="15"/>
        <v>0</v>
      </c>
    </row>
    <row r="67" spans="1:23" s="121" customFormat="1" ht="12.75" customHeight="1" outlineLevel="1">
      <c r="A67" s="164"/>
      <c r="B67" s="164"/>
      <c r="C67" s="165"/>
      <c r="D67" s="73"/>
      <c r="E67" s="94"/>
      <c r="F67" s="94"/>
      <c r="G67" s="94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</row>
    <row r="68" spans="1:23" s="5" customFormat="1" ht="12.75" customHeight="1" outlineLevel="1">
      <c r="A68" s="62"/>
      <c r="B68" s="62"/>
      <c r="C68" s="60"/>
      <c r="D68" s="157"/>
      <c r="E68" s="41" t="str">
        <f>'Indices and K factor'!E$22</f>
        <v>CPIH: Nov - Nov index (prior year) inflating from 2019/20</v>
      </c>
      <c r="F68" s="41">
        <f>'Indices and K factor'!F$22</f>
        <v>0</v>
      </c>
      <c r="G68" s="41" t="str">
        <f>'Indices and K factor'!G$22</f>
        <v>index</v>
      </c>
      <c r="H68" s="41">
        <f>'Indices and K factor'!H$22</f>
        <v>0</v>
      </c>
      <c r="I68" s="41">
        <f>'Indices and K factor'!I$22</f>
        <v>0</v>
      </c>
      <c r="J68" s="41">
        <f>'Indices and K factor'!J$22</f>
        <v>0</v>
      </c>
      <c r="K68" s="41">
        <f>'Indices and K factor'!K$22</f>
        <v>0</v>
      </c>
      <c r="L68" s="41">
        <f>'Indices and K factor'!L$22</f>
        <v>0</v>
      </c>
      <c r="M68" s="41">
        <f>'Indices and K factor'!M$22</f>
        <v>0</v>
      </c>
      <c r="N68" s="41">
        <f>'Indices and K factor'!N$22</f>
        <v>0</v>
      </c>
      <c r="O68" s="41">
        <f>'Indices and K factor'!O$22</f>
        <v>0</v>
      </c>
      <c r="P68" s="41">
        <f>'Indices and K factor'!P$22</f>
        <v>1.0149672591206735</v>
      </c>
      <c r="Q68" s="41">
        <f>'Indices and K factor'!Q$22</f>
        <v>1.020579981290926</v>
      </c>
      <c r="R68" s="41">
        <f>'Indices and K factor'!R$22</f>
        <v>1.0673526660430308</v>
      </c>
      <c r="S68" s="41">
        <f>'Indices and K factor'!S$22</f>
        <v>1.167446211412535</v>
      </c>
      <c r="T68" s="41">
        <f>'Indices and K factor'!T$22</f>
        <v>1.2160898035547241</v>
      </c>
      <c r="U68" s="41">
        <f>'Indices and K factor'!U$22</f>
        <v>0</v>
      </c>
      <c r="V68" s="41">
        <f>'Indices and K factor'!V$22</f>
        <v>0</v>
      </c>
      <c r="W68" s="41">
        <f>'Indices and K factor'!W$22</f>
        <v>0</v>
      </c>
    </row>
    <row r="69" spans="1:23" s="32" customFormat="1" ht="12.75" customHeight="1" outlineLevel="1">
      <c r="A69" s="52"/>
      <c r="B69" s="52"/>
      <c r="C69" s="50"/>
      <c r="D69" s="91"/>
      <c r="E69" s="99" t="str">
        <f xml:space="preserve"> E$66</f>
        <v>Blind year adjustment inc. financing rate adjustment - Water Res (base year 2019/2020)</v>
      </c>
      <c r="F69" s="99">
        <f t="shared" ref="F69:W69" si="16" xml:space="preserve"> F$66</f>
        <v>0</v>
      </c>
      <c r="G69" s="99" t="str">
        <f t="shared" si="16"/>
        <v>£m</v>
      </c>
      <c r="H69" s="91">
        <f t="shared" si="16"/>
        <v>0</v>
      </c>
      <c r="I69" s="91">
        <f t="shared" si="16"/>
        <v>0</v>
      </c>
      <c r="J69" s="91">
        <f t="shared" si="16"/>
        <v>0</v>
      </c>
      <c r="K69" s="91">
        <f t="shared" si="16"/>
        <v>0</v>
      </c>
      <c r="L69" s="91">
        <f t="shared" si="16"/>
        <v>0</v>
      </c>
      <c r="M69" s="91">
        <f t="shared" si="16"/>
        <v>0</v>
      </c>
      <c r="N69" s="91">
        <f t="shared" si="16"/>
        <v>0</v>
      </c>
      <c r="O69" s="91">
        <f t="shared" si="16"/>
        <v>0</v>
      </c>
      <c r="P69" s="91">
        <f t="shared" si="16"/>
        <v>0</v>
      </c>
      <c r="Q69" s="91">
        <f t="shared" si="16"/>
        <v>0</v>
      </c>
      <c r="R69" s="91">
        <f t="shared" si="16"/>
        <v>0</v>
      </c>
      <c r="S69" s="91">
        <f t="shared" si="16"/>
        <v>0</v>
      </c>
      <c r="T69" s="91">
        <f t="shared" si="16"/>
        <v>0</v>
      </c>
      <c r="U69" s="91">
        <f t="shared" si="16"/>
        <v>0</v>
      </c>
      <c r="V69" s="91">
        <f t="shared" si="16"/>
        <v>0</v>
      </c>
      <c r="W69" s="91">
        <f t="shared" si="16"/>
        <v>0</v>
      </c>
    </row>
    <row r="70" spans="1:23" s="274" customFormat="1" ht="12.75" customHeight="1" outlineLevel="1">
      <c r="A70" s="164"/>
      <c r="B70" s="164"/>
      <c r="C70" s="165"/>
      <c r="D70" s="73"/>
      <c r="E70" s="151" t="s">
        <v>301</v>
      </c>
      <c r="F70" s="151"/>
      <c r="G70" s="151" t="s">
        <v>77</v>
      </c>
      <c r="H70" s="273">
        <f xml:space="preserve"> SUM( J70:W70 )</f>
        <v>0</v>
      </c>
      <c r="I70" s="151"/>
      <c r="J70" s="273">
        <f xml:space="preserve"> J68 * J69</f>
        <v>0</v>
      </c>
      <c r="K70" s="273">
        <f t="shared" ref="K70:W70" si="17" xml:space="preserve"> K68 * K69</f>
        <v>0</v>
      </c>
      <c r="L70" s="273">
        <f t="shared" si="17"/>
        <v>0</v>
      </c>
      <c r="M70" s="273">
        <f t="shared" si="17"/>
        <v>0</v>
      </c>
      <c r="N70" s="273">
        <f t="shared" si="17"/>
        <v>0</v>
      </c>
      <c r="O70" s="273">
        <f t="shared" si="17"/>
        <v>0</v>
      </c>
      <c r="P70" s="273">
        <f t="shared" si="17"/>
        <v>0</v>
      </c>
      <c r="Q70" s="273">
        <f xml:space="preserve"> Q68 * Q69</f>
        <v>0</v>
      </c>
      <c r="R70" s="273">
        <f t="shared" si="17"/>
        <v>0</v>
      </c>
      <c r="S70" s="273">
        <f t="shared" si="17"/>
        <v>0</v>
      </c>
      <c r="T70" s="273">
        <f t="shared" si="17"/>
        <v>0</v>
      </c>
      <c r="U70" s="273">
        <f t="shared" si="17"/>
        <v>0</v>
      </c>
      <c r="V70" s="273">
        <f t="shared" si="17"/>
        <v>0</v>
      </c>
      <c r="W70" s="273">
        <f t="shared" si="17"/>
        <v>0</v>
      </c>
    </row>
    <row r="71" spans="1:23" s="274" customFormat="1" ht="12.75" customHeight="1" outlineLevel="1">
      <c r="A71" s="164"/>
      <c r="B71" s="164"/>
      <c r="C71" s="165"/>
      <c r="D71" s="73"/>
      <c r="E71" s="151"/>
      <c r="F71" s="151"/>
      <c r="G71" s="151"/>
      <c r="H71" s="273"/>
      <c r="I71" s="151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</row>
    <row r="72" spans="1:23" ht="12.75" customHeight="1">
      <c r="A72" s="113" t="s">
        <v>302</v>
      </c>
      <c r="B72" s="113"/>
      <c r="C72" s="112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</row>
    <row r="73" spans="1:23" ht="12.75" customHeight="1">
      <c r="A73" s="61"/>
      <c r="C73" s="108"/>
      <c r="E73" s="111"/>
    </row>
    <row r="74" spans="1:23" s="72" customFormat="1" ht="12.75" customHeight="1">
      <c r="A74" s="64"/>
      <c r="B74" s="64" t="s">
        <v>303</v>
      </c>
      <c r="C74" s="71"/>
      <c r="D74" s="69"/>
    </row>
    <row r="75" spans="1:23" s="72" customFormat="1" ht="12.75" customHeight="1">
      <c r="A75" s="64"/>
      <c r="B75" s="64"/>
      <c r="C75" s="71"/>
      <c r="D75" s="69"/>
    </row>
    <row r="76" spans="1:23" s="72" customFormat="1" ht="12.75" customHeight="1">
      <c r="A76" s="64"/>
      <c r="B76" s="64"/>
      <c r="C76" s="71"/>
      <c r="D76" s="69"/>
      <c r="E76" s="126" t="str">
        <f t="shared" ref="E76:W76" si="18" xml:space="preserve"> E$21</f>
        <v xml:space="preserve">Allowed revenue - Water-N+ </v>
      </c>
      <c r="F76" s="126">
        <f t="shared" si="18"/>
        <v>0</v>
      </c>
      <c r="G76" s="126" t="str">
        <f t="shared" si="18"/>
        <v>£m</v>
      </c>
      <c r="H76" s="33">
        <f t="shared" si="18"/>
        <v>1434.4607154301605</v>
      </c>
      <c r="I76" s="33">
        <f t="shared" si="18"/>
        <v>0</v>
      </c>
      <c r="J76" s="33">
        <f t="shared" si="18"/>
        <v>0</v>
      </c>
      <c r="K76" s="33">
        <f t="shared" si="18"/>
        <v>0</v>
      </c>
      <c r="L76" s="33">
        <f t="shared" si="18"/>
        <v>0</v>
      </c>
      <c r="M76" s="33">
        <f t="shared" si="18"/>
        <v>0</v>
      </c>
      <c r="N76" s="33">
        <f t="shared" si="18"/>
        <v>0</v>
      </c>
      <c r="O76" s="33">
        <f t="shared" si="18"/>
        <v>0</v>
      </c>
      <c r="P76" s="33">
        <f t="shared" si="18"/>
        <v>287.58285313376985</v>
      </c>
      <c r="Q76" s="33">
        <f t="shared" si="18"/>
        <v>272.75219214499526</v>
      </c>
      <c r="R76" s="33">
        <f t="shared" si="18"/>
        <v>281.84289020812304</v>
      </c>
      <c r="S76" s="33">
        <f t="shared" si="18"/>
        <v>300.38177942451222</v>
      </c>
      <c r="T76" s="33">
        <f t="shared" si="18"/>
        <v>291.90100051876021</v>
      </c>
      <c r="U76" s="33">
        <f t="shared" si="18"/>
        <v>0</v>
      </c>
      <c r="V76" s="33">
        <f t="shared" si="18"/>
        <v>0</v>
      </c>
      <c r="W76" s="33">
        <f t="shared" si="18"/>
        <v>0</v>
      </c>
    </row>
    <row r="77" spans="1:23" s="72" customFormat="1" ht="12.75" customHeight="1">
      <c r="A77" s="64"/>
      <c r="B77" s="64"/>
      <c r="C77" s="71"/>
      <c r="D77" s="69"/>
      <c r="E77" s="33" t="str">
        <f t="shared" ref="E77:W77" si="19" xml:space="preserve"> E$55</f>
        <v xml:space="preserve">Blind year adjustment inc. financing rate adjustment and inflation adjustment (BYA) - Water-N+ </v>
      </c>
      <c r="F77" s="33">
        <f t="shared" si="19"/>
        <v>0</v>
      </c>
      <c r="G77" s="33" t="str">
        <f t="shared" si="19"/>
        <v>£m</v>
      </c>
      <c r="H77" s="33">
        <f t="shared" si="19"/>
        <v>2.8835829877795369</v>
      </c>
      <c r="I77" s="33">
        <f t="shared" si="19"/>
        <v>0</v>
      </c>
      <c r="J77" s="33">
        <f t="shared" si="19"/>
        <v>0</v>
      </c>
      <c r="K77" s="33">
        <f t="shared" si="19"/>
        <v>0</v>
      </c>
      <c r="L77" s="33">
        <f t="shared" si="19"/>
        <v>0</v>
      </c>
      <c r="M77" s="33">
        <f t="shared" si="19"/>
        <v>0</v>
      </c>
      <c r="N77" s="33">
        <f t="shared" si="19"/>
        <v>0</v>
      </c>
      <c r="O77" s="33">
        <f t="shared" si="19"/>
        <v>0</v>
      </c>
      <c r="P77" s="33">
        <f t="shared" si="19"/>
        <v>0</v>
      </c>
      <c r="Q77" s="33">
        <f t="shared" si="19"/>
        <v>0.62863176815865507</v>
      </c>
      <c r="R77" s="33">
        <f t="shared" si="19"/>
        <v>0.67663895308443722</v>
      </c>
      <c r="S77" s="33">
        <f t="shared" si="19"/>
        <v>0.76170308459430269</v>
      </c>
      <c r="T77" s="33">
        <f t="shared" si="19"/>
        <v>0.81660918194214205</v>
      </c>
      <c r="U77" s="33">
        <f t="shared" si="19"/>
        <v>0</v>
      </c>
      <c r="V77" s="33">
        <f t="shared" si="19"/>
        <v>0</v>
      </c>
      <c r="W77" s="33">
        <f t="shared" si="19"/>
        <v>0</v>
      </c>
    </row>
    <row r="78" spans="1:23" s="262" customFormat="1" ht="12.75" customHeight="1">
      <c r="A78" s="260"/>
      <c r="B78" s="260"/>
      <c r="C78" s="261"/>
      <c r="D78" s="66"/>
      <c r="E78" s="63" t="str">
        <f xml:space="preserve"> E$206</f>
        <v>RFI - Water-N+</v>
      </c>
      <c r="F78" s="63" t="str">
        <f t="shared" ref="F78:W78" si="20" xml:space="preserve"> F$206</f>
        <v>2 PD LK BCK</v>
      </c>
      <c r="G78" s="63" t="str">
        <f t="shared" si="20"/>
        <v>£m</v>
      </c>
      <c r="H78" s="63">
        <f t="shared" si="20"/>
        <v>7.4908713909140392</v>
      </c>
      <c r="I78" s="63">
        <f t="shared" si="20"/>
        <v>0</v>
      </c>
      <c r="J78" s="63">
        <f t="shared" si="20"/>
        <v>0</v>
      </c>
      <c r="K78" s="63">
        <f t="shared" si="20"/>
        <v>0</v>
      </c>
      <c r="L78" s="63">
        <f t="shared" si="20"/>
        <v>0</v>
      </c>
      <c r="M78" s="63">
        <f t="shared" si="20"/>
        <v>0</v>
      </c>
      <c r="N78" s="63">
        <f t="shared" si="20"/>
        <v>0</v>
      </c>
      <c r="O78" s="63">
        <f t="shared" si="20"/>
        <v>0</v>
      </c>
      <c r="P78" s="63">
        <f t="shared" si="20"/>
        <v>0</v>
      </c>
      <c r="Q78" s="63">
        <f t="shared" si="20"/>
        <v>0</v>
      </c>
      <c r="R78" s="63">
        <f t="shared" si="20"/>
        <v>9.4537072175470325</v>
      </c>
      <c r="S78" s="63">
        <f t="shared" si="20"/>
        <v>2.0850948823861177</v>
      </c>
      <c r="T78" s="63">
        <f t="shared" si="20"/>
        <v>-4.047930709019111</v>
      </c>
      <c r="U78" s="63">
        <f t="shared" si="20"/>
        <v>0</v>
      </c>
      <c r="V78" s="63">
        <f t="shared" si="20"/>
        <v>0</v>
      </c>
      <c r="W78" s="63">
        <f t="shared" si="20"/>
        <v>0</v>
      </c>
    </row>
    <row r="79" spans="1:23" s="151" customFormat="1" ht="12.75" customHeight="1" thickBot="1">
      <c r="A79" s="149"/>
      <c r="B79" s="149"/>
      <c r="C79" s="150"/>
      <c r="D79" s="275"/>
      <c r="E79" s="217" t="s">
        <v>304</v>
      </c>
      <c r="F79" s="217"/>
      <c r="G79" s="217" t="s">
        <v>77</v>
      </c>
      <c r="H79" s="223">
        <f xml:space="preserve"> SUM(J79:W79)</f>
        <v>1444.8351698088541</v>
      </c>
      <c r="I79" s="223"/>
      <c r="J79" s="223">
        <f t="shared" ref="J79:W79" si="21" xml:space="preserve"> SUM(J76:J78)</f>
        <v>0</v>
      </c>
      <c r="K79" s="223">
        <f t="shared" si="21"/>
        <v>0</v>
      </c>
      <c r="L79" s="223">
        <f t="shared" si="21"/>
        <v>0</v>
      </c>
      <c r="M79" s="223">
        <f t="shared" si="21"/>
        <v>0</v>
      </c>
      <c r="N79" s="223">
        <f t="shared" si="21"/>
        <v>0</v>
      </c>
      <c r="O79" s="223">
        <f t="shared" si="21"/>
        <v>0</v>
      </c>
      <c r="P79" s="223">
        <f t="shared" si="21"/>
        <v>287.58285313376985</v>
      </c>
      <c r="Q79" s="223">
        <f t="shared" si="21"/>
        <v>273.3808239131539</v>
      </c>
      <c r="R79" s="223">
        <f t="shared" si="21"/>
        <v>291.97323637875451</v>
      </c>
      <c r="S79" s="223">
        <f t="shared" si="21"/>
        <v>303.22857739149265</v>
      </c>
      <c r="T79" s="223">
        <f t="shared" si="21"/>
        <v>288.66967899168327</v>
      </c>
      <c r="U79" s="223">
        <f t="shared" si="21"/>
        <v>0</v>
      </c>
      <c r="V79" s="223">
        <f t="shared" si="21"/>
        <v>0</v>
      </c>
      <c r="W79" s="223">
        <f t="shared" si="21"/>
        <v>0</v>
      </c>
    </row>
    <row r="80" spans="1:23" s="248" customFormat="1" ht="12.75" customHeight="1" thickTop="1">
      <c r="A80" s="245"/>
      <c r="B80" s="245"/>
      <c r="C80" s="246"/>
      <c r="D80" s="247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</row>
    <row r="81" spans="1:23" s="151" customFormat="1" ht="12.75" customHeight="1">
      <c r="A81" s="149"/>
      <c r="B81" s="149"/>
      <c r="C81" s="150"/>
      <c r="D81" s="275"/>
      <c r="E81" s="126" t="str">
        <f xml:space="preserve"> E$79</f>
        <v>Adjusted allowed revenue - Water-N+</v>
      </c>
      <c r="F81" s="126">
        <f t="shared" ref="F81:W81" si="22" xml:space="preserve"> F$79</f>
        <v>0</v>
      </c>
      <c r="G81" s="126" t="str">
        <f t="shared" si="22"/>
        <v>£m</v>
      </c>
      <c r="H81" s="33">
        <f t="shared" si="22"/>
        <v>1444.8351698088541</v>
      </c>
      <c r="I81" s="33">
        <f t="shared" si="22"/>
        <v>0</v>
      </c>
      <c r="J81" s="33">
        <f t="shared" si="22"/>
        <v>0</v>
      </c>
      <c r="K81" s="33">
        <f t="shared" si="22"/>
        <v>0</v>
      </c>
      <c r="L81" s="33">
        <f t="shared" si="22"/>
        <v>0</v>
      </c>
      <c r="M81" s="33">
        <f t="shared" si="22"/>
        <v>0</v>
      </c>
      <c r="N81" s="33">
        <f t="shared" si="22"/>
        <v>0</v>
      </c>
      <c r="O81" s="33">
        <f t="shared" si="22"/>
        <v>0</v>
      </c>
      <c r="P81" s="33">
        <f t="shared" si="22"/>
        <v>287.58285313376985</v>
      </c>
      <c r="Q81" s="33">
        <f t="shared" si="22"/>
        <v>273.3808239131539</v>
      </c>
      <c r="R81" s="33">
        <f t="shared" si="22"/>
        <v>291.97323637875451</v>
      </c>
      <c r="S81" s="33">
        <f t="shared" si="22"/>
        <v>303.22857739149265</v>
      </c>
      <c r="T81" s="33">
        <f t="shared" si="22"/>
        <v>288.66967899168327</v>
      </c>
      <c r="U81" s="33">
        <f t="shared" si="22"/>
        <v>0</v>
      </c>
      <c r="V81" s="33">
        <f t="shared" si="22"/>
        <v>0</v>
      </c>
      <c r="W81" s="33">
        <f t="shared" si="22"/>
        <v>0</v>
      </c>
    </row>
    <row r="82" spans="1:23" s="32" customFormat="1" ht="12.75" customHeight="1">
      <c r="A82" s="52"/>
      <c r="B82" s="52"/>
      <c r="C82" s="50"/>
      <c r="D82" s="157" t="s">
        <v>305</v>
      </c>
      <c r="E82" s="94" t="str">
        <f xml:space="preserve"> Inputs!E$104</f>
        <v xml:space="preserve">Actual Revenue - Water-N+ </v>
      </c>
      <c r="F82" s="94">
        <f xml:space="preserve"> Inputs!F$104</f>
        <v>0</v>
      </c>
      <c r="G82" s="94" t="str">
        <f xml:space="preserve"> Inputs!G$104</f>
        <v>£m</v>
      </c>
      <c r="H82" s="94">
        <f xml:space="preserve"> Inputs!H$104</f>
        <v>1455.5126529727556</v>
      </c>
      <c r="I82" s="94">
        <f xml:space="preserve"> Inputs!I$104</f>
        <v>0</v>
      </c>
      <c r="J82" s="94">
        <f xml:space="preserve"> Inputs!J$104</f>
        <v>0</v>
      </c>
      <c r="K82" s="94">
        <f xml:space="preserve"> Inputs!K$104</f>
        <v>0</v>
      </c>
      <c r="L82" s="94">
        <f xml:space="preserve"> Inputs!L$104</f>
        <v>0</v>
      </c>
      <c r="M82" s="94">
        <f xml:space="preserve"> Inputs!M$104</f>
        <v>0</v>
      </c>
      <c r="N82" s="94">
        <f xml:space="preserve"> Inputs!N$104</f>
        <v>0</v>
      </c>
      <c r="O82" s="94">
        <f xml:space="preserve"> Inputs!O$104</f>
        <v>0</v>
      </c>
      <c r="P82" s="94">
        <f xml:space="preserve"> Inputs!P$104</f>
        <v>279.096</v>
      </c>
      <c r="Q82" s="94">
        <f xml:space="preserve"> Inputs!Q$104</f>
        <v>271.66000000000003</v>
      </c>
      <c r="R82" s="94">
        <f xml:space="preserve"> Inputs!R$104</f>
        <v>295.32</v>
      </c>
      <c r="S82" s="94">
        <f xml:space="preserve"> Inputs!S$104</f>
        <v>321.19500000000005</v>
      </c>
      <c r="T82" s="94">
        <f xml:space="preserve"> Inputs!T$104</f>
        <v>288.2416529727555</v>
      </c>
      <c r="U82" s="94">
        <f xml:space="preserve"> Inputs!U$104</f>
        <v>0</v>
      </c>
      <c r="V82" s="94">
        <f xml:space="preserve"> Inputs!V$104</f>
        <v>0</v>
      </c>
      <c r="W82" s="94">
        <f xml:space="preserve"> Inputs!W$104</f>
        <v>0</v>
      </c>
    </row>
    <row r="83" spans="1:23" s="153" customFormat="1" ht="13.5" thickBot="1">
      <c r="A83" s="276"/>
      <c r="B83" s="276"/>
      <c r="C83" s="160"/>
      <c r="D83" s="277"/>
      <c r="E83" s="217" t="s">
        <v>306</v>
      </c>
      <c r="F83" s="217"/>
      <c r="G83" s="217" t="s">
        <v>77</v>
      </c>
      <c r="H83" s="223">
        <f xml:space="preserve"> SUM(J83:W83)</f>
        <v>-10.6774831639014</v>
      </c>
      <c r="I83" s="220"/>
      <c r="J83" s="220">
        <f xml:space="preserve"> J81 - J82</f>
        <v>0</v>
      </c>
      <c r="K83" s="220">
        <f t="shared" ref="K83:W83" si="23" xml:space="preserve"> K81 - K82</f>
        <v>0</v>
      </c>
      <c r="L83" s="220">
        <f t="shared" si="23"/>
        <v>0</v>
      </c>
      <c r="M83" s="220">
        <f t="shared" si="23"/>
        <v>0</v>
      </c>
      <c r="N83" s="220">
        <f t="shared" si="23"/>
        <v>0</v>
      </c>
      <c r="O83" s="220">
        <f t="shared" si="23"/>
        <v>0</v>
      </c>
      <c r="P83" s="220">
        <f t="shared" si="23"/>
        <v>8.4868531337698414</v>
      </c>
      <c r="Q83" s="220">
        <f t="shared" si="23"/>
        <v>1.7208239131538789</v>
      </c>
      <c r="R83" s="220">
        <f t="shared" si="23"/>
        <v>-3.3467636212454863</v>
      </c>
      <c r="S83" s="220">
        <f t="shared" si="23"/>
        <v>-17.966422608507401</v>
      </c>
      <c r="T83" s="220">
        <f t="shared" si="23"/>
        <v>0.42802601892776693</v>
      </c>
      <c r="U83" s="220">
        <f t="shared" si="23"/>
        <v>0</v>
      </c>
      <c r="V83" s="220">
        <f t="shared" si="23"/>
        <v>0</v>
      </c>
      <c r="W83" s="220">
        <f t="shared" si="23"/>
        <v>0</v>
      </c>
    </row>
    <row r="84" spans="1:23" s="248" customFormat="1" ht="12.75" customHeight="1" thickTop="1">
      <c r="A84" s="245"/>
      <c r="B84" s="245"/>
      <c r="C84" s="246"/>
      <c r="D84" s="247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</row>
    <row r="85" spans="1:23" s="80" customFormat="1" ht="12.75" customHeight="1">
      <c r="A85" s="200"/>
      <c r="B85" s="200" t="s">
        <v>307</v>
      </c>
      <c r="C85" s="178"/>
      <c r="D85" s="179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</row>
    <row r="86" spans="1:23" s="80" customFormat="1" ht="12.75" customHeight="1">
      <c r="A86" s="200"/>
      <c r="B86" s="200"/>
      <c r="C86" s="178"/>
      <c r="D86" s="179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</row>
    <row r="87" spans="1:23" s="72" customFormat="1" ht="12.75" customHeight="1">
      <c r="A87" s="64"/>
      <c r="B87" s="64"/>
      <c r="C87" s="71"/>
      <c r="D87" s="69"/>
      <c r="E87" s="33" t="str">
        <f t="shared" ref="E87:W87" si="24">E$14</f>
        <v xml:space="preserve">Allowed revenue - Water Res </v>
      </c>
      <c r="F87" s="33">
        <f t="shared" si="24"/>
        <v>0</v>
      </c>
      <c r="G87" s="33" t="str">
        <f t="shared" si="24"/>
        <v>£m</v>
      </c>
      <c r="H87" s="33">
        <f t="shared" si="24"/>
        <v>213.72163342066062</v>
      </c>
      <c r="I87" s="33">
        <f t="shared" si="24"/>
        <v>0</v>
      </c>
      <c r="J87" s="33">
        <f t="shared" si="24"/>
        <v>0</v>
      </c>
      <c r="K87" s="33">
        <f t="shared" si="24"/>
        <v>0</v>
      </c>
      <c r="L87" s="33">
        <f t="shared" si="24"/>
        <v>0</v>
      </c>
      <c r="M87" s="33">
        <f t="shared" si="24"/>
        <v>0</v>
      </c>
      <c r="N87" s="33">
        <f t="shared" si="24"/>
        <v>0</v>
      </c>
      <c r="O87" s="33">
        <f t="shared" si="24"/>
        <v>0</v>
      </c>
      <c r="P87" s="33">
        <f t="shared" si="24"/>
        <v>36.433264733395696</v>
      </c>
      <c r="Q87" s="33">
        <f t="shared" si="24"/>
        <v>39.097627704396629</v>
      </c>
      <c r="R87" s="33">
        <f t="shared" si="24"/>
        <v>42.15621612636356</v>
      </c>
      <c r="S87" s="33">
        <f t="shared" si="24"/>
        <v>48.276345482340936</v>
      </c>
      <c r="T87" s="33">
        <f t="shared" si="24"/>
        <v>47.758179374163817</v>
      </c>
      <c r="U87" s="33">
        <f t="shared" si="24"/>
        <v>0</v>
      </c>
      <c r="V87" s="33">
        <f t="shared" si="24"/>
        <v>0</v>
      </c>
      <c r="W87" s="33">
        <f t="shared" si="24"/>
        <v>0</v>
      </c>
    </row>
    <row r="88" spans="1:23" s="127" customFormat="1" ht="12.75" customHeight="1">
      <c r="A88" s="164"/>
      <c r="B88" s="164"/>
      <c r="C88" s="165"/>
      <c r="D88" s="73"/>
      <c r="E88" s="42" t="str">
        <f xml:space="preserve"> E$70</f>
        <v xml:space="preserve">Blind year adjustment inc. financing rate adjustment and inflation adjustment (BYA) - Water Res </v>
      </c>
      <c r="F88" s="42">
        <f t="shared" ref="F88:W88" si="25" xml:space="preserve"> F$70</f>
        <v>0</v>
      </c>
      <c r="G88" s="42" t="str">
        <f t="shared" si="25"/>
        <v>£m</v>
      </c>
      <c r="H88" s="42">
        <f t="shared" si="25"/>
        <v>0</v>
      </c>
      <c r="I88" s="42">
        <f t="shared" si="25"/>
        <v>0</v>
      </c>
      <c r="J88" s="42">
        <f t="shared" si="25"/>
        <v>0</v>
      </c>
      <c r="K88" s="42">
        <f t="shared" si="25"/>
        <v>0</v>
      </c>
      <c r="L88" s="42">
        <f t="shared" si="25"/>
        <v>0</v>
      </c>
      <c r="M88" s="42">
        <f t="shared" si="25"/>
        <v>0</v>
      </c>
      <c r="N88" s="42">
        <f t="shared" si="25"/>
        <v>0</v>
      </c>
      <c r="O88" s="42">
        <f t="shared" si="25"/>
        <v>0</v>
      </c>
      <c r="P88" s="42">
        <f t="shared" si="25"/>
        <v>0</v>
      </c>
      <c r="Q88" s="42">
        <f t="shared" si="25"/>
        <v>0</v>
      </c>
      <c r="R88" s="42">
        <f t="shared" si="25"/>
        <v>0</v>
      </c>
      <c r="S88" s="42">
        <f t="shared" si="25"/>
        <v>0</v>
      </c>
      <c r="T88" s="42">
        <f t="shared" si="25"/>
        <v>0</v>
      </c>
      <c r="U88" s="42">
        <f t="shared" si="25"/>
        <v>0</v>
      </c>
      <c r="V88" s="42">
        <f t="shared" si="25"/>
        <v>0</v>
      </c>
      <c r="W88" s="42">
        <f t="shared" si="25"/>
        <v>0</v>
      </c>
    </row>
    <row r="89" spans="1:23" s="127" customFormat="1" ht="12.75" customHeight="1">
      <c r="A89" s="164"/>
      <c r="B89" s="164"/>
      <c r="C89" s="165"/>
      <c r="D89" s="73"/>
      <c r="E89" s="42" t="str">
        <f xml:space="preserve"> E$38</f>
        <v>Bilateral entry adjustment - as incurred</v>
      </c>
      <c r="F89" s="42">
        <f t="shared" ref="F89:W89" si="26" xml:space="preserve"> F$38</f>
        <v>0</v>
      </c>
      <c r="G89" s="42" t="str">
        <f t="shared" si="26"/>
        <v>£m</v>
      </c>
      <c r="H89" s="42">
        <f t="shared" si="26"/>
        <v>0</v>
      </c>
      <c r="I89" s="42">
        <f t="shared" si="26"/>
        <v>0</v>
      </c>
      <c r="J89" s="42">
        <f t="shared" si="26"/>
        <v>0</v>
      </c>
      <c r="K89" s="42">
        <f t="shared" si="26"/>
        <v>0</v>
      </c>
      <c r="L89" s="42">
        <f t="shared" si="26"/>
        <v>0</v>
      </c>
      <c r="M89" s="42">
        <f t="shared" si="26"/>
        <v>0</v>
      </c>
      <c r="N89" s="42">
        <f t="shared" si="26"/>
        <v>0</v>
      </c>
      <c r="O89" s="42">
        <f t="shared" si="26"/>
        <v>0</v>
      </c>
      <c r="P89" s="42">
        <f t="shared" si="26"/>
        <v>0</v>
      </c>
      <c r="Q89" s="42">
        <f t="shared" si="26"/>
        <v>0</v>
      </c>
      <c r="R89" s="42">
        <f t="shared" si="26"/>
        <v>0</v>
      </c>
      <c r="S89" s="42">
        <f t="shared" si="26"/>
        <v>0</v>
      </c>
      <c r="T89" s="42">
        <f t="shared" si="26"/>
        <v>0</v>
      </c>
      <c r="U89" s="42">
        <f t="shared" si="26"/>
        <v>0</v>
      </c>
      <c r="V89" s="42">
        <f t="shared" si="26"/>
        <v>0</v>
      </c>
      <c r="W89" s="42">
        <f t="shared" si="26"/>
        <v>0</v>
      </c>
    </row>
    <row r="90" spans="1:23" s="266" customFormat="1" ht="12.75" customHeight="1">
      <c r="A90" s="263"/>
      <c r="B90" s="263"/>
      <c r="C90" s="264"/>
      <c r="D90" s="265"/>
      <c r="E90" s="63" t="str">
        <f xml:space="preserve"> E$213</f>
        <v>RFI - Water Res</v>
      </c>
      <c r="F90" s="63" t="str">
        <f t="shared" ref="F90:W90" si="27" xml:space="preserve"> F$213</f>
        <v>2 PD LK BCK</v>
      </c>
      <c r="G90" s="63" t="str">
        <f t="shared" si="27"/>
        <v>£m</v>
      </c>
      <c r="H90" s="63">
        <f t="shared" si="27"/>
        <v>-13.688570619162782</v>
      </c>
      <c r="I90" s="63">
        <f t="shared" si="27"/>
        <v>0</v>
      </c>
      <c r="J90" s="63">
        <f t="shared" si="27"/>
        <v>0</v>
      </c>
      <c r="K90" s="63">
        <f t="shared" si="27"/>
        <v>0</v>
      </c>
      <c r="L90" s="63">
        <f t="shared" si="27"/>
        <v>0</v>
      </c>
      <c r="M90" s="63">
        <f t="shared" si="27"/>
        <v>0</v>
      </c>
      <c r="N90" s="63">
        <f t="shared" si="27"/>
        <v>0</v>
      </c>
      <c r="O90" s="63">
        <f t="shared" si="27"/>
        <v>0</v>
      </c>
      <c r="P90" s="63">
        <f t="shared" si="27"/>
        <v>0</v>
      </c>
      <c r="Q90" s="63">
        <f t="shared" si="27"/>
        <v>0</v>
      </c>
      <c r="R90" s="63">
        <f t="shared" si="27"/>
        <v>-1.4914675487556805</v>
      </c>
      <c r="S90" s="63">
        <f t="shared" si="27"/>
        <v>-7.8957843515684942</v>
      </c>
      <c r="T90" s="63">
        <f t="shared" si="27"/>
        <v>-4.3013187188386075</v>
      </c>
      <c r="U90" s="63">
        <f t="shared" si="27"/>
        <v>0</v>
      </c>
      <c r="V90" s="63">
        <f t="shared" si="27"/>
        <v>0</v>
      </c>
      <c r="W90" s="63">
        <f t="shared" si="27"/>
        <v>0</v>
      </c>
    </row>
    <row r="91" spans="1:23" s="151" customFormat="1" ht="12.75" customHeight="1" thickBot="1">
      <c r="A91" s="149"/>
      <c r="B91" s="149"/>
      <c r="C91" s="150"/>
      <c r="D91" s="275"/>
      <c r="E91" s="217" t="s">
        <v>308</v>
      </c>
      <c r="F91" s="217"/>
      <c r="G91" s="217" t="s">
        <v>77</v>
      </c>
      <c r="H91" s="278">
        <f xml:space="preserve"> SUM( J91:W91)</f>
        <v>200.03306280149786</v>
      </c>
      <c r="I91" s="278"/>
      <c r="J91" s="278">
        <f xml:space="preserve"> SUM( J87:J90 )</f>
        <v>0</v>
      </c>
      <c r="K91" s="278">
        <f t="shared" ref="K91:W91" si="28" xml:space="preserve"> SUM( K87:K90 )</f>
        <v>0</v>
      </c>
      <c r="L91" s="278">
        <f t="shared" si="28"/>
        <v>0</v>
      </c>
      <c r="M91" s="278">
        <f t="shared" si="28"/>
        <v>0</v>
      </c>
      <c r="N91" s="278">
        <f t="shared" si="28"/>
        <v>0</v>
      </c>
      <c r="O91" s="278">
        <f t="shared" si="28"/>
        <v>0</v>
      </c>
      <c r="P91" s="278">
        <f xml:space="preserve"> SUM( P87:P90 )</f>
        <v>36.433264733395696</v>
      </c>
      <c r="Q91" s="278">
        <f t="shared" si="28"/>
        <v>39.097627704396629</v>
      </c>
      <c r="R91" s="278">
        <f xml:space="preserve"> SUM( R87:R90 )</f>
        <v>40.664748577607881</v>
      </c>
      <c r="S91" s="278">
        <f t="shared" si="28"/>
        <v>40.380561130772442</v>
      </c>
      <c r="T91" s="278">
        <f t="shared" si="28"/>
        <v>43.456860655325208</v>
      </c>
      <c r="U91" s="278">
        <f t="shared" si="28"/>
        <v>0</v>
      </c>
      <c r="V91" s="278">
        <f t="shared" si="28"/>
        <v>0</v>
      </c>
      <c r="W91" s="278">
        <f t="shared" si="28"/>
        <v>0</v>
      </c>
    </row>
    <row r="92" spans="1:23" s="151" customFormat="1" ht="12.75" customHeight="1" thickTop="1">
      <c r="A92" s="149"/>
      <c r="B92" s="149"/>
      <c r="C92" s="150"/>
      <c r="D92" s="275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</row>
    <row r="93" spans="1:23" s="151" customFormat="1" ht="12.75" customHeight="1">
      <c r="A93" s="149"/>
      <c r="B93" s="149"/>
      <c r="C93" s="150"/>
      <c r="D93" s="275"/>
      <c r="E93" s="151" t="str">
        <f xml:space="preserve"> E$91</f>
        <v>Adjusted allowed revenue - Water Res</v>
      </c>
      <c r="F93" s="151">
        <f t="shared" ref="F93:W93" si="29" xml:space="preserve"> F$91</f>
        <v>0</v>
      </c>
      <c r="G93" s="151" t="str">
        <f t="shared" si="29"/>
        <v>£m</v>
      </c>
      <c r="H93" s="273">
        <f t="shared" si="29"/>
        <v>200.03306280149786</v>
      </c>
      <c r="I93" s="273">
        <f t="shared" si="29"/>
        <v>0</v>
      </c>
      <c r="J93" s="273">
        <f t="shared" si="29"/>
        <v>0</v>
      </c>
      <c r="K93" s="273">
        <f t="shared" si="29"/>
        <v>0</v>
      </c>
      <c r="L93" s="273">
        <f t="shared" si="29"/>
        <v>0</v>
      </c>
      <c r="M93" s="273">
        <f t="shared" si="29"/>
        <v>0</v>
      </c>
      <c r="N93" s="273">
        <f t="shared" si="29"/>
        <v>0</v>
      </c>
      <c r="O93" s="273">
        <f t="shared" si="29"/>
        <v>0</v>
      </c>
      <c r="P93" s="273">
        <f t="shared" si="29"/>
        <v>36.433264733395696</v>
      </c>
      <c r="Q93" s="273">
        <f t="shared" si="29"/>
        <v>39.097627704396629</v>
      </c>
      <c r="R93" s="273">
        <f t="shared" si="29"/>
        <v>40.664748577607881</v>
      </c>
      <c r="S93" s="273">
        <f t="shared" si="29"/>
        <v>40.380561130772442</v>
      </c>
      <c r="T93" s="273">
        <f t="shared" si="29"/>
        <v>43.456860655325208</v>
      </c>
      <c r="U93" s="273">
        <f t="shared" si="29"/>
        <v>0</v>
      </c>
      <c r="V93" s="273">
        <f t="shared" si="29"/>
        <v>0</v>
      </c>
      <c r="W93" s="273">
        <f t="shared" si="29"/>
        <v>0</v>
      </c>
    </row>
    <row r="94" spans="1:23" s="32" customFormat="1" ht="12.75" customHeight="1">
      <c r="A94" s="52"/>
      <c r="B94" s="52"/>
      <c r="C94" s="50"/>
      <c r="D94" s="136" t="s">
        <v>305</v>
      </c>
      <c r="E94" s="94" t="str">
        <f>Inputs!E$86</f>
        <v xml:space="preserve">Actual Revenue - Water Res </v>
      </c>
      <c r="F94" s="94">
        <f>Inputs!F$86</f>
        <v>0</v>
      </c>
      <c r="G94" s="94" t="str">
        <f>Inputs!G$86</f>
        <v>£m</v>
      </c>
      <c r="H94" s="94">
        <f>Inputs!H$86</f>
        <v>224.2990165509685</v>
      </c>
      <c r="I94" s="94">
        <f>Inputs!I$86</f>
        <v>0</v>
      </c>
      <c r="J94" s="94">
        <f>Inputs!J$86</f>
        <v>0</v>
      </c>
      <c r="K94" s="94">
        <f>Inputs!K$86</f>
        <v>0</v>
      </c>
      <c r="L94" s="94">
        <f>Inputs!L$86</f>
        <v>0</v>
      </c>
      <c r="M94" s="94">
        <f>Inputs!M$86</f>
        <v>0</v>
      </c>
      <c r="N94" s="94">
        <f>Inputs!N$86</f>
        <v>0</v>
      </c>
      <c r="O94" s="94">
        <f>Inputs!O$86</f>
        <v>0</v>
      </c>
      <c r="P94" s="94">
        <f>Inputs!P$86</f>
        <v>37.725999999999999</v>
      </c>
      <c r="Q94" s="94">
        <f>Inputs!Q$86</f>
        <v>45.613999999999997</v>
      </c>
      <c r="R94" s="94">
        <f>Inputs!R$86</f>
        <v>44.220999999999997</v>
      </c>
      <c r="S94" s="94">
        <f>Inputs!S$86</f>
        <v>53.280999999999999</v>
      </c>
      <c r="T94" s="94">
        <f>Inputs!T$86</f>
        <v>43.45701655096849</v>
      </c>
      <c r="U94" s="94">
        <f>Inputs!U$86</f>
        <v>0</v>
      </c>
      <c r="V94" s="94">
        <f>Inputs!V$86</f>
        <v>0</v>
      </c>
      <c r="W94" s="94">
        <f>Inputs!W$86</f>
        <v>0</v>
      </c>
    </row>
    <row r="95" spans="1:23" s="153" customFormat="1" ht="13.5" thickBot="1">
      <c r="A95" s="276"/>
      <c r="B95" s="276"/>
      <c r="C95" s="160"/>
      <c r="D95" s="277"/>
      <c r="E95" s="217" t="s">
        <v>309</v>
      </c>
      <c r="F95" s="217"/>
      <c r="G95" s="217" t="s">
        <v>77</v>
      </c>
      <c r="H95" s="223">
        <f xml:space="preserve"> SUM(J95:W95)</f>
        <v>-24.265953749470626</v>
      </c>
      <c r="I95" s="220"/>
      <c r="J95" s="220">
        <f>J93-J94</f>
        <v>0</v>
      </c>
      <c r="K95" s="220">
        <f t="shared" ref="K95:Q95" si="30">K93-K94</f>
        <v>0</v>
      </c>
      <c r="L95" s="220">
        <f t="shared" si="30"/>
        <v>0</v>
      </c>
      <c r="M95" s="220">
        <f t="shared" si="30"/>
        <v>0</v>
      </c>
      <c r="N95" s="220">
        <f t="shared" si="30"/>
        <v>0</v>
      </c>
      <c r="O95" s="220">
        <f t="shared" si="30"/>
        <v>0</v>
      </c>
      <c r="P95" s="220">
        <f t="shared" si="30"/>
        <v>-1.2927352666043035</v>
      </c>
      <c r="Q95" s="220">
        <f t="shared" si="30"/>
        <v>-6.5163722956033681</v>
      </c>
      <c r="R95" s="220">
        <f t="shared" ref="R95:W95" si="31">R93-R94</f>
        <v>-3.5562514223921156</v>
      </c>
      <c r="S95" s="220">
        <f t="shared" si="31"/>
        <v>-12.900438869227557</v>
      </c>
      <c r="T95" s="220">
        <f t="shared" si="31"/>
        <v>-1.5589564328166716E-4</v>
      </c>
      <c r="U95" s="220">
        <f t="shared" si="31"/>
        <v>0</v>
      </c>
      <c r="V95" s="220">
        <f t="shared" si="31"/>
        <v>0</v>
      </c>
      <c r="W95" s="220">
        <f t="shared" si="31"/>
        <v>0</v>
      </c>
    </row>
    <row r="96" spans="1:23" ht="12.75" customHeight="1" thickTop="1"/>
    <row r="97" spans="1:23" s="5" customFormat="1" ht="12.75" customHeight="1">
      <c r="A97" s="62"/>
      <c r="B97" s="62" t="s">
        <v>310</v>
      </c>
      <c r="C97" s="60"/>
      <c r="D97" s="157"/>
      <c r="E97" s="127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</row>
    <row r="98" spans="1:23" s="5" customFormat="1" ht="12.75" customHeight="1">
      <c r="A98" s="62"/>
      <c r="B98" s="62"/>
      <c r="C98" s="60"/>
      <c r="D98" s="157"/>
      <c r="E98" s="127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</row>
    <row r="99" spans="1:23" ht="12.75" customHeight="1">
      <c r="E99" s="111" t="str">
        <f xml:space="preserve"> Inputs!E$69</f>
        <v>Timing delay</v>
      </c>
      <c r="F99" s="111">
        <f xml:space="preserve"> Inputs!F$69</f>
        <v>2</v>
      </c>
      <c r="G99" s="111" t="str">
        <f xml:space="preserve"> Inputs!G$69</f>
        <v>years</v>
      </c>
      <c r="H99" s="111">
        <f xml:space="preserve"> Inputs!H$69</f>
        <v>0</v>
      </c>
      <c r="I99" s="111">
        <f xml:space="preserve"> Inputs!I$69</f>
        <v>0</v>
      </c>
      <c r="J99" s="111">
        <f xml:space="preserve"> Inputs!J$69</f>
        <v>0</v>
      </c>
      <c r="K99" s="111">
        <f xml:space="preserve"> Inputs!K$69</f>
        <v>0</v>
      </c>
      <c r="L99" s="111">
        <f xml:space="preserve"> Inputs!L$69</f>
        <v>0</v>
      </c>
      <c r="M99" s="111">
        <f xml:space="preserve"> Inputs!M$69</f>
        <v>0</v>
      </c>
      <c r="N99" s="111">
        <f xml:space="preserve"> Inputs!N$69</f>
        <v>0</v>
      </c>
      <c r="O99" s="111">
        <f xml:space="preserve"> Inputs!O$69</f>
        <v>0</v>
      </c>
      <c r="P99" s="111">
        <f xml:space="preserve"> Inputs!P$69</f>
        <v>0</v>
      </c>
      <c r="Q99" s="111">
        <f xml:space="preserve"> Inputs!Q$69</f>
        <v>0</v>
      </c>
      <c r="R99" s="111">
        <f xml:space="preserve"> Inputs!R$69</f>
        <v>0</v>
      </c>
      <c r="S99" s="111">
        <f xml:space="preserve"> Inputs!S$69</f>
        <v>0</v>
      </c>
      <c r="T99" s="111">
        <f xml:space="preserve"> Inputs!T$69</f>
        <v>0</v>
      </c>
      <c r="U99" s="111">
        <f xml:space="preserve"> Inputs!U$69</f>
        <v>0</v>
      </c>
      <c r="V99" s="111">
        <f xml:space="preserve"> Inputs!V$69</f>
        <v>0</v>
      </c>
      <c r="W99" s="111">
        <f xml:space="preserve"> Inputs!W$69</f>
        <v>0</v>
      </c>
    </row>
    <row r="100" spans="1:23" ht="12.75" customHeight="1">
      <c r="E100" s="34" t="str">
        <f xml:space="preserve"> Inputs!E$63</f>
        <v>Discount rate</v>
      </c>
      <c r="F100" s="34">
        <f xml:space="preserve"> Inputs!F$63</f>
        <v>2.92E-2</v>
      </c>
      <c r="G100" s="34" t="str">
        <f xml:space="preserve"> Inputs!G$63</f>
        <v>%</v>
      </c>
      <c r="H100" s="34">
        <f xml:space="preserve"> Inputs!H$63</f>
        <v>0</v>
      </c>
      <c r="I100" s="34">
        <f xml:space="preserve"> Inputs!I$63</f>
        <v>0</v>
      </c>
      <c r="J100" s="34">
        <f xml:space="preserve"> Inputs!J$63</f>
        <v>0</v>
      </c>
      <c r="K100" s="34">
        <f xml:space="preserve"> Inputs!K$63</f>
        <v>0</v>
      </c>
      <c r="L100" s="34">
        <f xml:space="preserve"> Inputs!L$63</f>
        <v>0</v>
      </c>
      <c r="M100" s="34">
        <f xml:space="preserve"> Inputs!M$63</f>
        <v>0</v>
      </c>
      <c r="N100" s="34">
        <f xml:space="preserve"> Inputs!N$63</f>
        <v>0</v>
      </c>
      <c r="O100" s="34">
        <f xml:space="preserve"> Inputs!O$63</f>
        <v>0</v>
      </c>
      <c r="P100" s="34">
        <f xml:space="preserve"> Inputs!P$63</f>
        <v>0</v>
      </c>
      <c r="Q100" s="34">
        <f xml:space="preserve"> Inputs!Q$63</f>
        <v>0</v>
      </c>
      <c r="R100" s="34">
        <f xml:space="preserve"> Inputs!R$63</f>
        <v>0</v>
      </c>
      <c r="S100" s="34">
        <f xml:space="preserve"> Inputs!S$63</f>
        <v>0</v>
      </c>
      <c r="T100" s="34">
        <f xml:space="preserve"> Inputs!T$63</f>
        <v>0</v>
      </c>
      <c r="U100" s="34">
        <f xml:space="preserve"> Inputs!U$63</f>
        <v>0</v>
      </c>
      <c r="V100" s="34">
        <f xml:space="preserve"> Inputs!V$63</f>
        <v>0</v>
      </c>
      <c r="W100" s="34">
        <f xml:space="preserve"> Inputs!W$63</f>
        <v>0</v>
      </c>
    </row>
    <row r="101" spans="1:23" s="170" customFormat="1" ht="12.75" customHeight="1">
      <c r="A101" s="123"/>
      <c r="B101" s="123"/>
      <c r="C101" s="125"/>
      <c r="D101" s="203"/>
      <c r="E101" s="204" t="str">
        <f xml:space="preserve"> E$83</f>
        <v>Revenue Imbalance - Water-N+</v>
      </c>
      <c r="F101" s="204">
        <f t="shared" ref="F101:W101" si="32" xml:space="preserve"> F$83</f>
        <v>0</v>
      </c>
      <c r="G101" s="204" t="str">
        <f t="shared" si="32"/>
        <v>£m</v>
      </c>
      <c r="H101" s="204">
        <f t="shared" si="32"/>
        <v>-10.6774831639014</v>
      </c>
      <c r="I101" s="204">
        <f t="shared" si="32"/>
        <v>0</v>
      </c>
      <c r="J101" s="204">
        <f t="shared" si="32"/>
        <v>0</v>
      </c>
      <c r="K101" s="204">
        <f t="shared" si="32"/>
        <v>0</v>
      </c>
      <c r="L101" s="204">
        <f t="shared" si="32"/>
        <v>0</v>
      </c>
      <c r="M101" s="204">
        <f t="shared" si="32"/>
        <v>0</v>
      </c>
      <c r="N101" s="204">
        <f t="shared" si="32"/>
        <v>0</v>
      </c>
      <c r="O101" s="204">
        <f t="shared" si="32"/>
        <v>0</v>
      </c>
      <c r="P101" s="204">
        <f t="shared" si="32"/>
        <v>8.4868531337698414</v>
      </c>
      <c r="Q101" s="204">
        <f t="shared" si="32"/>
        <v>1.7208239131538789</v>
      </c>
      <c r="R101" s="204">
        <f t="shared" si="32"/>
        <v>-3.3467636212454863</v>
      </c>
      <c r="S101" s="204">
        <f t="shared" si="32"/>
        <v>-17.966422608507401</v>
      </c>
      <c r="T101" s="204">
        <f t="shared" si="32"/>
        <v>0.42802601892776693</v>
      </c>
      <c r="U101" s="204">
        <f t="shared" si="32"/>
        <v>0</v>
      </c>
      <c r="V101" s="204">
        <f t="shared" si="32"/>
        <v>0</v>
      </c>
      <c r="W101" s="204">
        <f t="shared" si="32"/>
        <v>0</v>
      </c>
    </row>
    <row r="102" spans="1:23" s="5" customFormat="1" ht="12.75" customHeight="1">
      <c r="A102" s="62"/>
      <c r="B102" s="62"/>
      <c r="C102" s="60"/>
      <c r="D102" s="157"/>
      <c r="E102" s="96" t="str">
        <f xml:space="preserve"> Time!E$63</f>
        <v>Forecast period counter</v>
      </c>
      <c r="F102" s="96">
        <f xml:space="preserve"> Time!F$63</f>
        <v>0</v>
      </c>
      <c r="G102" s="96" t="str">
        <f xml:space="preserve"> Time!G$63</f>
        <v>counter</v>
      </c>
      <c r="H102" s="96">
        <f xml:space="preserve"> Time!H$63</f>
        <v>0</v>
      </c>
      <c r="I102" s="96">
        <f xml:space="preserve"> Time!I$63</f>
        <v>0</v>
      </c>
      <c r="J102" s="96">
        <f xml:space="preserve"> Time!J$63</f>
        <v>0</v>
      </c>
      <c r="K102" s="96">
        <f xml:space="preserve"> Time!K$63</f>
        <v>0</v>
      </c>
      <c r="L102" s="96">
        <f xml:space="preserve"> Time!L$63</f>
        <v>0</v>
      </c>
      <c r="M102" s="96">
        <f xml:space="preserve"> Time!M$63</f>
        <v>0</v>
      </c>
      <c r="N102" s="96">
        <f xml:space="preserve"> Time!N$63</f>
        <v>0</v>
      </c>
      <c r="O102" s="96">
        <f xml:space="preserve"> Time!O$63</f>
        <v>0</v>
      </c>
      <c r="P102" s="96">
        <f xml:space="preserve"> Time!P$63</f>
        <v>1</v>
      </c>
      <c r="Q102" s="96">
        <f xml:space="preserve"> Time!Q$63</f>
        <v>2</v>
      </c>
      <c r="R102" s="96">
        <f xml:space="preserve"> Time!R$63</f>
        <v>3</v>
      </c>
      <c r="S102" s="96">
        <f xml:space="preserve"> Time!S$63</f>
        <v>4</v>
      </c>
      <c r="T102" s="96">
        <f xml:space="preserve"> Time!T$63</f>
        <v>5</v>
      </c>
      <c r="U102" s="96">
        <f xml:space="preserve"> Time!U$63</f>
        <v>0</v>
      </c>
      <c r="V102" s="96">
        <f xml:space="preserve"> Time!V$63</f>
        <v>0</v>
      </c>
      <c r="W102" s="96">
        <f xml:space="preserve"> Time!W$63</f>
        <v>0</v>
      </c>
    </row>
    <row r="103" spans="1:23" s="5" customFormat="1" ht="12.75" customHeight="1">
      <c r="A103" s="62"/>
      <c r="B103" s="62"/>
      <c r="C103" s="60"/>
      <c r="D103" s="157"/>
      <c r="E103" s="127" t="s">
        <v>311</v>
      </c>
      <c r="F103" s="99"/>
      <c r="G103" s="99" t="s">
        <v>77</v>
      </c>
      <c r="H103" s="91">
        <f xml:space="preserve"> SUM(J103:W103)</f>
        <v>7.267440658961112</v>
      </c>
      <c r="I103" s="99"/>
      <c r="J103" s="91">
        <f xml:space="preserve"> IF(J102 &lt;= $F99 + 1,  J101 * (1 + $F100) * (1 + $F100), 0)</f>
        <v>0</v>
      </c>
      <c r="K103" s="91">
        <f t="shared" ref="K103:W103" si="33" xml:space="preserve"> IF(K102 &lt;= $F99 + 1,  K101 * (1 + $F100) * (1 + $F100), 0)</f>
        <v>0</v>
      </c>
      <c r="L103" s="91">
        <f xml:space="preserve"> IF(L102 &lt;= $F99 + 1,  L101 * (1 + $F100) * (1 + $F100), 0)</f>
        <v>0</v>
      </c>
      <c r="M103" s="91">
        <f t="shared" si="33"/>
        <v>0</v>
      </c>
      <c r="N103" s="91">
        <f t="shared" si="33"/>
        <v>0</v>
      </c>
      <c r="O103" s="91">
        <f t="shared" si="33"/>
        <v>0</v>
      </c>
      <c r="P103" s="91">
        <f xml:space="preserve"> IF(P102 &lt;= $F99 + 1,  P101 * (1 + $F100) * (1 + $F100), 0)</f>
        <v>8.9897215872379768</v>
      </c>
      <c r="Q103" s="91">
        <f t="shared" si="33"/>
        <v>1.8227872729833767</v>
      </c>
      <c r="R103" s="91">
        <f xml:space="preserve"> IF(R102 &lt;= $F99 + 1,  R101 * (1 + $F100) * (1 + $F100), 0)</f>
        <v>-3.5450682012602406</v>
      </c>
      <c r="S103" s="91">
        <f xml:space="preserve"> IF(S102 &lt;= $F99 + 1,  S101 * (1 + $F100) * (1 + $F100), 0)</f>
        <v>0</v>
      </c>
      <c r="T103" s="91">
        <f xml:space="preserve"> IF(T102 &lt;= $F99 + 1,  T101 * (1 + $F100) * (1 + $F100), 0)</f>
        <v>0</v>
      </c>
      <c r="U103" s="91">
        <f t="shared" si="33"/>
        <v>0</v>
      </c>
      <c r="V103" s="91">
        <f t="shared" si="33"/>
        <v>0</v>
      </c>
      <c r="W103" s="91">
        <f t="shared" si="33"/>
        <v>0</v>
      </c>
    </row>
    <row r="104" spans="1:23" s="5" customFormat="1" ht="12.75" customHeight="1">
      <c r="A104" s="62"/>
      <c r="B104" s="62"/>
      <c r="C104" s="60"/>
      <c r="D104" s="157"/>
      <c r="E104" s="127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</row>
    <row r="105" spans="1:23" s="5" customFormat="1" ht="12.75" customHeight="1">
      <c r="A105" s="62"/>
      <c r="B105" s="62"/>
      <c r="C105" s="60"/>
      <c r="D105" s="157"/>
      <c r="E105" s="41" t="str">
        <f xml:space="preserve"> 'Indices and K factor'!E$11</f>
        <v>CPIH: Nov % increase (prior year) - CALC</v>
      </c>
      <c r="F105" s="41">
        <f xml:space="preserve"> 'Indices and K factor'!F$11</f>
        <v>0</v>
      </c>
      <c r="G105" s="41" t="str">
        <f xml:space="preserve"> 'Indices and K factor'!G$11</f>
        <v>%</v>
      </c>
      <c r="H105" s="41">
        <f xml:space="preserve"> 'Indices and K factor'!H$11</f>
        <v>0</v>
      </c>
      <c r="I105" s="41">
        <f xml:space="preserve"> 'Indices and K factor'!I$11</f>
        <v>0</v>
      </c>
      <c r="J105" s="41">
        <f xml:space="preserve"> 'Indices and K factor'!J$11</f>
        <v>0</v>
      </c>
      <c r="K105" s="41">
        <f xml:space="preserve"> 'Indices and K factor'!K$11</f>
        <v>0</v>
      </c>
      <c r="L105" s="41">
        <f xml:space="preserve"> 'Indices and K factor'!L$11</f>
        <v>1.0040040040040039</v>
      </c>
      <c r="M105" s="41">
        <f xml:space="preserve"> 'Indices and K factor'!M$11</f>
        <v>1.0149551345962113</v>
      </c>
      <c r="N105" s="41">
        <f xml:space="preserve"> 'Indices and K factor'!N$11</f>
        <v>1.0284872298624754</v>
      </c>
      <c r="O105" s="41">
        <f xml:space="preserve"> 'Indices and K factor'!O$11</f>
        <v>1.0210124164278893</v>
      </c>
      <c r="P105" s="41">
        <f xml:space="preserve"> 'Indices and K factor'!P$11</f>
        <v>1.0149672591206735</v>
      </c>
      <c r="Q105" s="41">
        <f xml:space="preserve"> 'Indices and K factor'!Q$11</f>
        <v>1.0055299539170506</v>
      </c>
      <c r="R105" s="41">
        <f xml:space="preserve"> 'Indices and K factor'!R$11</f>
        <v>1.0458295142071494</v>
      </c>
      <c r="S105" s="41">
        <f xml:space="preserve"> 'Indices and K factor'!S$11</f>
        <v>1.0937773882559159</v>
      </c>
      <c r="T105" s="41">
        <f xml:space="preserve"> 'Indices and K factor'!T$11</f>
        <v>1.0416666666666667</v>
      </c>
      <c r="U105" s="41">
        <f xml:space="preserve"> 'Indices and K factor'!U$11</f>
        <v>1.0253846153846156</v>
      </c>
      <c r="V105" s="41">
        <f xml:space="preserve"> 'Indices and K factor'!V$11</f>
        <v>1.02</v>
      </c>
      <c r="W105" s="41">
        <f xml:space="preserve"> 'Indices and K factor'!W$11</f>
        <v>1.02</v>
      </c>
    </row>
    <row r="106" spans="1:23" s="5" customFormat="1" ht="12.75" customHeight="1">
      <c r="A106" s="62"/>
      <c r="B106" s="62"/>
      <c r="C106" s="60"/>
      <c r="D106" s="157"/>
      <c r="E106" s="42" t="str">
        <f t="shared" ref="E106:W106" si="34" xml:space="preserve"> E$103</f>
        <v>Main revenue adjustment - with financing adjustment - Water-N+</v>
      </c>
      <c r="F106" s="42">
        <f t="shared" si="34"/>
        <v>0</v>
      </c>
      <c r="G106" s="42" t="str">
        <f t="shared" si="34"/>
        <v>£m</v>
      </c>
      <c r="H106" s="42">
        <f t="shared" si="34"/>
        <v>7.267440658961112</v>
      </c>
      <c r="I106" s="42">
        <f t="shared" si="34"/>
        <v>0</v>
      </c>
      <c r="J106" s="42">
        <f t="shared" si="34"/>
        <v>0</v>
      </c>
      <c r="K106" s="42">
        <f t="shared" si="34"/>
        <v>0</v>
      </c>
      <c r="L106" s="42">
        <f t="shared" si="34"/>
        <v>0</v>
      </c>
      <c r="M106" s="42">
        <f t="shared" si="34"/>
        <v>0</v>
      </c>
      <c r="N106" s="42">
        <f t="shared" si="34"/>
        <v>0</v>
      </c>
      <c r="O106" s="42">
        <f t="shared" si="34"/>
        <v>0</v>
      </c>
      <c r="P106" s="42">
        <f t="shared" si="34"/>
        <v>8.9897215872379768</v>
      </c>
      <c r="Q106" s="42">
        <f t="shared" si="34"/>
        <v>1.8227872729833767</v>
      </c>
      <c r="R106" s="42">
        <f t="shared" si="34"/>
        <v>-3.5450682012602406</v>
      </c>
      <c r="S106" s="42">
        <f t="shared" si="34"/>
        <v>0</v>
      </c>
      <c r="T106" s="42">
        <f t="shared" si="34"/>
        <v>0</v>
      </c>
      <c r="U106" s="42">
        <f t="shared" si="34"/>
        <v>0</v>
      </c>
      <c r="V106" s="42">
        <f t="shared" si="34"/>
        <v>0</v>
      </c>
      <c r="W106" s="42">
        <f t="shared" si="34"/>
        <v>0</v>
      </c>
    </row>
    <row r="107" spans="1:23" s="5" customFormat="1" ht="12.75" customHeight="1" thickBot="1">
      <c r="A107" s="62"/>
      <c r="B107" s="62"/>
      <c r="C107" s="60"/>
      <c r="D107" s="157"/>
      <c r="E107" s="217" t="s">
        <v>312</v>
      </c>
      <c r="F107" s="217"/>
      <c r="G107" s="217" t="s">
        <v>77</v>
      </c>
      <c r="H107" s="223">
        <f xml:space="preserve"> SUM(J107:W107)</f>
        <v>7.4997235183044797</v>
      </c>
      <c r="I107" s="220"/>
      <c r="J107" s="220">
        <f t="shared" ref="J107:T107" si="35" xml:space="preserve"> J106 * K105 * L105</f>
        <v>0</v>
      </c>
      <c r="K107" s="220">
        <f t="shared" si="35"/>
        <v>0</v>
      </c>
      <c r="L107" s="220">
        <f xml:space="preserve"> L106 * M105 * N105</f>
        <v>0</v>
      </c>
      <c r="M107" s="220">
        <f t="shared" si="35"/>
        <v>0</v>
      </c>
      <c r="N107" s="220">
        <f xml:space="preserve"> N106 * O105 * P105</f>
        <v>0</v>
      </c>
      <c r="O107" s="220">
        <f t="shared" si="35"/>
        <v>0</v>
      </c>
      <c r="P107" s="220">
        <f xml:space="preserve"> P106 * Q105 * R105</f>
        <v>9.4537072175470325</v>
      </c>
      <c r="Q107" s="220">
        <f t="shared" si="35"/>
        <v>2.0850948823861177</v>
      </c>
      <c r="R107" s="220">
        <f t="shared" si="35"/>
        <v>-4.0390785816286705</v>
      </c>
      <c r="S107" s="220">
        <f t="shared" si="35"/>
        <v>0</v>
      </c>
      <c r="T107" s="220">
        <f t="shared" si="35"/>
        <v>0</v>
      </c>
      <c r="U107" s="220">
        <f xml:space="preserve"> U106 * V105 * W105</f>
        <v>0</v>
      </c>
      <c r="V107" s="425"/>
      <c r="W107" s="425"/>
    </row>
    <row r="108" spans="1:23" s="5" customFormat="1" ht="12.75" customHeight="1" thickTop="1">
      <c r="A108" s="62"/>
      <c r="B108" s="62"/>
      <c r="C108" s="60"/>
      <c r="D108" s="157"/>
      <c r="E108" s="280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</row>
    <row r="109" spans="1:23" s="5" customFormat="1" ht="12.75" customHeight="1">
      <c r="A109" s="62"/>
      <c r="B109" s="62" t="s">
        <v>313</v>
      </c>
      <c r="C109" s="60"/>
      <c r="D109" s="157"/>
      <c r="E109" s="127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</row>
    <row r="110" spans="1:23" s="5" customFormat="1" ht="12.75" customHeight="1">
      <c r="A110" s="62"/>
      <c r="B110" s="62"/>
      <c r="C110" s="60"/>
      <c r="D110" s="157"/>
      <c r="E110" s="127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</row>
    <row r="111" spans="1:23" ht="12.75" customHeight="1">
      <c r="E111" s="111" t="str">
        <f xml:space="preserve"> Inputs!E$69</f>
        <v>Timing delay</v>
      </c>
      <c r="F111" s="111">
        <f xml:space="preserve"> Inputs!F$69</f>
        <v>2</v>
      </c>
      <c r="G111" s="111" t="str">
        <f xml:space="preserve"> Inputs!G$69</f>
        <v>years</v>
      </c>
      <c r="H111" s="111">
        <f xml:space="preserve"> Inputs!H$69</f>
        <v>0</v>
      </c>
      <c r="I111" s="111">
        <f xml:space="preserve"> Inputs!I$69</f>
        <v>0</v>
      </c>
      <c r="J111" s="111">
        <f xml:space="preserve"> Inputs!J$69</f>
        <v>0</v>
      </c>
      <c r="K111" s="111">
        <f xml:space="preserve"> Inputs!K$69</f>
        <v>0</v>
      </c>
      <c r="L111" s="111">
        <f xml:space="preserve"> Inputs!L$69</f>
        <v>0</v>
      </c>
      <c r="M111" s="111">
        <f xml:space="preserve"> Inputs!M$69</f>
        <v>0</v>
      </c>
      <c r="N111" s="111">
        <f xml:space="preserve"> Inputs!N$69</f>
        <v>0</v>
      </c>
      <c r="O111" s="111">
        <f xml:space="preserve"> Inputs!O$69</f>
        <v>0</v>
      </c>
      <c r="P111" s="111">
        <f xml:space="preserve"> Inputs!P$69</f>
        <v>0</v>
      </c>
      <c r="Q111" s="111">
        <f xml:space="preserve"> Inputs!Q$69</f>
        <v>0</v>
      </c>
      <c r="R111" s="111">
        <f xml:space="preserve"> Inputs!R$69</f>
        <v>0</v>
      </c>
      <c r="S111" s="111">
        <f xml:space="preserve"> Inputs!S$69</f>
        <v>0</v>
      </c>
      <c r="T111" s="111">
        <f xml:space="preserve"> Inputs!T$69</f>
        <v>0</v>
      </c>
      <c r="U111" s="111">
        <f xml:space="preserve"> Inputs!U$69</f>
        <v>0</v>
      </c>
      <c r="V111" s="111">
        <f xml:space="preserve"> Inputs!V$69</f>
        <v>0</v>
      </c>
      <c r="W111" s="111">
        <f xml:space="preserve"> Inputs!W$69</f>
        <v>0</v>
      </c>
    </row>
    <row r="112" spans="1:23" ht="12.75" customHeight="1">
      <c r="E112" s="34" t="str">
        <f xml:space="preserve"> Inputs!E$63</f>
        <v>Discount rate</v>
      </c>
      <c r="F112" s="34">
        <f xml:space="preserve"> Inputs!F$63</f>
        <v>2.92E-2</v>
      </c>
      <c r="G112" s="34" t="str">
        <f xml:space="preserve"> Inputs!G$63</f>
        <v>%</v>
      </c>
      <c r="H112" s="34">
        <f xml:space="preserve"> Inputs!H$63</f>
        <v>0</v>
      </c>
      <c r="I112" s="34">
        <f xml:space="preserve"> Inputs!I$63</f>
        <v>0</v>
      </c>
      <c r="J112" s="34">
        <f xml:space="preserve"> Inputs!J$63</f>
        <v>0</v>
      </c>
      <c r="K112" s="34">
        <f xml:space="preserve"> Inputs!K$63</f>
        <v>0</v>
      </c>
      <c r="L112" s="34">
        <f xml:space="preserve"> Inputs!L$63</f>
        <v>0</v>
      </c>
      <c r="M112" s="34">
        <f xml:space="preserve"> Inputs!M$63</f>
        <v>0</v>
      </c>
      <c r="N112" s="34">
        <f xml:space="preserve"> Inputs!N$63</f>
        <v>0</v>
      </c>
      <c r="O112" s="34">
        <f xml:space="preserve"> Inputs!O$63</f>
        <v>0</v>
      </c>
      <c r="P112" s="34">
        <f xml:space="preserve"> Inputs!P$63</f>
        <v>0</v>
      </c>
      <c r="Q112" s="34">
        <f xml:space="preserve"> Inputs!Q$63</f>
        <v>0</v>
      </c>
      <c r="R112" s="34">
        <f xml:space="preserve"> Inputs!R$63</f>
        <v>0</v>
      </c>
      <c r="S112" s="34">
        <f xml:space="preserve"> Inputs!S$63</f>
        <v>0</v>
      </c>
      <c r="T112" s="34">
        <f xml:space="preserve"> Inputs!T$63</f>
        <v>0</v>
      </c>
      <c r="U112" s="34">
        <f xml:space="preserve"> Inputs!U$63</f>
        <v>0</v>
      </c>
      <c r="V112" s="34">
        <f xml:space="preserve"> Inputs!V$63</f>
        <v>0</v>
      </c>
      <c r="W112" s="34">
        <f xml:space="preserve"> Inputs!W$63</f>
        <v>0</v>
      </c>
    </row>
    <row r="113" spans="1:23" s="170" customFormat="1" ht="12.75" customHeight="1">
      <c r="A113" s="123"/>
      <c r="B113" s="123"/>
      <c r="C113" s="125"/>
      <c r="D113" s="203"/>
      <c r="E113" s="204" t="str">
        <f xml:space="preserve"> E$95</f>
        <v>Revenue Imbalance - Water Res</v>
      </c>
      <c r="F113" s="204">
        <f t="shared" ref="F113:W113" si="36" xml:space="preserve"> F$95</f>
        <v>0</v>
      </c>
      <c r="G113" s="204" t="str">
        <f t="shared" si="36"/>
        <v>£m</v>
      </c>
      <c r="H113" s="204">
        <f t="shared" si="36"/>
        <v>-24.265953749470626</v>
      </c>
      <c r="I113" s="204">
        <f t="shared" si="36"/>
        <v>0</v>
      </c>
      <c r="J113" s="204">
        <f t="shared" si="36"/>
        <v>0</v>
      </c>
      <c r="K113" s="204">
        <f t="shared" si="36"/>
        <v>0</v>
      </c>
      <c r="L113" s="204">
        <f t="shared" si="36"/>
        <v>0</v>
      </c>
      <c r="M113" s="204">
        <f t="shared" si="36"/>
        <v>0</v>
      </c>
      <c r="N113" s="204">
        <f t="shared" si="36"/>
        <v>0</v>
      </c>
      <c r="O113" s="204">
        <f t="shared" si="36"/>
        <v>0</v>
      </c>
      <c r="P113" s="204">
        <f t="shared" si="36"/>
        <v>-1.2927352666043035</v>
      </c>
      <c r="Q113" s="204">
        <f t="shared" si="36"/>
        <v>-6.5163722956033681</v>
      </c>
      <c r="R113" s="204">
        <f t="shared" si="36"/>
        <v>-3.5562514223921156</v>
      </c>
      <c r="S113" s="204">
        <f t="shared" si="36"/>
        <v>-12.900438869227557</v>
      </c>
      <c r="T113" s="204">
        <f t="shared" si="36"/>
        <v>-1.5589564328166716E-4</v>
      </c>
      <c r="U113" s="204">
        <f t="shared" si="36"/>
        <v>0</v>
      </c>
      <c r="V113" s="204">
        <f t="shared" si="36"/>
        <v>0</v>
      </c>
      <c r="W113" s="204">
        <f t="shared" si="36"/>
        <v>0</v>
      </c>
    </row>
    <row r="114" spans="1:23" s="5" customFormat="1" ht="12.75" customHeight="1">
      <c r="A114" s="62"/>
      <c r="B114" s="62"/>
      <c r="C114" s="60"/>
      <c r="D114" s="157"/>
      <c r="E114" s="202" t="str">
        <f xml:space="preserve"> Time!E$63</f>
        <v>Forecast period counter</v>
      </c>
      <c r="F114" s="202">
        <f xml:space="preserve"> Time!F$63</f>
        <v>0</v>
      </c>
      <c r="G114" s="202" t="str">
        <f xml:space="preserve"> Time!G$63</f>
        <v>counter</v>
      </c>
      <c r="H114" s="202">
        <f xml:space="preserve"> Time!H$63</f>
        <v>0</v>
      </c>
      <c r="I114" s="202">
        <f xml:space="preserve"> Time!I$63</f>
        <v>0</v>
      </c>
      <c r="J114" s="202">
        <f xml:space="preserve"> Time!J$63</f>
        <v>0</v>
      </c>
      <c r="K114" s="202">
        <f xml:space="preserve"> Time!K$63</f>
        <v>0</v>
      </c>
      <c r="L114" s="202">
        <f xml:space="preserve"> Time!L$63</f>
        <v>0</v>
      </c>
      <c r="M114" s="202">
        <f xml:space="preserve"> Time!M$63</f>
        <v>0</v>
      </c>
      <c r="N114" s="202">
        <f xml:space="preserve"> Time!N$63</f>
        <v>0</v>
      </c>
      <c r="O114" s="202">
        <f xml:space="preserve"> Time!O$63</f>
        <v>0</v>
      </c>
      <c r="P114" s="202">
        <f xml:space="preserve"> Time!P$63</f>
        <v>1</v>
      </c>
      <c r="Q114" s="202">
        <f xml:space="preserve"> Time!Q$63</f>
        <v>2</v>
      </c>
      <c r="R114" s="202">
        <f xml:space="preserve"> Time!R$63</f>
        <v>3</v>
      </c>
      <c r="S114" s="202">
        <f xml:space="preserve"> Time!S$63</f>
        <v>4</v>
      </c>
      <c r="T114" s="202">
        <f xml:space="preserve"> Time!T$63</f>
        <v>5</v>
      </c>
      <c r="U114" s="202">
        <f xml:space="preserve"> Time!U$63</f>
        <v>0</v>
      </c>
      <c r="V114" s="202">
        <f xml:space="preserve"> Time!V$63</f>
        <v>0</v>
      </c>
      <c r="W114" s="202">
        <f xml:space="preserve"> Time!W$63</f>
        <v>0</v>
      </c>
    </row>
    <row r="115" spans="1:23" s="5" customFormat="1" ht="12.75" customHeight="1">
      <c r="A115" s="62"/>
      <c r="B115" s="62"/>
      <c r="C115" s="60"/>
      <c r="D115" s="157"/>
      <c r="E115" s="127" t="s">
        <v>314</v>
      </c>
      <c r="F115" s="99"/>
      <c r="G115" s="99" t="s">
        <v>77</v>
      </c>
      <c r="H115" s="91">
        <f xml:space="preserve"> SUM(J115:W115)</f>
        <v>-12.038786508985043</v>
      </c>
      <c r="I115" s="99"/>
      <c r="J115" s="91">
        <f t="shared" ref="J115:O115" si="37" xml:space="preserve"> IF(J114 &lt;= $F111 + 1,  J113 * (1 + $F112) * (1 + $F112), 0)</f>
        <v>0</v>
      </c>
      <c r="K115" s="91">
        <f t="shared" si="37"/>
        <v>0</v>
      </c>
      <c r="L115" s="91">
        <f t="shared" si="37"/>
        <v>0</v>
      </c>
      <c r="M115" s="91">
        <f t="shared" si="37"/>
        <v>0</v>
      </c>
      <c r="N115" s="91">
        <f xml:space="preserve"> IF(N114 &lt;= $F111 + 1,  N113 * (1 + $F112) * (1 + $F112), 0)</f>
        <v>0</v>
      </c>
      <c r="O115" s="91">
        <f t="shared" si="37"/>
        <v>0</v>
      </c>
      <c r="P115" s="91">
        <f t="shared" ref="P115:W115" si="38" xml:space="preserve"> IF(P114 &lt;= $F111 + 1,  P113 * (1 + $F112) * (1 + $F112), 0)</f>
        <v>-1.3693332439717119</v>
      </c>
      <c r="Q115" s="91">
        <f t="shared" si="38"/>
        <v>-6.9024845573407267</v>
      </c>
      <c r="R115" s="91">
        <f t="shared" si="38"/>
        <v>-3.7669687076726031</v>
      </c>
      <c r="S115" s="91">
        <f t="shared" si="38"/>
        <v>0</v>
      </c>
      <c r="T115" s="91">
        <f t="shared" si="38"/>
        <v>0</v>
      </c>
      <c r="U115" s="91">
        <f t="shared" si="38"/>
        <v>0</v>
      </c>
      <c r="V115" s="91">
        <f t="shared" si="38"/>
        <v>0</v>
      </c>
      <c r="W115" s="91">
        <f t="shared" si="38"/>
        <v>0</v>
      </c>
    </row>
    <row r="116" spans="1:23" s="5" customFormat="1" ht="12.75" customHeight="1">
      <c r="A116" s="62"/>
      <c r="B116" s="62"/>
      <c r="C116" s="60"/>
      <c r="D116" s="157"/>
      <c r="E116" s="127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</row>
    <row r="117" spans="1:23" s="5" customFormat="1" ht="12.75" customHeight="1">
      <c r="A117" s="62"/>
      <c r="B117" s="62"/>
      <c r="C117" s="60"/>
      <c r="D117" s="157"/>
      <c r="E117" s="41" t="str">
        <f xml:space="preserve"> 'Indices and K factor'!E$11</f>
        <v>CPIH: Nov % increase (prior year) - CALC</v>
      </c>
      <c r="F117" s="41">
        <f xml:space="preserve"> 'Indices and K factor'!F$11</f>
        <v>0</v>
      </c>
      <c r="G117" s="41" t="str">
        <f xml:space="preserve"> 'Indices and K factor'!G$11</f>
        <v>%</v>
      </c>
      <c r="H117" s="41">
        <f xml:space="preserve"> 'Indices and K factor'!H$11</f>
        <v>0</v>
      </c>
      <c r="I117" s="41">
        <f xml:space="preserve"> 'Indices and K factor'!I$11</f>
        <v>0</v>
      </c>
      <c r="J117" s="41">
        <f xml:space="preserve"> 'Indices and K factor'!J$11</f>
        <v>0</v>
      </c>
      <c r="K117" s="41">
        <f xml:space="preserve"> 'Indices and K factor'!K$11</f>
        <v>0</v>
      </c>
      <c r="L117" s="41">
        <f xml:space="preserve"> 'Indices and K factor'!L$11</f>
        <v>1.0040040040040039</v>
      </c>
      <c r="M117" s="41">
        <f xml:space="preserve"> 'Indices and K factor'!M$11</f>
        <v>1.0149551345962113</v>
      </c>
      <c r="N117" s="41">
        <f xml:space="preserve"> 'Indices and K factor'!N$11</f>
        <v>1.0284872298624754</v>
      </c>
      <c r="O117" s="41">
        <f xml:space="preserve"> 'Indices and K factor'!O$11</f>
        <v>1.0210124164278893</v>
      </c>
      <c r="P117" s="41">
        <f xml:space="preserve"> 'Indices and K factor'!P$11</f>
        <v>1.0149672591206735</v>
      </c>
      <c r="Q117" s="41">
        <f xml:space="preserve"> 'Indices and K factor'!Q$11</f>
        <v>1.0055299539170506</v>
      </c>
      <c r="R117" s="41">
        <f xml:space="preserve"> 'Indices and K factor'!R$11</f>
        <v>1.0458295142071494</v>
      </c>
      <c r="S117" s="41">
        <f xml:space="preserve"> 'Indices and K factor'!S$11</f>
        <v>1.0937773882559159</v>
      </c>
      <c r="T117" s="41">
        <f xml:space="preserve"> 'Indices and K factor'!T$11</f>
        <v>1.0416666666666667</v>
      </c>
      <c r="U117" s="41">
        <f xml:space="preserve"> 'Indices and K factor'!U$11</f>
        <v>1.0253846153846156</v>
      </c>
      <c r="V117" s="41">
        <f xml:space="preserve"> 'Indices and K factor'!V$11</f>
        <v>1.02</v>
      </c>
      <c r="W117" s="41">
        <f xml:space="preserve"> 'Indices and K factor'!W$11</f>
        <v>1.02</v>
      </c>
    </row>
    <row r="118" spans="1:23" s="5" customFormat="1" ht="12.75" customHeight="1">
      <c r="A118" s="62"/>
      <c r="B118" s="62"/>
      <c r="C118" s="60"/>
      <c r="D118" s="157"/>
      <c r="E118" s="42" t="str">
        <f xml:space="preserve"> E$115</f>
        <v>Main revenue adjustment - with financing adjustment - Water Res</v>
      </c>
      <c r="F118" s="42">
        <f t="shared" ref="F118:W118" si="39" xml:space="preserve"> F$115</f>
        <v>0</v>
      </c>
      <c r="G118" s="42" t="str">
        <f t="shared" si="39"/>
        <v>£m</v>
      </c>
      <c r="H118" s="42">
        <f t="shared" si="39"/>
        <v>-12.038786508985043</v>
      </c>
      <c r="I118" s="42">
        <f t="shared" si="39"/>
        <v>0</v>
      </c>
      <c r="J118" s="42">
        <f t="shared" si="39"/>
        <v>0</v>
      </c>
      <c r="K118" s="42">
        <f t="shared" si="39"/>
        <v>0</v>
      </c>
      <c r="L118" s="42">
        <f t="shared" si="39"/>
        <v>0</v>
      </c>
      <c r="M118" s="42">
        <f t="shared" si="39"/>
        <v>0</v>
      </c>
      <c r="N118" s="42">
        <f t="shared" si="39"/>
        <v>0</v>
      </c>
      <c r="O118" s="42">
        <f t="shared" si="39"/>
        <v>0</v>
      </c>
      <c r="P118" s="42">
        <f t="shared" si="39"/>
        <v>-1.3693332439717119</v>
      </c>
      <c r="Q118" s="42">
        <f t="shared" si="39"/>
        <v>-6.9024845573407267</v>
      </c>
      <c r="R118" s="42">
        <f t="shared" si="39"/>
        <v>-3.7669687076726031</v>
      </c>
      <c r="S118" s="42">
        <f t="shared" si="39"/>
        <v>0</v>
      </c>
      <c r="T118" s="42">
        <f t="shared" si="39"/>
        <v>0</v>
      </c>
      <c r="U118" s="42">
        <f t="shared" si="39"/>
        <v>0</v>
      </c>
      <c r="V118" s="42">
        <f t="shared" si="39"/>
        <v>0</v>
      </c>
      <c r="W118" s="42">
        <f t="shared" si="39"/>
        <v>0</v>
      </c>
    </row>
    <row r="119" spans="1:23" s="5" customFormat="1" ht="12.75" customHeight="1" thickBot="1">
      <c r="A119" s="62"/>
      <c r="B119" s="62"/>
      <c r="C119" s="60"/>
      <c r="D119" s="157"/>
      <c r="E119" s="217" t="s">
        <v>315</v>
      </c>
      <c r="F119" s="217"/>
      <c r="G119" s="217" t="s">
        <v>77</v>
      </c>
      <c r="H119" s="223">
        <f xml:space="preserve"> SUM(J119:W119)</f>
        <v>-13.627694104245094</v>
      </c>
      <c r="I119" s="220"/>
      <c r="J119" s="220">
        <f t="shared" ref="J119:T119" si="40" xml:space="preserve"> J118 * K117 * L117</f>
        <v>0</v>
      </c>
      <c r="K119" s="220">
        <f t="shared" si="40"/>
        <v>0</v>
      </c>
      <c r="L119" s="220">
        <f t="shared" si="40"/>
        <v>0</v>
      </c>
      <c r="M119" s="220">
        <f t="shared" si="40"/>
        <v>0</v>
      </c>
      <c r="N119" s="220">
        <f t="shared" si="40"/>
        <v>0</v>
      </c>
      <c r="O119" s="220">
        <f t="shared" si="40"/>
        <v>0</v>
      </c>
      <c r="P119" s="220">
        <f t="shared" si="40"/>
        <v>-1.4400085081767033</v>
      </c>
      <c r="Q119" s="220">
        <f t="shared" si="40"/>
        <v>-7.8957843515684942</v>
      </c>
      <c r="R119" s="220">
        <f t="shared" si="40"/>
        <v>-4.2919012444998978</v>
      </c>
      <c r="S119" s="220">
        <f t="shared" si="40"/>
        <v>0</v>
      </c>
      <c r="T119" s="220">
        <f t="shared" si="40"/>
        <v>0</v>
      </c>
      <c r="U119" s="220">
        <f xml:space="preserve"> U118 * V117 * W117</f>
        <v>0</v>
      </c>
      <c r="V119" s="425"/>
      <c r="W119" s="425"/>
    </row>
    <row r="120" spans="1:23" s="257" customFormat="1" ht="12.75" customHeight="1" thickTop="1">
      <c r="A120" s="251"/>
      <c r="B120" s="251"/>
      <c r="C120" s="252"/>
      <c r="D120" s="253"/>
      <c r="E120" s="248"/>
      <c r="F120" s="254"/>
      <c r="G120" s="254"/>
      <c r="H120" s="255"/>
      <c r="I120" s="254"/>
      <c r="J120" s="256"/>
      <c r="K120" s="256"/>
      <c r="L120" s="256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</row>
    <row r="121" spans="1:23" ht="12.75" customHeight="1">
      <c r="A121" s="113" t="s">
        <v>316</v>
      </c>
      <c r="B121" s="113"/>
      <c r="C121" s="112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</row>
    <row r="122" spans="1:23" s="257" customFormat="1" ht="12.75" customHeight="1">
      <c r="A122" s="251"/>
      <c r="B122" s="251"/>
      <c r="C122" s="252"/>
      <c r="D122" s="253"/>
      <c r="E122" s="248"/>
      <c r="F122" s="254"/>
      <c r="G122" s="254"/>
      <c r="H122" s="255"/>
      <c r="I122" s="254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</row>
    <row r="123" spans="1:23" ht="12.75" customHeight="1">
      <c r="B123" s="61" t="s">
        <v>317</v>
      </c>
    </row>
    <row r="124" spans="1:23" ht="12.75" customHeight="1"/>
    <row r="125" spans="1:23" s="153" customFormat="1" ht="13.15">
      <c r="A125" s="276"/>
      <c r="B125" s="276"/>
      <c r="C125" s="160"/>
      <c r="D125" s="277"/>
      <c r="E125" s="151" t="str">
        <f xml:space="preserve"> E$83</f>
        <v>Revenue Imbalance - Water-N+</v>
      </c>
      <c r="F125" s="151">
        <f t="shared" ref="F125:W125" si="41" xml:space="preserve"> F$83</f>
        <v>0</v>
      </c>
      <c r="G125" s="151" t="str">
        <f t="shared" si="41"/>
        <v>£m</v>
      </c>
      <c r="H125" s="273">
        <f t="shared" si="41"/>
        <v>-10.6774831639014</v>
      </c>
      <c r="I125" s="273">
        <f t="shared" si="41"/>
        <v>0</v>
      </c>
      <c r="J125" s="273">
        <f t="shared" si="41"/>
        <v>0</v>
      </c>
      <c r="K125" s="273">
        <f t="shared" si="41"/>
        <v>0</v>
      </c>
      <c r="L125" s="273">
        <f t="shared" si="41"/>
        <v>0</v>
      </c>
      <c r="M125" s="273">
        <f t="shared" si="41"/>
        <v>0</v>
      </c>
      <c r="N125" s="273">
        <f t="shared" si="41"/>
        <v>0</v>
      </c>
      <c r="O125" s="273">
        <f t="shared" si="41"/>
        <v>0</v>
      </c>
      <c r="P125" s="463">
        <f t="shared" si="41"/>
        <v>8.4868531337698414</v>
      </c>
      <c r="Q125" s="463">
        <f t="shared" si="41"/>
        <v>1.7208239131538789</v>
      </c>
      <c r="R125" s="463">
        <f t="shared" si="41"/>
        <v>-3.3467636212454863</v>
      </c>
      <c r="S125" s="463">
        <f t="shared" si="41"/>
        <v>-17.966422608507401</v>
      </c>
      <c r="T125" s="463">
        <f t="shared" si="41"/>
        <v>0.42802601892776693</v>
      </c>
      <c r="U125" s="273">
        <f t="shared" si="41"/>
        <v>0</v>
      </c>
      <c r="V125" s="273">
        <f t="shared" si="41"/>
        <v>0</v>
      </c>
      <c r="W125" s="273">
        <f t="shared" si="41"/>
        <v>0</v>
      </c>
    </row>
    <row r="126" spans="1:23" s="279" customFormat="1" ht="12.75" customHeight="1">
      <c r="A126" s="181"/>
      <c r="B126" s="181"/>
      <c r="C126" s="182"/>
      <c r="D126" s="157"/>
      <c r="E126" s="209" t="str">
        <f xml:space="preserve"> E$95</f>
        <v>Revenue Imbalance - Water Res</v>
      </c>
      <c r="F126" s="209">
        <f t="shared" ref="F126:W126" si="42" xml:space="preserve"> F$95</f>
        <v>0</v>
      </c>
      <c r="G126" s="209" t="str">
        <f t="shared" si="42"/>
        <v>£m</v>
      </c>
      <c r="H126" s="230">
        <f t="shared" si="42"/>
        <v>-24.265953749470626</v>
      </c>
      <c r="I126" s="230">
        <f t="shared" si="42"/>
        <v>0</v>
      </c>
      <c r="J126" s="230">
        <f t="shared" si="42"/>
        <v>0</v>
      </c>
      <c r="K126" s="230">
        <f t="shared" si="42"/>
        <v>0</v>
      </c>
      <c r="L126" s="230">
        <f t="shared" si="42"/>
        <v>0</v>
      </c>
      <c r="M126" s="230">
        <f t="shared" si="42"/>
        <v>0</v>
      </c>
      <c r="N126" s="230">
        <f t="shared" si="42"/>
        <v>0</v>
      </c>
      <c r="O126" s="230">
        <f t="shared" si="42"/>
        <v>0</v>
      </c>
      <c r="P126" s="209">
        <f t="shared" si="42"/>
        <v>-1.2927352666043035</v>
      </c>
      <c r="Q126" s="209">
        <f t="shared" si="42"/>
        <v>-6.5163722956033681</v>
      </c>
      <c r="R126" s="209">
        <f t="shared" si="42"/>
        <v>-3.5562514223921156</v>
      </c>
      <c r="S126" s="209">
        <f t="shared" si="42"/>
        <v>-12.900438869227557</v>
      </c>
      <c r="T126" s="209">
        <f t="shared" si="42"/>
        <v>-1.5589564328166716E-4</v>
      </c>
      <c r="U126" s="230">
        <f t="shared" si="42"/>
        <v>0</v>
      </c>
      <c r="V126" s="230">
        <f t="shared" si="42"/>
        <v>0</v>
      </c>
      <c r="W126" s="230">
        <f t="shared" si="42"/>
        <v>0</v>
      </c>
    </row>
    <row r="127" spans="1:23" s="153" customFormat="1" ht="13.5" thickBot="1">
      <c r="A127" s="166"/>
      <c r="B127" s="166"/>
      <c r="C127" s="160"/>
      <c r="D127" s="161"/>
      <c r="E127" s="214" t="s">
        <v>318</v>
      </c>
      <c r="F127" s="214"/>
      <c r="G127" s="214" t="s">
        <v>77</v>
      </c>
      <c r="H127" s="216">
        <f xml:space="preserve"> SUM(J127:W127)</f>
        <v>-34.943436913372025</v>
      </c>
      <c r="I127" s="220"/>
      <c r="J127" s="219">
        <f xml:space="preserve"> J125 + J126</f>
        <v>0</v>
      </c>
      <c r="K127" s="219">
        <f t="shared" ref="K127:W127" si="43" xml:space="preserve"> K125 + K126</f>
        <v>0</v>
      </c>
      <c r="L127" s="219">
        <f t="shared" si="43"/>
        <v>0</v>
      </c>
      <c r="M127" s="219">
        <f t="shared" si="43"/>
        <v>0</v>
      </c>
      <c r="N127" s="219">
        <f t="shared" si="43"/>
        <v>0</v>
      </c>
      <c r="O127" s="219">
        <f t="shared" si="43"/>
        <v>0</v>
      </c>
      <c r="P127" s="464">
        <f t="shared" si="43"/>
        <v>7.1941178671655379</v>
      </c>
      <c r="Q127" s="464">
        <f t="shared" si="43"/>
        <v>-4.7955483824494891</v>
      </c>
      <c r="R127" s="464">
        <f t="shared" si="43"/>
        <v>-6.9030150436376019</v>
      </c>
      <c r="S127" s="464">
        <f t="shared" si="43"/>
        <v>-30.866861477734957</v>
      </c>
      <c r="T127" s="464">
        <f t="shared" si="43"/>
        <v>0.42787012328448526</v>
      </c>
      <c r="U127" s="219">
        <f t="shared" si="43"/>
        <v>0</v>
      </c>
      <c r="V127" s="219">
        <f t="shared" si="43"/>
        <v>0</v>
      </c>
      <c r="W127" s="219">
        <f t="shared" si="43"/>
        <v>0</v>
      </c>
    </row>
    <row r="128" spans="1:23" s="153" customFormat="1" ht="13.5" thickTop="1">
      <c r="A128" s="166"/>
      <c r="B128" s="166"/>
      <c r="C128" s="160"/>
      <c r="D128" s="161"/>
      <c r="E128" s="80"/>
      <c r="F128" s="80"/>
      <c r="G128" s="80"/>
      <c r="H128" s="180"/>
      <c r="I128" s="258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</row>
    <row r="129" spans="1:23" s="153" customFormat="1" ht="13.15">
      <c r="A129" s="166"/>
      <c r="B129" s="166" t="s">
        <v>319</v>
      </c>
      <c r="C129" s="160"/>
      <c r="D129" s="161"/>
      <c r="E129" s="80"/>
      <c r="F129" s="80"/>
      <c r="G129" s="80"/>
      <c r="H129" s="180"/>
      <c r="I129" s="258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</row>
    <row r="130" spans="1:23" s="153" customFormat="1" ht="13.15">
      <c r="A130" s="166"/>
      <c r="B130" s="166"/>
      <c r="C130" s="160"/>
      <c r="D130" s="161"/>
      <c r="E130" s="80"/>
      <c r="F130" s="80"/>
      <c r="G130" s="80"/>
      <c r="H130" s="180"/>
      <c r="I130" s="258"/>
      <c r="J130" s="224"/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24"/>
    </row>
    <row r="131" spans="1:23" s="151" customFormat="1" ht="12.75" customHeight="1">
      <c r="A131" s="149"/>
      <c r="B131" s="149"/>
      <c r="C131" s="150"/>
      <c r="D131" s="275"/>
      <c r="E131" s="151" t="str">
        <f xml:space="preserve"> E$79</f>
        <v>Adjusted allowed revenue - Water-N+</v>
      </c>
      <c r="F131" s="151">
        <f t="shared" ref="F131:W131" si="44" xml:space="preserve"> F$79</f>
        <v>0</v>
      </c>
      <c r="G131" s="151" t="str">
        <f t="shared" si="44"/>
        <v>£m</v>
      </c>
      <c r="H131" s="273">
        <f t="shared" si="44"/>
        <v>1444.8351698088541</v>
      </c>
      <c r="I131" s="273">
        <f t="shared" si="44"/>
        <v>0</v>
      </c>
      <c r="J131" s="273">
        <f t="shared" si="44"/>
        <v>0</v>
      </c>
      <c r="K131" s="273">
        <f t="shared" si="44"/>
        <v>0</v>
      </c>
      <c r="L131" s="273">
        <f t="shared" si="44"/>
        <v>0</v>
      </c>
      <c r="M131" s="273">
        <f t="shared" si="44"/>
        <v>0</v>
      </c>
      <c r="N131" s="273">
        <f t="shared" si="44"/>
        <v>0</v>
      </c>
      <c r="O131" s="273">
        <f t="shared" si="44"/>
        <v>0</v>
      </c>
      <c r="P131" s="273">
        <f t="shared" si="44"/>
        <v>287.58285313376985</v>
      </c>
      <c r="Q131" s="273">
        <f t="shared" si="44"/>
        <v>273.3808239131539</v>
      </c>
      <c r="R131" s="273">
        <f t="shared" si="44"/>
        <v>291.97323637875451</v>
      </c>
      <c r="S131" s="273">
        <f t="shared" si="44"/>
        <v>303.22857739149265</v>
      </c>
      <c r="T131" s="273">
        <f t="shared" si="44"/>
        <v>288.66967899168327</v>
      </c>
      <c r="U131" s="273">
        <f t="shared" si="44"/>
        <v>0</v>
      </c>
      <c r="V131" s="273">
        <f t="shared" si="44"/>
        <v>0</v>
      </c>
      <c r="W131" s="273">
        <f t="shared" si="44"/>
        <v>0</v>
      </c>
    </row>
    <row r="132" spans="1:23" s="151" customFormat="1" ht="12.75" customHeight="1">
      <c r="A132" s="149"/>
      <c r="B132" s="149"/>
      <c r="C132" s="150"/>
      <c r="D132" s="275"/>
      <c r="E132" s="151" t="str">
        <f xml:space="preserve"> E$91</f>
        <v>Adjusted allowed revenue - Water Res</v>
      </c>
      <c r="F132" s="151">
        <f t="shared" ref="F132:W132" si="45" xml:space="preserve"> F$91</f>
        <v>0</v>
      </c>
      <c r="G132" s="151" t="str">
        <f t="shared" si="45"/>
        <v>£m</v>
      </c>
      <c r="H132" s="273">
        <f t="shared" si="45"/>
        <v>200.03306280149786</v>
      </c>
      <c r="I132" s="273">
        <f t="shared" si="45"/>
        <v>0</v>
      </c>
      <c r="J132" s="273">
        <f t="shared" si="45"/>
        <v>0</v>
      </c>
      <c r="K132" s="273">
        <f t="shared" si="45"/>
        <v>0</v>
      </c>
      <c r="L132" s="273">
        <f t="shared" si="45"/>
        <v>0</v>
      </c>
      <c r="M132" s="273">
        <f t="shared" si="45"/>
        <v>0</v>
      </c>
      <c r="N132" s="273">
        <f t="shared" si="45"/>
        <v>0</v>
      </c>
      <c r="O132" s="273">
        <f t="shared" si="45"/>
        <v>0</v>
      </c>
      <c r="P132" s="273">
        <f t="shared" si="45"/>
        <v>36.433264733395696</v>
      </c>
      <c r="Q132" s="273">
        <f t="shared" si="45"/>
        <v>39.097627704396629</v>
      </c>
      <c r="R132" s="273">
        <f t="shared" si="45"/>
        <v>40.664748577607881</v>
      </c>
      <c r="S132" s="273">
        <f t="shared" si="45"/>
        <v>40.380561130772442</v>
      </c>
      <c r="T132" s="273">
        <f t="shared" si="45"/>
        <v>43.456860655325208</v>
      </c>
      <c r="U132" s="273">
        <f t="shared" si="45"/>
        <v>0</v>
      </c>
      <c r="V132" s="273">
        <f t="shared" si="45"/>
        <v>0</v>
      </c>
      <c r="W132" s="273">
        <f t="shared" si="45"/>
        <v>0</v>
      </c>
    </row>
    <row r="133" spans="1:23" s="151" customFormat="1" ht="12.75" customHeight="1">
      <c r="A133" s="149"/>
      <c r="B133" s="149"/>
      <c r="C133" s="150"/>
      <c r="D133" s="275"/>
      <c r="E133" s="151" t="s">
        <v>320</v>
      </c>
      <c r="G133" s="151" t="s">
        <v>77</v>
      </c>
      <c r="H133" s="273">
        <f xml:space="preserve"> SUM(J133:W133)</f>
        <v>1644.8682326103522</v>
      </c>
      <c r="I133" s="273"/>
      <c r="J133" s="273">
        <f xml:space="preserve"> J131 + J132</f>
        <v>0</v>
      </c>
      <c r="K133" s="273">
        <f t="shared" ref="K133:W133" si="46" xml:space="preserve"> K131 + K132</f>
        <v>0</v>
      </c>
      <c r="L133" s="273">
        <f t="shared" si="46"/>
        <v>0</v>
      </c>
      <c r="M133" s="273">
        <f t="shared" si="46"/>
        <v>0</v>
      </c>
      <c r="N133" s="273">
        <f t="shared" si="46"/>
        <v>0</v>
      </c>
      <c r="O133" s="273">
        <f t="shared" si="46"/>
        <v>0</v>
      </c>
      <c r="P133" s="273">
        <f t="shared" si="46"/>
        <v>324.01611786716552</v>
      </c>
      <c r="Q133" s="273">
        <f t="shared" si="46"/>
        <v>312.47845161755055</v>
      </c>
      <c r="R133" s="273">
        <f t="shared" si="46"/>
        <v>332.6379849563624</v>
      </c>
      <c r="S133" s="273">
        <f t="shared" si="46"/>
        <v>343.60913852226508</v>
      </c>
      <c r="T133" s="273">
        <f t="shared" si="46"/>
        <v>332.12653964700849</v>
      </c>
      <c r="U133" s="273">
        <f t="shared" si="46"/>
        <v>0</v>
      </c>
      <c r="V133" s="273">
        <f t="shared" si="46"/>
        <v>0</v>
      </c>
      <c r="W133" s="273">
        <f t="shared" si="46"/>
        <v>0</v>
      </c>
    </row>
    <row r="134" spans="1:23" s="257" customFormat="1" ht="12.75" customHeight="1">
      <c r="A134" s="251"/>
      <c r="B134" s="251"/>
      <c r="C134" s="252"/>
      <c r="D134" s="253"/>
      <c r="E134" s="248"/>
      <c r="F134" s="254"/>
      <c r="G134" s="254"/>
      <c r="H134" s="255"/>
      <c r="I134" s="254"/>
      <c r="J134" s="256"/>
      <c r="K134" s="256"/>
      <c r="L134" s="256"/>
      <c r="M134" s="256"/>
      <c r="N134" s="256"/>
      <c r="O134" s="256"/>
      <c r="P134" s="256"/>
      <c r="Q134" s="256"/>
      <c r="R134" s="256"/>
      <c r="S134" s="256"/>
      <c r="T134" s="256"/>
      <c r="U134" s="256"/>
      <c r="V134" s="256"/>
      <c r="W134" s="256"/>
    </row>
    <row r="135" spans="1:23" ht="12.75" customHeight="1">
      <c r="A135" s="113" t="s">
        <v>321</v>
      </c>
      <c r="B135" s="113"/>
      <c r="C135" s="112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</row>
    <row r="136" spans="1:23" ht="12.75" customHeight="1" outlineLevel="1">
      <c r="A136" s="61"/>
      <c r="C136" s="108"/>
      <c r="V136" s="55"/>
      <c r="W136" s="55"/>
    </row>
    <row r="137" spans="1:23" ht="12.75" customHeight="1" outlineLevel="1">
      <c r="A137" s="61"/>
      <c r="B137" s="61" t="s">
        <v>322</v>
      </c>
      <c r="C137" s="108"/>
      <c r="E137" s="128"/>
    </row>
    <row r="138" spans="1:23" ht="12.75" customHeight="1" outlineLevel="1">
      <c r="A138" s="61"/>
      <c r="C138" s="108"/>
      <c r="E138" s="128"/>
    </row>
    <row r="139" spans="1:23" s="306" customFormat="1" ht="12.75" customHeight="1" outlineLevel="1">
      <c r="A139" s="181"/>
      <c r="B139" s="181"/>
      <c r="C139" s="182"/>
      <c r="D139" s="305"/>
      <c r="E139" s="209" t="str">
        <f xml:space="preserve"> E$127</f>
        <v xml:space="preserve">Revenue Imbalance - Wholesale Water </v>
      </c>
      <c r="F139" s="209">
        <f t="shared" ref="F139:W139" si="47" xml:space="preserve"> F$127</f>
        <v>0</v>
      </c>
      <c r="G139" s="209" t="str">
        <f t="shared" si="47"/>
        <v>£m</v>
      </c>
      <c r="H139" s="230">
        <f t="shared" si="47"/>
        <v>-34.943436913372025</v>
      </c>
      <c r="I139" s="230">
        <f t="shared" si="47"/>
        <v>0</v>
      </c>
      <c r="J139" s="230">
        <f t="shared" si="47"/>
        <v>0</v>
      </c>
      <c r="K139" s="230">
        <f t="shared" si="47"/>
        <v>0</v>
      </c>
      <c r="L139" s="230">
        <f t="shared" si="47"/>
        <v>0</v>
      </c>
      <c r="M139" s="230">
        <f t="shared" si="47"/>
        <v>0</v>
      </c>
      <c r="N139" s="230">
        <f t="shared" si="47"/>
        <v>0</v>
      </c>
      <c r="O139" s="230">
        <f t="shared" si="47"/>
        <v>0</v>
      </c>
      <c r="P139" s="230">
        <f t="shared" si="47"/>
        <v>7.1941178671655379</v>
      </c>
      <c r="Q139" s="230">
        <f t="shared" si="47"/>
        <v>-4.7955483824494891</v>
      </c>
      <c r="R139" s="230">
        <f t="shared" si="47"/>
        <v>-6.9030150436376019</v>
      </c>
      <c r="S139" s="230">
        <f t="shared" si="47"/>
        <v>-30.866861477734957</v>
      </c>
      <c r="T139" s="230">
        <f t="shared" si="47"/>
        <v>0.42787012328448526</v>
      </c>
      <c r="U139" s="230">
        <f t="shared" si="47"/>
        <v>0</v>
      </c>
      <c r="V139" s="230">
        <f t="shared" si="47"/>
        <v>0</v>
      </c>
      <c r="W139" s="230">
        <f t="shared" si="47"/>
        <v>0</v>
      </c>
    </row>
    <row r="140" spans="1:23" s="127" customFormat="1" ht="12.75" customHeight="1" outlineLevel="1">
      <c r="A140" s="164"/>
      <c r="B140" s="164"/>
      <c r="C140" s="165"/>
      <c r="D140" s="73"/>
      <c r="E140" s="203" t="str">
        <f t="shared" ref="E140:W140" si="48" xml:space="preserve"> E$133</f>
        <v>Adjusted allowed revenue - Wholesale Water</v>
      </c>
      <c r="F140" s="203">
        <f t="shared" si="48"/>
        <v>0</v>
      </c>
      <c r="G140" s="203" t="str">
        <f t="shared" si="48"/>
        <v>£m</v>
      </c>
      <c r="H140" s="42">
        <f t="shared" si="48"/>
        <v>1644.8682326103522</v>
      </c>
      <c r="I140" s="42">
        <f t="shared" si="48"/>
        <v>0</v>
      </c>
      <c r="J140" s="42">
        <f t="shared" si="48"/>
        <v>0</v>
      </c>
      <c r="K140" s="42">
        <f t="shared" si="48"/>
        <v>0</v>
      </c>
      <c r="L140" s="42">
        <f t="shared" si="48"/>
        <v>0</v>
      </c>
      <c r="M140" s="42">
        <f t="shared" si="48"/>
        <v>0</v>
      </c>
      <c r="N140" s="42">
        <f t="shared" si="48"/>
        <v>0</v>
      </c>
      <c r="O140" s="42">
        <f t="shared" si="48"/>
        <v>0</v>
      </c>
      <c r="P140" s="42">
        <f t="shared" si="48"/>
        <v>324.01611786716552</v>
      </c>
      <c r="Q140" s="42">
        <f t="shared" si="48"/>
        <v>312.47845161755055</v>
      </c>
      <c r="R140" s="42">
        <f t="shared" si="48"/>
        <v>332.6379849563624</v>
      </c>
      <c r="S140" s="42">
        <f t="shared" si="48"/>
        <v>343.60913852226508</v>
      </c>
      <c r="T140" s="42">
        <f t="shared" si="48"/>
        <v>332.12653964700849</v>
      </c>
      <c r="U140" s="42">
        <f t="shared" si="48"/>
        <v>0</v>
      </c>
      <c r="V140" s="42">
        <f t="shared" si="48"/>
        <v>0</v>
      </c>
      <c r="W140" s="42">
        <f t="shared" si="48"/>
        <v>0</v>
      </c>
    </row>
    <row r="141" spans="1:23" s="5" customFormat="1" ht="12.75" customHeight="1" outlineLevel="1">
      <c r="A141" s="62"/>
      <c r="B141" s="62"/>
      <c r="C141" s="60"/>
      <c r="D141" s="157"/>
      <c r="E141" s="99" t="s">
        <v>323</v>
      </c>
      <c r="F141" s="99"/>
      <c r="G141" s="99" t="s">
        <v>153</v>
      </c>
      <c r="H141" s="37"/>
      <c r="I141" s="99"/>
      <c r="J141" s="37">
        <f xml:space="preserve"> IF( J140 = 0, 0, ABS( J139 / J140 ) )</f>
        <v>0</v>
      </c>
      <c r="K141" s="37">
        <f t="shared" ref="K141:W141" si="49" xml:space="preserve"> IF( K140 = 0, 0, ABS( K139 / K140 ) )</f>
        <v>0</v>
      </c>
      <c r="L141" s="37">
        <f t="shared" si="49"/>
        <v>0</v>
      </c>
      <c r="M141" s="37">
        <f t="shared" si="49"/>
        <v>0</v>
      </c>
      <c r="N141" s="37">
        <f t="shared" si="49"/>
        <v>0</v>
      </c>
      <c r="O141" s="37">
        <f t="shared" si="49"/>
        <v>0</v>
      </c>
      <c r="P141" s="37">
        <f t="shared" si="49"/>
        <v>2.2202962971474328E-2</v>
      </c>
      <c r="Q141" s="37">
        <f t="shared" si="49"/>
        <v>1.534681306062944E-2</v>
      </c>
      <c r="R141" s="37">
        <f t="shared" si="49"/>
        <v>2.0752335439210842E-2</v>
      </c>
      <c r="S141" s="37">
        <f t="shared" si="49"/>
        <v>8.9831317090348153E-2</v>
      </c>
      <c r="T141" s="37">
        <f t="shared" si="49"/>
        <v>1.2882744141411741E-3</v>
      </c>
      <c r="U141" s="37">
        <f t="shared" si="49"/>
        <v>0</v>
      </c>
      <c r="V141" s="37">
        <f t="shared" si="49"/>
        <v>0</v>
      </c>
      <c r="W141" s="37">
        <f t="shared" si="49"/>
        <v>0</v>
      </c>
    </row>
    <row r="142" spans="1:23" ht="12.75" customHeight="1" outlineLevel="1">
      <c r="A142" s="61"/>
      <c r="C142" s="108"/>
      <c r="E142" s="72"/>
    </row>
    <row r="143" spans="1:23" ht="12.75" customHeight="1" outlineLevel="1">
      <c r="A143" s="61"/>
      <c r="C143" s="108"/>
      <c r="E143" s="34" t="str">
        <f xml:space="preserve"> Inputs!E$57</f>
        <v>Minimum threshold</v>
      </c>
      <c r="F143" s="34">
        <f xml:space="preserve"> Inputs!F$57</f>
        <v>0.02</v>
      </c>
      <c r="G143" s="34" t="str">
        <f xml:space="preserve"> Inputs!G$57</f>
        <v>%</v>
      </c>
      <c r="H143" s="34">
        <f xml:space="preserve"> Inputs!H$57</f>
        <v>0</v>
      </c>
      <c r="I143" s="34">
        <f xml:space="preserve"> Inputs!I$57</f>
        <v>0</v>
      </c>
      <c r="J143" s="34">
        <f xml:space="preserve"> Inputs!J$57</f>
        <v>0</v>
      </c>
      <c r="K143" s="34">
        <f xml:space="preserve"> Inputs!K$57</f>
        <v>0</v>
      </c>
      <c r="L143" s="34">
        <f xml:space="preserve"> Inputs!L$57</f>
        <v>0</v>
      </c>
      <c r="M143" s="34">
        <f xml:space="preserve"> Inputs!M$57</f>
        <v>0</v>
      </c>
      <c r="N143" s="34">
        <f xml:space="preserve"> Inputs!N$57</f>
        <v>0</v>
      </c>
      <c r="O143" s="34">
        <f xml:space="preserve"> Inputs!O$57</f>
        <v>0</v>
      </c>
      <c r="P143" s="34">
        <f xml:space="preserve"> Inputs!P$57</f>
        <v>0</v>
      </c>
      <c r="Q143" s="34">
        <f xml:space="preserve"> Inputs!Q$57</f>
        <v>0</v>
      </c>
      <c r="R143" s="34">
        <f xml:space="preserve"> Inputs!R$57</f>
        <v>0</v>
      </c>
      <c r="S143" s="34">
        <f xml:space="preserve"> Inputs!S$57</f>
        <v>0</v>
      </c>
      <c r="T143" s="34">
        <f xml:space="preserve"> Inputs!T$57</f>
        <v>0</v>
      </c>
      <c r="U143" s="34">
        <f xml:space="preserve"> Inputs!U$57</f>
        <v>0</v>
      </c>
      <c r="V143" s="34">
        <f xml:space="preserve"> Inputs!V$57</f>
        <v>0</v>
      </c>
      <c r="W143" s="34">
        <f xml:space="preserve"> Inputs!W$57</f>
        <v>0</v>
      </c>
    </row>
    <row r="144" spans="1:23" ht="12.75" customHeight="1" outlineLevel="1">
      <c r="E144" s="36" t="str">
        <f xml:space="preserve"> E$141</f>
        <v>Forecast error - Wholesale Water</v>
      </c>
      <c r="F144" s="36">
        <f xml:space="preserve"> F$141</f>
        <v>0</v>
      </c>
      <c r="G144" s="36" t="str">
        <f xml:space="preserve"> G$141</f>
        <v>%</v>
      </c>
      <c r="H144" s="36">
        <f xml:space="preserve"> H$141</f>
        <v>0</v>
      </c>
      <c r="I144" s="36">
        <f xml:space="preserve"> I$141</f>
        <v>0</v>
      </c>
      <c r="J144" s="36">
        <f t="shared" ref="J144:T144" si="50" xml:space="preserve"> J$141</f>
        <v>0</v>
      </c>
      <c r="K144" s="36">
        <f t="shared" si="50"/>
        <v>0</v>
      </c>
      <c r="L144" s="36">
        <f t="shared" si="50"/>
        <v>0</v>
      </c>
      <c r="M144" s="36">
        <f t="shared" si="50"/>
        <v>0</v>
      </c>
      <c r="N144" s="36">
        <f t="shared" si="50"/>
        <v>0</v>
      </c>
      <c r="O144" s="36">
        <f t="shared" si="50"/>
        <v>0</v>
      </c>
      <c r="P144" s="36">
        <f xml:space="preserve"> P$141</f>
        <v>2.2202962971474328E-2</v>
      </c>
      <c r="Q144" s="36">
        <f t="shared" si="50"/>
        <v>1.534681306062944E-2</v>
      </c>
      <c r="R144" s="36">
        <f t="shared" si="50"/>
        <v>2.0752335439210842E-2</v>
      </c>
      <c r="S144" s="36">
        <f t="shared" si="50"/>
        <v>8.9831317090348153E-2</v>
      </c>
      <c r="T144" s="36">
        <f t="shared" si="50"/>
        <v>1.2882744141411741E-3</v>
      </c>
      <c r="U144" s="36">
        <f xml:space="preserve"> U$141</f>
        <v>0</v>
      </c>
      <c r="V144" s="36">
        <f xml:space="preserve"> V$141</f>
        <v>0</v>
      </c>
      <c r="W144" s="36">
        <f xml:space="preserve"> W$141</f>
        <v>0</v>
      </c>
    </row>
    <row r="145" spans="1:23" ht="12.75" customHeight="1" outlineLevel="1">
      <c r="A145" s="61"/>
      <c r="C145" s="108"/>
      <c r="E145" s="72" t="s">
        <v>324</v>
      </c>
      <c r="G145" s="55" t="s">
        <v>227</v>
      </c>
      <c r="J145" s="55">
        <f t="shared" ref="J145:T145" si="51" xml:space="preserve"> IF(J144 &gt; $F143, 1, 0)</f>
        <v>0</v>
      </c>
      <c r="K145" s="55">
        <f t="shared" si="51"/>
        <v>0</v>
      </c>
      <c r="L145" s="55">
        <f t="shared" si="51"/>
        <v>0</v>
      </c>
      <c r="M145" s="55">
        <f t="shared" si="51"/>
        <v>0</v>
      </c>
      <c r="N145" s="55">
        <f t="shared" si="51"/>
        <v>0</v>
      </c>
      <c r="O145" s="55">
        <f t="shared" si="51"/>
        <v>0</v>
      </c>
      <c r="P145" s="55">
        <f xml:space="preserve"> IF(P144 &gt; $F143, 1, 0)</f>
        <v>1</v>
      </c>
      <c r="Q145" s="55">
        <f t="shared" si="51"/>
        <v>0</v>
      </c>
      <c r="R145" s="55">
        <f t="shared" si="51"/>
        <v>1</v>
      </c>
      <c r="S145" s="55">
        <f t="shared" si="51"/>
        <v>1</v>
      </c>
      <c r="T145" s="55">
        <f t="shared" si="51"/>
        <v>0</v>
      </c>
      <c r="U145" s="55">
        <f xml:space="preserve"> IF(U144 &gt; $F143, 1, 0)</f>
        <v>0</v>
      </c>
      <c r="V145" s="55">
        <f xml:space="preserve"> IF(V144 &gt; $F143, 1, 0)</f>
        <v>0</v>
      </c>
      <c r="W145" s="55">
        <f xml:space="preserve"> IF(W144 &gt; $F143, 1, 0)</f>
        <v>0</v>
      </c>
    </row>
    <row r="146" spans="1:23" ht="12.75" customHeight="1" outlineLevel="1">
      <c r="A146" s="61"/>
      <c r="C146" s="108"/>
      <c r="E146" s="72"/>
    </row>
    <row r="147" spans="1:23" ht="12.75" customHeight="1" outlineLevel="1">
      <c r="A147" s="61"/>
      <c r="C147" s="108"/>
      <c r="E147" s="34" t="str">
        <f xml:space="preserve"> Inputs!E$57</f>
        <v>Minimum threshold</v>
      </c>
      <c r="F147" s="34">
        <f xml:space="preserve"> Inputs!F$57</f>
        <v>0.02</v>
      </c>
      <c r="G147" s="34" t="str">
        <f xml:space="preserve"> Inputs!G$57</f>
        <v>%</v>
      </c>
      <c r="H147" s="34">
        <f xml:space="preserve"> Inputs!H$57</f>
        <v>0</v>
      </c>
      <c r="I147" s="34">
        <f xml:space="preserve"> Inputs!I$57</f>
        <v>0</v>
      </c>
      <c r="J147" s="34">
        <f xml:space="preserve"> Inputs!J$57</f>
        <v>0</v>
      </c>
      <c r="K147" s="34">
        <f xml:space="preserve"> Inputs!K$57</f>
        <v>0</v>
      </c>
      <c r="L147" s="34">
        <f xml:space="preserve"> Inputs!L$57</f>
        <v>0</v>
      </c>
      <c r="M147" s="34">
        <f xml:space="preserve"> Inputs!M$57</f>
        <v>0</v>
      </c>
      <c r="N147" s="34">
        <f xml:space="preserve"> Inputs!N$57</f>
        <v>0</v>
      </c>
      <c r="O147" s="34">
        <f xml:space="preserve"> Inputs!O$57</f>
        <v>0</v>
      </c>
      <c r="P147" s="34">
        <f xml:space="preserve"> Inputs!P$57</f>
        <v>0</v>
      </c>
      <c r="Q147" s="34">
        <f xml:space="preserve"> Inputs!Q$57</f>
        <v>0</v>
      </c>
      <c r="R147" s="34">
        <f xml:space="preserve"> Inputs!R$57</f>
        <v>0</v>
      </c>
      <c r="S147" s="34">
        <f xml:space="preserve"> Inputs!S$57</f>
        <v>0</v>
      </c>
      <c r="T147" s="34">
        <f xml:space="preserve"> Inputs!T$57</f>
        <v>0</v>
      </c>
      <c r="U147" s="34">
        <f xml:space="preserve"> Inputs!U$57</f>
        <v>0</v>
      </c>
      <c r="V147" s="34">
        <f xml:space="preserve"> Inputs!V$57</f>
        <v>0</v>
      </c>
      <c r="W147" s="34">
        <f xml:space="preserve"> Inputs!W$57</f>
        <v>0</v>
      </c>
    </row>
    <row r="148" spans="1:23" ht="12.75" customHeight="1" outlineLevel="1">
      <c r="A148" s="61"/>
      <c r="C148" s="108"/>
      <c r="E148" s="34" t="str">
        <f xml:space="preserve"> Inputs!E$59</f>
        <v>Maximum threshold</v>
      </c>
      <c r="F148" s="34">
        <f xml:space="preserve"> Inputs!F$59</f>
        <v>0.03</v>
      </c>
      <c r="G148" s="34" t="str">
        <f xml:space="preserve"> Inputs!G$59</f>
        <v>%</v>
      </c>
      <c r="H148" s="34">
        <f xml:space="preserve"> Inputs!H$59</f>
        <v>0</v>
      </c>
      <c r="I148" s="34">
        <f xml:space="preserve"> Inputs!I$59</f>
        <v>0</v>
      </c>
      <c r="J148" s="34">
        <f xml:space="preserve"> Inputs!J$59</f>
        <v>0</v>
      </c>
      <c r="K148" s="34">
        <f xml:space="preserve"> Inputs!K$59</f>
        <v>0</v>
      </c>
      <c r="L148" s="34">
        <f xml:space="preserve"> Inputs!L$59</f>
        <v>0</v>
      </c>
      <c r="M148" s="34">
        <f xml:space="preserve"> Inputs!M$59</f>
        <v>0</v>
      </c>
      <c r="N148" s="34">
        <f xml:space="preserve"> Inputs!N$59</f>
        <v>0</v>
      </c>
      <c r="O148" s="34">
        <f xml:space="preserve"> Inputs!O$59</f>
        <v>0</v>
      </c>
      <c r="P148" s="34">
        <f xml:space="preserve"> Inputs!P$59</f>
        <v>0</v>
      </c>
      <c r="Q148" s="34">
        <f xml:space="preserve"> Inputs!Q$59</f>
        <v>0</v>
      </c>
      <c r="R148" s="34">
        <f xml:space="preserve"> Inputs!R$59</f>
        <v>0</v>
      </c>
      <c r="S148" s="34">
        <f xml:space="preserve"> Inputs!S$59</f>
        <v>0</v>
      </c>
      <c r="T148" s="34">
        <f xml:space="preserve"> Inputs!T$59</f>
        <v>0</v>
      </c>
      <c r="U148" s="34">
        <f xml:space="preserve"> Inputs!U$59</f>
        <v>0</v>
      </c>
      <c r="V148" s="34">
        <f xml:space="preserve"> Inputs!V$59</f>
        <v>0</v>
      </c>
      <c r="W148" s="34">
        <f xml:space="preserve"> Inputs!W$59</f>
        <v>0</v>
      </c>
    </row>
    <row r="149" spans="1:23" ht="12.75" customHeight="1" outlineLevel="1">
      <c r="E149" s="36" t="str">
        <f t="shared" ref="E149:T149" si="52" xml:space="preserve"> E$141</f>
        <v>Forecast error - Wholesale Water</v>
      </c>
      <c r="F149" s="36">
        <f t="shared" si="52"/>
        <v>0</v>
      </c>
      <c r="G149" s="36" t="str">
        <f t="shared" si="52"/>
        <v>%</v>
      </c>
      <c r="H149" s="36">
        <f t="shared" si="52"/>
        <v>0</v>
      </c>
      <c r="I149" s="36">
        <f t="shared" si="52"/>
        <v>0</v>
      </c>
      <c r="J149" s="36">
        <f t="shared" si="52"/>
        <v>0</v>
      </c>
      <c r="K149" s="36">
        <f t="shared" si="52"/>
        <v>0</v>
      </c>
      <c r="L149" s="36">
        <f t="shared" si="52"/>
        <v>0</v>
      </c>
      <c r="M149" s="36">
        <f t="shared" si="52"/>
        <v>0</v>
      </c>
      <c r="N149" s="36">
        <f t="shared" si="52"/>
        <v>0</v>
      </c>
      <c r="O149" s="36">
        <f t="shared" si="52"/>
        <v>0</v>
      </c>
      <c r="P149" s="36">
        <f xml:space="preserve"> P$141</f>
        <v>2.2202962971474328E-2</v>
      </c>
      <c r="Q149" s="36">
        <f t="shared" si="52"/>
        <v>1.534681306062944E-2</v>
      </c>
      <c r="R149" s="36">
        <f t="shared" si="52"/>
        <v>2.0752335439210842E-2</v>
      </c>
      <c r="S149" s="36">
        <f t="shared" si="52"/>
        <v>8.9831317090348153E-2</v>
      </c>
      <c r="T149" s="36">
        <f t="shared" si="52"/>
        <v>1.2882744141411741E-3</v>
      </c>
      <c r="U149" s="36">
        <f xml:space="preserve"> U$141</f>
        <v>0</v>
      </c>
      <c r="V149" s="36">
        <f xml:space="preserve"> V$141</f>
        <v>0</v>
      </c>
      <c r="W149" s="36">
        <f xml:space="preserve"> W$141</f>
        <v>0</v>
      </c>
    </row>
    <row r="150" spans="1:23" ht="12.75" customHeight="1" outlineLevel="1">
      <c r="A150" s="61"/>
      <c r="C150" s="108"/>
      <c r="E150" s="55" t="str">
        <f t="shared" ref="E150:T150" si="53" xml:space="preserve"> E$145</f>
        <v>Penalty applicable - Wholesale Water</v>
      </c>
      <c r="F150" s="55">
        <f t="shared" si="53"/>
        <v>0</v>
      </c>
      <c r="G150" s="55" t="str">
        <f t="shared" si="53"/>
        <v>flag</v>
      </c>
      <c r="H150" s="55">
        <f t="shared" si="53"/>
        <v>0</v>
      </c>
      <c r="I150" s="55">
        <f t="shared" si="53"/>
        <v>0</v>
      </c>
      <c r="J150" s="55">
        <f t="shared" si="53"/>
        <v>0</v>
      </c>
      <c r="K150" s="55">
        <f t="shared" si="53"/>
        <v>0</v>
      </c>
      <c r="L150" s="55">
        <f t="shared" si="53"/>
        <v>0</v>
      </c>
      <c r="M150" s="55">
        <f t="shared" si="53"/>
        <v>0</v>
      </c>
      <c r="N150" s="55">
        <f t="shared" si="53"/>
        <v>0</v>
      </c>
      <c r="O150" s="55">
        <f t="shared" si="53"/>
        <v>0</v>
      </c>
      <c r="P150" s="55">
        <f xml:space="preserve"> P$145</f>
        <v>1</v>
      </c>
      <c r="Q150" s="55">
        <f t="shared" si="53"/>
        <v>0</v>
      </c>
      <c r="R150" s="55">
        <f t="shared" si="53"/>
        <v>1</v>
      </c>
      <c r="S150" s="55">
        <f t="shared" si="53"/>
        <v>1</v>
      </c>
      <c r="T150" s="55">
        <f t="shared" si="53"/>
        <v>0</v>
      </c>
      <c r="U150" s="55">
        <f xml:space="preserve"> U$145</f>
        <v>0</v>
      </c>
      <c r="V150" s="55">
        <f xml:space="preserve"> V$145</f>
        <v>0</v>
      </c>
      <c r="W150" s="55">
        <f xml:space="preserve"> W$145</f>
        <v>0</v>
      </c>
    </row>
    <row r="151" spans="1:23" ht="12.75" customHeight="1" outlineLevel="1">
      <c r="A151" s="61"/>
      <c r="C151" s="108"/>
      <c r="E151" s="55" t="s">
        <v>325</v>
      </c>
      <c r="G151" s="55" t="s">
        <v>274</v>
      </c>
      <c r="J151" s="3">
        <f xml:space="preserve"> IF(J150 = 1, (J149 - $F147) / ($F148 - $F147), 0)</f>
        <v>0</v>
      </c>
      <c r="K151" s="3">
        <f xml:space="preserve"> IF(K150 = 1, (K149 - $F147) / ($F148 - $F147), 0)</f>
        <v>0</v>
      </c>
      <c r="L151" s="3">
        <f xml:space="preserve"> IF(L150 = 1, (L149 - $F147) / ($F148 - $F147), 0)</f>
        <v>0</v>
      </c>
      <c r="M151" s="3">
        <f t="shared" ref="M151:T151" si="54" xml:space="preserve"> IF(M150 = 1, (M149 - $F147) / ($F148 - $F147), 0)</f>
        <v>0</v>
      </c>
      <c r="N151" s="3">
        <f t="shared" si="54"/>
        <v>0</v>
      </c>
      <c r="O151" s="3">
        <f t="shared" si="54"/>
        <v>0</v>
      </c>
      <c r="P151" s="33">
        <f xml:space="preserve"> IF(P150 = 1, (P149 - $F147) / ($F148 - $F147), 0)</f>
        <v>0.22029629714743276</v>
      </c>
      <c r="Q151" s="33">
        <f t="shared" si="54"/>
        <v>0</v>
      </c>
      <c r="R151" s="33">
        <f t="shared" si="54"/>
        <v>7.5233543921084126E-2</v>
      </c>
      <c r="S151" s="33">
        <f t="shared" si="54"/>
        <v>6.9831317090348159</v>
      </c>
      <c r="T151" s="33">
        <f t="shared" si="54"/>
        <v>0</v>
      </c>
      <c r="U151" s="3">
        <f xml:space="preserve"> IF(U150 = 1, (U149 - $F147) / ($F148 - $F147), 0)</f>
        <v>0</v>
      </c>
      <c r="V151" s="3">
        <f xml:space="preserve"> IF(V150 = 1, (V149 - $F147) / ($F148 - $F147), 0)</f>
        <v>0</v>
      </c>
      <c r="W151" s="3">
        <f xml:space="preserve"> IF(W150 = 1, (W149 - $F147) / ($F148 - $F147), 0)</f>
        <v>0</v>
      </c>
    </row>
    <row r="152" spans="1:23" ht="12.75" customHeight="1" outlineLevel="1">
      <c r="A152" s="61"/>
      <c r="C152" s="108"/>
      <c r="E152" s="72"/>
      <c r="V152" s="55"/>
      <c r="W152" s="55"/>
    </row>
    <row r="153" spans="1:23" ht="12.75" customHeight="1" outlineLevel="1">
      <c r="A153" s="61"/>
      <c r="C153" s="108"/>
      <c r="E153" s="34" t="str">
        <f xml:space="preserve"> Inputs!E$61</f>
        <v>Penalty level</v>
      </c>
      <c r="F153" s="34">
        <f xml:space="preserve"> Inputs!F$61</f>
        <v>0.03</v>
      </c>
      <c r="G153" s="34" t="str">
        <f xml:space="preserve"> Inputs!G$61</f>
        <v>%</v>
      </c>
      <c r="H153" s="34">
        <f xml:space="preserve"> Inputs!H$61</f>
        <v>0</v>
      </c>
      <c r="I153" s="34">
        <f xml:space="preserve"> Inputs!I$61</f>
        <v>0</v>
      </c>
      <c r="J153" s="34">
        <f xml:space="preserve"> Inputs!J$61</f>
        <v>0</v>
      </c>
      <c r="K153" s="34">
        <f xml:space="preserve"> Inputs!K$61</f>
        <v>0</v>
      </c>
      <c r="L153" s="34">
        <f xml:space="preserve"> Inputs!L$61</f>
        <v>0</v>
      </c>
      <c r="M153" s="34">
        <f xml:space="preserve"> Inputs!M$61</f>
        <v>0</v>
      </c>
      <c r="N153" s="34">
        <f xml:space="preserve"> Inputs!N$61</f>
        <v>0</v>
      </c>
      <c r="O153" s="34">
        <f xml:space="preserve"> Inputs!O$61</f>
        <v>0</v>
      </c>
      <c r="P153" s="34">
        <f xml:space="preserve"> Inputs!P$61</f>
        <v>0</v>
      </c>
      <c r="Q153" s="34">
        <f xml:space="preserve"> Inputs!Q$61</f>
        <v>0</v>
      </c>
      <c r="R153" s="34">
        <f xml:space="preserve"> Inputs!R$61</f>
        <v>0</v>
      </c>
      <c r="S153" s="34">
        <f xml:space="preserve"> Inputs!S$61</f>
        <v>0</v>
      </c>
      <c r="T153" s="34">
        <f xml:space="preserve"> Inputs!T$61</f>
        <v>0</v>
      </c>
      <c r="U153" s="34">
        <f xml:space="preserve"> Inputs!U$61</f>
        <v>0</v>
      </c>
      <c r="V153" s="34">
        <f xml:space="preserve"> Inputs!V$61</f>
        <v>0</v>
      </c>
      <c r="W153" s="34">
        <f xml:space="preserve"> Inputs!W$61</f>
        <v>0</v>
      </c>
    </row>
    <row r="154" spans="1:23" ht="12.75" customHeight="1" outlineLevel="1">
      <c r="A154" s="61"/>
      <c r="C154" s="108"/>
      <c r="E154" s="3" t="str">
        <f t="shared" ref="E154:T154" si="55" xml:space="preserve"> E$151</f>
        <v>Error magnitude - Wholesale Water</v>
      </c>
      <c r="F154" s="3">
        <f t="shared" si="55"/>
        <v>0</v>
      </c>
      <c r="G154" s="3" t="str">
        <f t="shared" si="55"/>
        <v>factor</v>
      </c>
      <c r="H154" s="3">
        <f t="shared" si="55"/>
        <v>0</v>
      </c>
      <c r="I154" s="3">
        <f t="shared" si="55"/>
        <v>0</v>
      </c>
      <c r="J154" s="3">
        <f t="shared" si="55"/>
        <v>0</v>
      </c>
      <c r="K154" s="3">
        <f t="shared" si="55"/>
        <v>0</v>
      </c>
      <c r="L154" s="3">
        <f t="shared" si="55"/>
        <v>0</v>
      </c>
      <c r="M154" s="3">
        <f t="shared" si="55"/>
        <v>0</v>
      </c>
      <c r="N154" s="3">
        <f t="shared" si="55"/>
        <v>0</v>
      </c>
      <c r="O154" s="3">
        <f t="shared" si="55"/>
        <v>0</v>
      </c>
      <c r="P154" s="199">
        <f xml:space="preserve"> P$151</f>
        <v>0.22029629714743276</v>
      </c>
      <c r="Q154" s="199">
        <f t="shared" si="55"/>
        <v>0</v>
      </c>
      <c r="R154" s="199">
        <f t="shared" si="55"/>
        <v>7.5233543921084126E-2</v>
      </c>
      <c r="S154" s="199">
        <f t="shared" si="55"/>
        <v>6.9831317090348159</v>
      </c>
      <c r="T154" s="199">
        <f t="shared" si="55"/>
        <v>0</v>
      </c>
      <c r="U154" s="3">
        <f xml:space="preserve"> U$151</f>
        <v>0</v>
      </c>
      <c r="V154" s="3">
        <f xml:space="preserve"> V$151</f>
        <v>0</v>
      </c>
      <c r="W154" s="3">
        <f xml:space="preserve"> W$151</f>
        <v>0</v>
      </c>
    </row>
    <row r="155" spans="1:23" ht="12.75" customHeight="1" outlineLevel="1">
      <c r="A155" s="61"/>
      <c r="C155" s="108"/>
      <c r="E155" s="80" t="s">
        <v>326</v>
      </c>
      <c r="F155" s="107"/>
      <c r="G155" s="107" t="s">
        <v>153</v>
      </c>
      <c r="H155" s="107"/>
      <c r="I155" s="107"/>
      <c r="J155" s="233">
        <f t="shared" ref="J155:T155" si="56" xml:space="preserve"> $F153 * MIN(1, J154)</f>
        <v>0</v>
      </c>
      <c r="K155" s="233">
        <f t="shared" si="56"/>
        <v>0</v>
      </c>
      <c r="L155" s="233">
        <f t="shared" si="56"/>
        <v>0</v>
      </c>
      <c r="M155" s="233">
        <f t="shared" si="56"/>
        <v>0</v>
      </c>
      <c r="N155" s="233">
        <f t="shared" si="56"/>
        <v>0</v>
      </c>
      <c r="O155" s="233">
        <f t="shared" si="56"/>
        <v>0</v>
      </c>
      <c r="P155" s="143">
        <f xml:space="preserve"> $F153 * MIN(1, P154)</f>
        <v>6.6088889144229829E-3</v>
      </c>
      <c r="Q155" s="233">
        <f t="shared" si="56"/>
        <v>0</v>
      </c>
      <c r="R155" s="233">
        <f xml:space="preserve"> $F153 * MIN(1, R154)</f>
        <v>2.2570063176325238E-3</v>
      </c>
      <c r="S155" s="233">
        <f t="shared" si="56"/>
        <v>0.03</v>
      </c>
      <c r="T155" s="233">
        <f t="shared" si="56"/>
        <v>0</v>
      </c>
      <c r="U155" s="233">
        <f xml:space="preserve"> $F153 * MIN(1, U154)</f>
        <v>0</v>
      </c>
      <c r="V155" s="233">
        <f xml:space="preserve"> $F153 * MIN(1, V154)</f>
        <v>0</v>
      </c>
      <c r="W155" s="233">
        <f xml:space="preserve"> $F153 * MIN(1, W154)</f>
        <v>0</v>
      </c>
    </row>
    <row r="156" spans="1:23" ht="12.75" customHeight="1" outlineLevel="1">
      <c r="A156" s="61"/>
      <c r="C156" s="108"/>
      <c r="E156" s="72"/>
      <c r="V156" s="55"/>
      <c r="W156" s="55"/>
    </row>
    <row r="157" spans="1:23" s="127" customFormat="1" ht="12.75" customHeight="1" outlineLevel="1">
      <c r="A157" s="164"/>
      <c r="B157" s="164"/>
      <c r="C157" s="165"/>
      <c r="D157" s="73"/>
      <c r="E157" s="203" t="str">
        <f xml:space="preserve"> E$127</f>
        <v xml:space="preserve">Revenue Imbalance - Wholesale Water </v>
      </c>
      <c r="F157" s="203">
        <f t="shared" ref="F157:W157" si="57" xml:space="preserve"> F$127</f>
        <v>0</v>
      </c>
      <c r="G157" s="203" t="str">
        <f t="shared" si="57"/>
        <v>£m</v>
      </c>
      <c r="H157" s="42">
        <f t="shared" si="57"/>
        <v>-34.943436913372025</v>
      </c>
      <c r="I157" s="42">
        <f t="shared" si="57"/>
        <v>0</v>
      </c>
      <c r="J157" s="42">
        <f t="shared" si="57"/>
        <v>0</v>
      </c>
      <c r="K157" s="42">
        <f t="shared" si="57"/>
        <v>0</v>
      </c>
      <c r="L157" s="42">
        <f t="shared" si="57"/>
        <v>0</v>
      </c>
      <c r="M157" s="42">
        <f t="shared" si="57"/>
        <v>0</v>
      </c>
      <c r="N157" s="42">
        <f t="shared" si="57"/>
        <v>0</v>
      </c>
      <c r="O157" s="42">
        <f t="shared" si="57"/>
        <v>0</v>
      </c>
      <c r="P157" s="42">
        <f t="shared" si="57"/>
        <v>7.1941178671655379</v>
      </c>
      <c r="Q157" s="42">
        <f t="shared" si="57"/>
        <v>-4.7955483824494891</v>
      </c>
      <c r="R157" s="42">
        <f t="shared" si="57"/>
        <v>-6.9030150436376019</v>
      </c>
      <c r="S157" s="42">
        <f t="shared" si="57"/>
        <v>-30.866861477734957</v>
      </c>
      <c r="T157" s="42">
        <f t="shared" si="57"/>
        <v>0.42787012328448526</v>
      </c>
      <c r="U157" s="42">
        <f t="shared" si="57"/>
        <v>0</v>
      </c>
      <c r="V157" s="42">
        <f t="shared" si="57"/>
        <v>0</v>
      </c>
      <c r="W157" s="42">
        <f t="shared" si="57"/>
        <v>0</v>
      </c>
    </row>
    <row r="158" spans="1:23" s="5" customFormat="1" ht="12.75" customHeight="1" outlineLevel="1">
      <c r="A158" s="62"/>
      <c r="B158" s="62"/>
      <c r="C158" s="60"/>
      <c r="D158" s="157"/>
      <c r="E158" s="37" t="str">
        <f t="shared" ref="E158:T158" si="58" xml:space="preserve"> E$155</f>
        <v>Penalty rate (PR) - Wholesale Water</v>
      </c>
      <c r="F158" s="37">
        <f t="shared" si="58"/>
        <v>0</v>
      </c>
      <c r="G158" s="37" t="str">
        <f t="shared" si="58"/>
        <v>%</v>
      </c>
      <c r="H158" s="37">
        <f t="shared" si="58"/>
        <v>0</v>
      </c>
      <c r="I158" s="37">
        <f t="shared" si="58"/>
        <v>0</v>
      </c>
      <c r="J158" s="37">
        <f t="shared" si="58"/>
        <v>0</v>
      </c>
      <c r="K158" s="37">
        <f t="shared" si="58"/>
        <v>0</v>
      </c>
      <c r="L158" s="37">
        <f t="shared" si="58"/>
        <v>0</v>
      </c>
      <c r="M158" s="37">
        <f t="shared" si="58"/>
        <v>0</v>
      </c>
      <c r="N158" s="37">
        <f t="shared" si="58"/>
        <v>0</v>
      </c>
      <c r="O158" s="37">
        <f t="shared" si="58"/>
        <v>0</v>
      </c>
      <c r="P158" s="37">
        <f xml:space="preserve"> P$155</f>
        <v>6.6088889144229829E-3</v>
      </c>
      <c r="Q158" s="37">
        <f t="shared" si="58"/>
        <v>0</v>
      </c>
      <c r="R158" s="37">
        <f t="shared" si="58"/>
        <v>2.2570063176325238E-3</v>
      </c>
      <c r="S158" s="37">
        <f t="shared" si="58"/>
        <v>0.03</v>
      </c>
      <c r="T158" s="37">
        <f t="shared" si="58"/>
        <v>0</v>
      </c>
      <c r="U158" s="37">
        <f xml:space="preserve"> U$155</f>
        <v>0</v>
      </c>
      <c r="V158" s="37">
        <f xml:space="preserve"> V$155</f>
        <v>0</v>
      </c>
      <c r="W158" s="37">
        <f xml:space="preserve"> W$155</f>
        <v>0</v>
      </c>
    </row>
    <row r="159" spans="1:23" s="5" customFormat="1" ht="12.75" customHeight="1" outlineLevel="1">
      <c r="A159" s="62"/>
      <c r="B159" s="62"/>
      <c r="C159" s="60"/>
      <c r="D159" s="157"/>
      <c r="E159" s="289" t="str">
        <f>Time!E56</f>
        <v>Forecast period flag</v>
      </c>
      <c r="F159" s="289">
        <f>Time!F56</f>
        <v>0</v>
      </c>
      <c r="G159" s="289" t="str">
        <f>Time!G56</f>
        <v>flag</v>
      </c>
      <c r="H159" s="289">
        <f>Time!H56</f>
        <v>5</v>
      </c>
      <c r="I159" s="289">
        <f>Time!I56</f>
        <v>0</v>
      </c>
      <c r="J159" s="289">
        <f>Time!J56</f>
        <v>0</v>
      </c>
      <c r="K159" s="289">
        <f>Time!K56</f>
        <v>0</v>
      </c>
      <c r="L159" s="289">
        <f>Time!L56</f>
        <v>0</v>
      </c>
      <c r="M159" s="289">
        <f>Time!M56</f>
        <v>0</v>
      </c>
      <c r="N159" s="289">
        <f>Time!N56</f>
        <v>0</v>
      </c>
      <c r="O159" s="289">
        <f>Time!O56</f>
        <v>0</v>
      </c>
      <c r="P159" s="289">
        <f>Time!P56</f>
        <v>1</v>
      </c>
      <c r="Q159" s="289">
        <f>Time!Q56</f>
        <v>1</v>
      </c>
      <c r="R159" s="289">
        <f>Time!R56</f>
        <v>1</v>
      </c>
      <c r="S159" s="289">
        <f>Time!S56</f>
        <v>1</v>
      </c>
      <c r="T159" s="289">
        <f>Time!T56</f>
        <v>1</v>
      </c>
      <c r="U159" s="289">
        <f>Time!U56</f>
        <v>0</v>
      </c>
      <c r="V159" s="289">
        <f>Time!V56</f>
        <v>0</v>
      </c>
      <c r="W159" s="289">
        <f>Time!W56</f>
        <v>0</v>
      </c>
    </row>
    <row r="160" spans="1:23" s="5" customFormat="1" ht="12.75" customHeight="1" outlineLevel="1">
      <c r="A160" s="62"/>
      <c r="B160" s="62"/>
      <c r="C160" s="60"/>
      <c r="D160" s="157"/>
      <c r="E160" s="127" t="s">
        <v>327</v>
      </c>
      <c r="F160" s="99"/>
      <c r="G160" s="99" t="s">
        <v>77</v>
      </c>
      <c r="H160" s="91">
        <f xml:space="preserve"> SUM(J160:W160)</f>
        <v>0.98913111871761372</v>
      </c>
      <c r="I160" s="99"/>
      <c r="J160" s="91">
        <f t="shared" ref="J160:P160" si="59" xml:space="preserve">  IF(J159=1, J158 * ABS( J157), 0 )</f>
        <v>0</v>
      </c>
      <c r="K160" s="91">
        <f t="shared" si="59"/>
        <v>0</v>
      </c>
      <c r="L160" s="91">
        <f t="shared" si="59"/>
        <v>0</v>
      </c>
      <c r="M160" s="91">
        <f t="shared" si="59"/>
        <v>0</v>
      </c>
      <c r="N160" s="91">
        <f xml:space="preserve">  IF(N159=1, N158 * ABS( N157), 0 )</f>
        <v>0</v>
      </c>
      <c r="O160" s="91">
        <f t="shared" si="59"/>
        <v>0</v>
      </c>
      <c r="P160" s="91">
        <f t="shared" si="59"/>
        <v>4.7545125821362638E-2</v>
      </c>
      <c r="Q160" s="91">
        <f t="shared" ref="Q160:W160" si="60" xml:space="preserve">  IF(Q159=1, Q158 * ABS( Q157), 0 )</f>
        <v>0</v>
      </c>
      <c r="R160" s="91">
        <f t="shared" si="60"/>
        <v>1.5580148564202419E-2</v>
      </c>
      <c r="S160" s="91">
        <f t="shared" si="60"/>
        <v>0.92600584433204869</v>
      </c>
      <c r="T160" s="91">
        <f t="shared" si="60"/>
        <v>0</v>
      </c>
      <c r="U160" s="91">
        <f t="shared" si="60"/>
        <v>0</v>
      </c>
      <c r="V160" s="91">
        <f t="shared" si="60"/>
        <v>0</v>
      </c>
      <c r="W160" s="91">
        <f t="shared" si="60"/>
        <v>0</v>
      </c>
    </row>
    <row r="161" spans="1:23" s="5" customFormat="1" ht="12.75" customHeight="1" outlineLevel="1">
      <c r="A161" s="62"/>
      <c r="B161" s="62"/>
      <c r="C161" s="60"/>
      <c r="D161" s="157"/>
      <c r="E161" s="127"/>
      <c r="F161" s="99"/>
      <c r="G161" s="99"/>
      <c r="H161" s="91"/>
      <c r="I161" s="99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</row>
    <row r="162" spans="1:23" s="430" customFormat="1" ht="12.75" customHeight="1" outlineLevel="1">
      <c r="A162" s="82"/>
      <c r="B162" s="82"/>
      <c r="C162" s="428"/>
      <c r="D162" s="429"/>
      <c r="E162" s="96" t="s">
        <v>328</v>
      </c>
      <c r="F162" s="96" t="str">
        <f>Inputs!F73</f>
        <v>No waiver</v>
      </c>
      <c r="G162" s="96"/>
      <c r="I162" s="431"/>
      <c r="J162" s="430" cm="1">
        <f t="array" ref="J162">_xlfn.IFS($F162="Partial waiver",Inputs!J$73,$F162="No waiver",0,$F162="Full waiver",J160)</f>
        <v>0</v>
      </c>
      <c r="K162" s="430" cm="1">
        <f t="array" ref="K162">_xlfn.IFS($F162="Partial waiver",Inputs!K$73,$F162="No waiver",0,$F162="Full waiver",K160)</f>
        <v>0</v>
      </c>
      <c r="L162" s="430" cm="1">
        <f t="array" ref="L162">_xlfn.IFS($F162="Partial waiver",Inputs!L$73,$F162="No waiver",0,$F162="Full waiver",L160)</f>
        <v>0</v>
      </c>
      <c r="M162" s="430" cm="1">
        <f t="array" ref="M162">_xlfn.IFS($F162="Partial waiver",ABS(Inputs!M$73),$F162="No waiver",0,$F162="Full waiver",M160)</f>
        <v>0</v>
      </c>
      <c r="N162" s="430" cm="1">
        <f t="array" ref="N162">_xlfn.IFS($F162="Partial waiver",ABS(Inputs!N$73),$F162="No waiver",0,$F162="Full waiver",N160)</f>
        <v>0</v>
      </c>
      <c r="O162" s="430" cm="1">
        <f t="array" ref="O162">_xlfn.IFS($F162="Partial waiver",ABS(Inputs!O$73),$F162="No waiver",0,$F162="Full waiver",O160)</f>
        <v>0</v>
      </c>
      <c r="P162" s="430" cm="1">
        <f t="array" ref="P162">_xlfn.IFS($F162="Partial waiver",ABS(Inputs!P$73),$F162="No waiver",0,$F162="Full waiver",P160)</f>
        <v>0</v>
      </c>
      <c r="Q162" s="430" cm="1">
        <f t="array" ref="Q162">_xlfn.IFS($F162="Partial waiver",ABS(Inputs!Q$73),$F162="No waiver",0,$F162="Full waiver",Q160)</f>
        <v>0</v>
      </c>
      <c r="R162" s="430" cm="1">
        <f t="array" ref="R162">_xlfn.IFS($F162="Partial waiver",ABS(Inputs!R$73),$F162="No waiver",0,$F162="Full waiver",R160)</f>
        <v>0</v>
      </c>
      <c r="S162" s="430" cm="1">
        <f t="array" ref="S162">_xlfn.IFS($F162="Partial waiver",ABS(Inputs!S$73),$F162="No waiver",0,$F162="Full waiver",S160)</f>
        <v>0</v>
      </c>
      <c r="T162" s="430" cm="1">
        <f t="array" ref="T162">_xlfn.IFS($F162="Partial waiver",ABS(Inputs!T$73),$F162="No waiver",0,$F162="Full waiver",T160)</f>
        <v>0</v>
      </c>
      <c r="U162" s="430" cm="1">
        <f t="array" ref="U162">_xlfn.IFS($F162="Partial waiver",ABS(Inputs!U$73),$F162="No waiver",0,$F162="Full waiver",U160)</f>
        <v>0</v>
      </c>
      <c r="V162" s="430" cm="1">
        <f t="array" ref="V162">_xlfn.IFS($F162="Partial waiver",ABS(Inputs!V$73),$F162="No waiver",0,$F162="Full waiver",V160)</f>
        <v>0</v>
      </c>
      <c r="W162" s="430" cm="1">
        <f t="array" ref="W162">_xlfn.IFS($F162="Partial waiver",ABS(Inputs!W$73),$F162="No waiver",0,$F162="Full waiver",W160)</f>
        <v>0</v>
      </c>
    </row>
    <row r="163" spans="1:23" s="431" customFormat="1" ht="13.15" outlineLevel="1">
      <c r="A163" s="82"/>
      <c r="B163" s="82"/>
      <c r="C163" s="428"/>
      <c r="D163" s="429"/>
      <c r="H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</row>
    <row r="164" spans="1:23" s="430" customFormat="1" ht="12.75" customHeight="1" outlineLevel="1">
      <c r="A164" s="82"/>
      <c r="B164" s="82"/>
      <c r="C164" s="428"/>
      <c r="D164" s="429"/>
      <c r="E164" s="431" t="str">
        <f xml:space="preserve"> E$160</f>
        <v>Penalty adjustment - Wholesale Water POS</v>
      </c>
      <c r="F164" s="431">
        <f xml:space="preserve"> F$160</f>
        <v>0</v>
      </c>
      <c r="G164" s="431" t="str">
        <f xml:space="preserve"> G$160</f>
        <v>£m</v>
      </c>
      <c r="H164" s="432">
        <f xml:space="preserve"> SUM(J164:W164)</f>
        <v>0.98913111871761372</v>
      </c>
      <c r="I164" s="431"/>
      <c r="J164" s="430">
        <f t="shared" ref="J164:W164" si="61">J160-J162</f>
        <v>0</v>
      </c>
      <c r="K164" s="430">
        <f t="shared" si="61"/>
        <v>0</v>
      </c>
      <c r="L164" s="430">
        <f t="shared" si="61"/>
        <v>0</v>
      </c>
      <c r="M164" s="430">
        <f t="shared" si="61"/>
        <v>0</v>
      </c>
      <c r="N164" s="430">
        <f t="shared" si="61"/>
        <v>0</v>
      </c>
      <c r="O164" s="430">
        <f t="shared" si="61"/>
        <v>0</v>
      </c>
      <c r="P164" s="430">
        <f t="shared" si="61"/>
        <v>4.7545125821362638E-2</v>
      </c>
      <c r="Q164" s="430">
        <f t="shared" si="61"/>
        <v>0</v>
      </c>
      <c r="R164" s="430">
        <f t="shared" si="61"/>
        <v>1.5580148564202419E-2</v>
      </c>
      <c r="S164" s="430">
        <f t="shared" si="61"/>
        <v>0.92600584433204869</v>
      </c>
      <c r="T164" s="430">
        <f t="shared" si="61"/>
        <v>0</v>
      </c>
      <c r="U164" s="430">
        <f t="shared" si="61"/>
        <v>0</v>
      </c>
      <c r="V164" s="430">
        <f t="shared" si="61"/>
        <v>0</v>
      </c>
      <c r="W164" s="430">
        <f t="shared" si="61"/>
        <v>0</v>
      </c>
    </row>
    <row r="165" spans="1:23" s="437" customFormat="1" ht="13.15" outlineLevel="1">
      <c r="A165" s="433"/>
      <c r="B165" s="433"/>
      <c r="C165" s="434"/>
      <c r="D165" s="435"/>
      <c r="E165" s="436" t="s">
        <v>329</v>
      </c>
      <c r="F165" s="436"/>
      <c r="G165" s="436" t="s">
        <v>77</v>
      </c>
      <c r="H165" s="432">
        <f xml:space="preserve"> SUM(J165:W165)</f>
        <v>-0.98913111871761372</v>
      </c>
      <c r="I165" s="432"/>
      <c r="J165" s="432">
        <f xml:space="preserve"> - J164</f>
        <v>0</v>
      </c>
      <c r="K165" s="432">
        <f t="shared" ref="K165:W165" si="62" xml:space="preserve"> - K164</f>
        <v>0</v>
      </c>
      <c r="L165" s="432">
        <f t="shared" si="62"/>
        <v>0</v>
      </c>
      <c r="M165" s="432">
        <f t="shared" si="62"/>
        <v>0</v>
      </c>
      <c r="N165" s="432">
        <f t="shared" si="62"/>
        <v>0</v>
      </c>
      <c r="O165" s="432">
        <f xml:space="preserve"> - O164</f>
        <v>0</v>
      </c>
      <c r="P165" s="432">
        <f xml:space="preserve"> - P164</f>
        <v>-4.7545125821362638E-2</v>
      </c>
      <c r="Q165" s="432">
        <f t="shared" si="62"/>
        <v>0</v>
      </c>
      <c r="R165" s="432">
        <f t="shared" si="62"/>
        <v>-1.5580148564202419E-2</v>
      </c>
      <c r="S165" s="432">
        <f xml:space="preserve"> - S164</f>
        <v>-0.92600584433204869</v>
      </c>
      <c r="T165" s="432">
        <f t="shared" si="62"/>
        <v>0</v>
      </c>
      <c r="U165" s="432">
        <f t="shared" si="62"/>
        <v>0</v>
      </c>
      <c r="V165" s="432">
        <f t="shared" si="62"/>
        <v>0</v>
      </c>
      <c r="W165" s="432">
        <f t="shared" si="62"/>
        <v>0</v>
      </c>
    </row>
    <row r="166" spans="1:23" s="437" customFormat="1" ht="13.15" outlineLevel="1">
      <c r="A166" s="433"/>
      <c r="B166" s="433"/>
      <c r="C166" s="434"/>
      <c r="D166" s="435"/>
      <c r="E166" s="436" t="s">
        <v>330</v>
      </c>
      <c r="F166" s="156">
        <f>COUNTIF(J166:W166,1)</f>
        <v>0</v>
      </c>
      <c r="G166" s="55" t="s">
        <v>331</v>
      </c>
      <c r="H166" s="442"/>
      <c r="I166" s="432"/>
      <c r="J166" s="156">
        <f>IF(J164&lt;0,1,0)</f>
        <v>0</v>
      </c>
      <c r="K166" s="156">
        <f t="shared" ref="K166:W166" si="63">IF(K164&lt;0,1,0)</f>
        <v>0</v>
      </c>
      <c r="L166" s="156">
        <f t="shared" si="63"/>
        <v>0</v>
      </c>
      <c r="M166" s="156">
        <f t="shared" si="63"/>
        <v>0</v>
      </c>
      <c r="N166" s="156">
        <f t="shared" si="63"/>
        <v>0</v>
      </c>
      <c r="O166" s="156">
        <f t="shared" si="63"/>
        <v>0</v>
      </c>
      <c r="P166" s="156">
        <f>IF(P164&lt;0,1,0)</f>
        <v>0</v>
      </c>
      <c r="Q166" s="156">
        <f t="shared" si="63"/>
        <v>0</v>
      </c>
      <c r="R166" s="156">
        <f t="shared" si="63"/>
        <v>0</v>
      </c>
      <c r="S166" s="156">
        <f t="shared" si="63"/>
        <v>0</v>
      </c>
      <c r="T166" s="156">
        <f t="shared" si="63"/>
        <v>0</v>
      </c>
      <c r="U166" s="156">
        <f t="shared" si="63"/>
        <v>0</v>
      </c>
      <c r="V166" s="156">
        <f t="shared" si="63"/>
        <v>0</v>
      </c>
      <c r="W166" s="156">
        <f t="shared" si="63"/>
        <v>0</v>
      </c>
    </row>
    <row r="167" spans="1:23" ht="12.75" customHeight="1" outlineLevel="1">
      <c r="A167" s="61"/>
      <c r="C167" s="108"/>
      <c r="E167" s="72"/>
    </row>
    <row r="168" spans="1:23" ht="12.75" customHeight="1" outlineLevel="1">
      <c r="E168" s="34" t="str">
        <f xml:space="preserve"> Inputs!E$63</f>
        <v>Discount rate</v>
      </c>
      <c r="F168" s="34">
        <f xml:space="preserve"> Inputs!F$63</f>
        <v>2.92E-2</v>
      </c>
      <c r="G168" s="34" t="str">
        <f xml:space="preserve"> Inputs!G$63</f>
        <v>%</v>
      </c>
      <c r="H168" s="34">
        <f xml:space="preserve"> Inputs!H$63</f>
        <v>0</v>
      </c>
      <c r="I168" s="34">
        <f xml:space="preserve"> Inputs!I$63</f>
        <v>0</v>
      </c>
      <c r="J168" s="34">
        <f xml:space="preserve"> Inputs!J$63</f>
        <v>0</v>
      </c>
      <c r="K168" s="34">
        <f xml:space="preserve"> Inputs!K$63</f>
        <v>0</v>
      </c>
      <c r="L168" s="34">
        <f xml:space="preserve"> Inputs!L$63</f>
        <v>0</v>
      </c>
      <c r="M168" s="34">
        <f xml:space="preserve"> Inputs!M$63</f>
        <v>0</v>
      </c>
      <c r="N168" s="34">
        <f xml:space="preserve"> Inputs!N$63</f>
        <v>0</v>
      </c>
      <c r="O168" s="34">
        <f xml:space="preserve"> Inputs!O$63</f>
        <v>0</v>
      </c>
      <c r="P168" s="34">
        <f xml:space="preserve"> Inputs!P$63</f>
        <v>0</v>
      </c>
      <c r="Q168" s="34">
        <f xml:space="preserve"> Inputs!Q$63</f>
        <v>0</v>
      </c>
      <c r="R168" s="34">
        <f xml:space="preserve"> Inputs!R$63</f>
        <v>0</v>
      </c>
      <c r="S168" s="34">
        <f xml:space="preserve"> Inputs!S$63</f>
        <v>0</v>
      </c>
      <c r="T168" s="34">
        <f xml:space="preserve"> Inputs!T$63</f>
        <v>0</v>
      </c>
      <c r="U168" s="34">
        <f xml:space="preserve"> Inputs!U$63</f>
        <v>0</v>
      </c>
      <c r="V168" s="34">
        <f xml:space="preserve"> Inputs!V$63</f>
        <v>0</v>
      </c>
      <c r="W168" s="34">
        <f xml:space="preserve"> Inputs!W$63</f>
        <v>0</v>
      </c>
    </row>
    <row r="169" spans="1:23" ht="12.75" customHeight="1" outlineLevel="1">
      <c r="A169" s="61"/>
      <c r="C169" s="108"/>
      <c r="E169" s="154" t="str">
        <f t="shared" ref="E169:T169" si="64" xml:space="preserve"> E$165</f>
        <v>Penalty adjustment - Wholesale Water</v>
      </c>
      <c r="F169" s="154">
        <f t="shared" si="64"/>
        <v>0</v>
      </c>
      <c r="G169" s="154" t="str">
        <f t="shared" si="64"/>
        <v>£m</v>
      </c>
      <c r="H169" s="154">
        <f t="shared" si="64"/>
        <v>-0.98913111871761372</v>
      </c>
      <c r="I169" s="154">
        <f t="shared" si="64"/>
        <v>0</v>
      </c>
      <c r="J169" s="154">
        <f t="shared" si="64"/>
        <v>0</v>
      </c>
      <c r="K169" s="154">
        <f t="shared" si="64"/>
        <v>0</v>
      </c>
      <c r="L169" s="154">
        <f t="shared" si="64"/>
        <v>0</v>
      </c>
      <c r="M169" s="154">
        <f t="shared" si="64"/>
        <v>0</v>
      </c>
      <c r="N169" s="154">
        <f t="shared" si="64"/>
        <v>0</v>
      </c>
      <c r="O169" s="154">
        <f t="shared" si="64"/>
        <v>0</v>
      </c>
      <c r="P169" s="154">
        <f xml:space="preserve"> P$165</f>
        <v>-4.7545125821362638E-2</v>
      </c>
      <c r="Q169" s="154">
        <f t="shared" si="64"/>
        <v>0</v>
      </c>
      <c r="R169" s="154">
        <f t="shared" si="64"/>
        <v>-1.5580148564202419E-2</v>
      </c>
      <c r="S169" s="154">
        <f t="shared" si="64"/>
        <v>-0.92600584433204869</v>
      </c>
      <c r="T169" s="154">
        <f t="shared" si="64"/>
        <v>0</v>
      </c>
      <c r="U169" s="154">
        <f xml:space="preserve"> U$165</f>
        <v>0</v>
      </c>
      <c r="V169" s="154">
        <f xml:space="preserve"> V$165</f>
        <v>0</v>
      </c>
      <c r="W169" s="154">
        <f xml:space="preserve"> W$165</f>
        <v>0</v>
      </c>
    </row>
    <row r="170" spans="1:23" ht="12.75" customHeight="1" outlineLevel="1">
      <c r="A170" s="61"/>
      <c r="C170" s="108"/>
      <c r="E170" s="72" t="s">
        <v>332</v>
      </c>
      <c r="G170" s="55" t="s">
        <v>77</v>
      </c>
      <c r="H170" s="92">
        <f xml:space="preserve"> SUM(J170:W170)</f>
        <v>-1.0180137473841679</v>
      </c>
      <c r="I170" s="92"/>
      <c r="J170" s="92">
        <f t="shared" ref="J170:T170" si="65" xml:space="preserve"> J169 * (1 + $F168)</f>
        <v>0</v>
      </c>
      <c r="K170" s="92">
        <f t="shared" si="65"/>
        <v>0</v>
      </c>
      <c r="L170" s="92">
        <f t="shared" si="65"/>
        <v>0</v>
      </c>
      <c r="M170" s="92">
        <f t="shared" si="65"/>
        <v>0</v>
      </c>
      <c r="N170" s="92">
        <f t="shared" si="65"/>
        <v>0</v>
      </c>
      <c r="O170" s="92">
        <f t="shared" si="65"/>
        <v>0</v>
      </c>
      <c r="P170" s="167">
        <f xml:space="preserve"> P169 * (1 + $F168)</f>
        <v>-4.8933443495346424E-2</v>
      </c>
      <c r="Q170" s="92">
        <f t="shared" si="65"/>
        <v>0</v>
      </c>
      <c r="R170" s="92">
        <f t="shared" si="65"/>
        <v>-1.6035088902277127E-2</v>
      </c>
      <c r="S170" s="92">
        <f t="shared" si="65"/>
        <v>-0.95304521498654438</v>
      </c>
      <c r="T170" s="92">
        <f t="shared" si="65"/>
        <v>0</v>
      </c>
      <c r="U170" s="92">
        <f xml:space="preserve"> U169 * (1 + $F168)</f>
        <v>0</v>
      </c>
      <c r="V170" s="92">
        <f xml:space="preserve"> V169 * (1 + $F168)</f>
        <v>0</v>
      </c>
      <c r="W170" s="92">
        <f xml:space="preserve"> W169 * (1 + $F168)</f>
        <v>0</v>
      </c>
    </row>
    <row r="171" spans="1:23" ht="12.75" customHeight="1" outlineLevel="1">
      <c r="A171" s="61"/>
      <c r="C171" s="108"/>
      <c r="V171" s="55"/>
      <c r="W171" s="55"/>
    </row>
    <row r="172" spans="1:23" ht="12.75" customHeight="1" outlineLevel="1">
      <c r="A172" s="61"/>
      <c r="C172" s="108"/>
      <c r="E172" s="34" t="str">
        <f xml:space="preserve"> 'Indices and K factor'!E$11</f>
        <v>CPIH: Nov % increase (prior year) - CALC</v>
      </c>
      <c r="F172" s="34">
        <f xml:space="preserve"> 'Indices and K factor'!F$11</f>
        <v>0</v>
      </c>
      <c r="G172" s="34" t="str">
        <f xml:space="preserve"> 'Indices and K factor'!G$11</f>
        <v>%</v>
      </c>
      <c r="H172" s="34">
        <f xml:space="preserve"> 'Indices and K factor'!H$11</f>
        <v>0</v>
      </c>
      <c r="I172" s="34">
        <f xml:space="preserve"> 'Indices and K factor'!I$11</f>
        <v>0</v>
      </c>
      <c r="J172" s="34">
        <f xml:space="preserve"> 'Indices and K factor'!J$11</f>
        <v>0</v>
      </c>
      <c r="K172" s="34">
        <f xml:space="preserve"> 'Indices and K factor'!K$11</f>
        <v>0</v>
      </c>
      <c r="L172" s="34">
        <f xml:space="preserve"> 'Indices and K factor'!L$11</f>
        <v>1.0040040040040039</v>
      </c>
      <c r="M172" s="34">
        <f xml:space="preserve"> 'Indices and K factor'!M$11</f>
        <v>1.0149551345962113</v>
      </c>
      <c r="N172" s="34">
        <f xml:space="preserve"> 'Indices and K factor'!N$11</f>
        <v>1.0284872298624754</v>
      </c>
      <c r="O172" s="34">
        <f xml:space="preserve"> 'Indices and K factor'!O$11</f>
        <v>1.0210124164278893</v>
      </c>
      <c r="P172" s="34">
        <f xml:space="preserve"> 'Indices and K factor'!P$11</f>
        <v>1.0149672591206735</v>
      </c>
      <c r="Q172" s="34">
        <f xml:space="preserve"> 'Indices and K factor'!Q$11</f>
        <v>1.0055299539170506</v>
      </c>
      <c r="R172" s="34">
        <f xml:space="preserve"> 'Indices and K factor'!R$11</f>
        <v>1.0458295142071494</v>
      </c>
      <c r="S172" s="34">
        <f xml:space="preserve"> 'Indices and K factor'!S$11</f>
        <v>1.0937773882559159</v>
      </c>
      <c r="T172" s="34">
        <f xml:space="preserve"> 'Indices and K factor'!T$11</f>
        <v>1.0416666666666667</v>
      </c>
      <c r="U172" s="34">
        <f xml:space="preserve"> 'Indices and K factor'!U$11</f>
        <v>1.0253846153846156</v>
      </c>
      <c r="V172" s="34">
        <f xml:space="preserve"> 'Indices and K factor'!V$11</f>
        <v>1.02</v>
      </c>
      <c r="W172" s="34">
        <f xml:space="preserve"> 'Indices and K factor'!W$11</f>
        <v>1.02</v>
      </c>
    </row>
    <row r="173" spans="1:23" ht="12.75" customHeight="1" outlineLevel="1">
      <c r="A173" s="61"/>
      <c r="C173" s="108"/>
      <c r="E173" s="33" t="str">
        <f t="shared" ref="E173:T173" si="66" xml:space="preserve"> E$170</f>
        <v>Penalty adjustment - with financing adjustment - Wholesale Water</v>
      </c>
      <c r="F173" s="33">
        <f t="shared" si="66"/>
        <v>0</v>
      </c>
      <c r="G173" s="33" t="str">
        <f t="shared" si="66"/>
        <v>£m</v>
      </c>
      <c r="H173" s="33">
        <f t="shared" si="66"/>
        <v>-1.0180137473841679</v>
      </c>
      <c r="I173" s="33">
        <f t="shared" si="66"/>
        <v>0</v>
      </c>
      <c r="J173" s="33">
        <f t="shared" si="66"/>
        <v>0</v>
      </c>
      <c r="K173" s="33">
        <f t="shared" si="66"/>
        <v>0</v>
      </c>
      <c r="L173" s="33">
        <f t="shared" si="66"/>
        <v>0</v>
      </c>
      <c r="M173" s="33">
        <f t="shared" si="66"/>
        <v>0</v>
      </c>
      <c r="N173" s="33">
        <f t="shared" si="66"/>
        <v>0</v>
      </c>
      <c r="O173" s="33">
        <f t="shared" si="66"/>
        <v>0</v>
      </c>
      <c r="P173" s="33">
        <f t="shared" si="66"/>
        <v>-4.8933443495346424E-2</v>
      </c>
      <c r="Q173" s="33">
        <f t="shared" si="66"/>
        <v>0</v>
      </c>
      <c r="R173" s="33">
        <f t="shared" si="66"/>
        <v>-1.6035088902277127E-2</v>
      </c>
      <c r="S173" s="33">
        <f t="shared" si="66"/>
        <v>-0.95304521498654438</v>
      </c>
      <c r="T173" s="33">
        <f t="shared" si="66"/>
        <v>0</v>
      </c>
      <c r="U173" s="33">
        <f xml:space="preserve"> U$170</f>
        <v>0</v>
      </c>
      <c r="V173" s="33">
        <f xml:space="preserve"> V$170</f>
        <v>0</v>
      </c>
      <c r="W173" s="33">
        <f xml:space="preserve"> W$170</f>
        <v>0</v>
      </c>
    </row>
    <row r="174" spans="1:23" ht="12.75" customHeight="1" outlineLevel="1">
      <c r="E174" s="43" t="str">
        <f xml:space="preserve"> Time!E56</f>
        <v>Forecast period flag</v>
      </c>
      <c r="F174" s="43">
        <f xml:space="preserve"> Time!F56</f>
        <v>0</v>
      </c>
      <c r="G174" s="43" t="str">
        <f xml:space="preserve"> Time!G56</f>
        <v>flag</v>
      </c>
      <c r="H174" s="43">
        <f xml:space="preserve"> Time!H56</f>
        <v>5</v>
      </c>
      <c r="I174" s="43">
        <f xml:space="preserve"> Time!I56</f>
        <v>0</v>
      </c>
      <c r="J174" s="43">
        <f xml:space="preserve"> Time!J56</f>
        <v>0</v>
      </c>
      <c r="K174" s="43">
        <f xml:space="preserve"> Time!K56</f>
        <v>0</v>
      </c>
      <c r="L174" s="43">
        <f xml:space="preserve"> Time!L56</f>
        <v>0</v>
      </c>
      <c r="M174" s="43">
        <f xml:space="preserve"> Time!M56</f>
        <v>0</v>
      </c>
      <c r="N174" s="43">
        <f xml:space="preserve"> Time!N56</f>
        <v>0</v>
      </c>
      <c r="O174" s="43">
        <f xml:space="preserve"> Time!O56</f>
        <v>0</v>
      </c>
      <c r="P174" s="43">
        <f xml:space="preserve"> Time!P56</f>
        <v>1</v>
      </c>
      <c r="Q174" s="43">
        <f xml:space="preserve"> Time!Q56</f>
        <v>1</v>
      </c>
      <c r="R174" s="43">
        <f xml:space="preserve"> Time!R56</f>
        <v>1</v>
      </c>
      <c r="S174" s="43">
        <f xml:space="preserve"> Time!S56</f>
        <v>1</v>
      </c>
      <c r="T174" s="43">
        <f xml:space="preserve"> Time!T56</f>
        <v>1</v>
      </c>
      <c r="U174" s="43">
        <f xml:space="preserve"> Time!U56</f>
        <v>0</v>
      </c>
      <c r="V174" s="43">
        <f xml:space="preserve"> Time!V56</f>
        <v>0</v>
      </c>
      <c r="W174" s="43">
        <f xml:space="preserve"> Time!W56</f>
        <v>0</v>
      </c>
    </row>
    <row r="175" spans="1:23" ht="12.75" customHeight="1" outlineLevel="1">
      <c r="A175" s="61"/>
      <c r="C175" s="108"/>
      <c r="E175" s="80" t="s">
        <v>333</v>
      </c>
      <c r="F175" s="107"/>
      <c r="G175" s="107" t="s">
        <v>77</v>
      </c>
      <c r="H175" s="104">
        <f xml:space="preserve"> SUM( J175:W175 )</f>
        <v>-1.0876847894051338</v>
      </c>
      <c r="I175" s="107"/>
      <c r="J175" s="230">
        <f xml:space="preserve"> IF( J174 = 1, J173 * K172 * L172, 0 )</f>
        <v>0</v>
      </c>
      <c r="K175" s="230">
        <f t="shared" ref="K175:U175" si="67" xml:space="preserve"> IF( K174 = 1, K173 * L172 * M172, 0 )</f>
        <v>0</v>
      </c>
      <c r="L175" s="230">
        <f t="shared" si="67"/>
        <v>0</v>
      </c>
      <c r="M175" s="230">
        <f t="shared" si="67"/>
        <v>0</v>
      </c>
      <c r="N175" s="230">
        <f t="shared" si="67"/>
        <v>0</v>
      </c>
      <c r="O175" s="230">
        <f t="shared" si="67"/>
        <v>0</v>
      </c>
      <c r="P175" s="230">
        <f t="shared" si="67"/>
        <v>-5.1459040578977197E-2</v>
      </c>
      <c r="Q175" s="230">
        <f t="shared" si="67"/>
        <v>0</v>
      </c>
      <c r="R175" s="230">
        <f t="shared" si="67"/>
        <v>-1.8269601729150101E-2</v>
      </c>
      <c r="S175" s="230">
        <f t="shared" si="67"/>
        <v>-1.0179561470970064</v>
      </c>
      <c r="T175" s="230">
        <f t="shared" si="67"/>
        <v>0</v>
      </c>
      <c r="U175" s="230">
        <f t="shared" si="67"/>
        <v>0</v>
      </c>
      <c r="V175" s="291"/>
      <c r="W175" s="291"/>
    </row>
    <row r="176" spans="1:23" ht="12.75" customHeight="1" outlineLevel="1"/>
    <row r="177" spans="1:23" ht="12.75" customHeight="1" outlineLevel="1">
      <c r="A177" s="61"/>
      <c r="B177" s="61" t="s">
        <v>334</v>
      </c>
      <c r="C177" s="108"/>
      <c r="E177" s="72"/>
      <c r="V177" s="55"/>
      <c r="W177" s="55"/>
    </row>
    <row r="178" spans="1:23" ht="12.75" customHeight="1" outlineLevel="1">
      <c r="A178" s="61"/>
      <c r="C178" s="108"/>
      <c r="E178" s="72"/>
      <c r="V178" s="55"/>
      <c r="W178" s="55"/>
    </row>
    <row r="179" spans="1:23" ht="12.75" customHeight="1" outlineLevel="1">
      <c r="A179" s="61"/>
      <c r="C179" s="108"/>
      <c r="E179" s="34" t="str">
        <f xml:space="preserve"> Inputs!E$65</f>
        <v>Threshold for additional variance analyses</v>
      </c>
      <c r="F179" s="34">
        <f xml:space="preserve"> Inputs!F$65</f>
        <v>0.06</v>
      </c>
      <c r="G179" s="34" t="str">
        <f xml:space="preserve"> Inputs!G$65</f>
        <v>%</v>
      </c>
      <c r="H179" s="34">
        <f xml:space="preserve"> Inputs!H$65</f>
        <v>0</v>
      </c>
      <c r="I179" s="34">
        <f xml:space="preserve"> Inputs!I$65</f>
        <v>0</v>
      </c>
      <c r="J179" s="34">
        <f xml:space="preserve"> Inputs!J$65</f>
        <v>0</v>
      </c>
      <c r="K179" s="34">
        <f xml:space="preserve"> Inputs!K$65</f>
        <v>0</v>
      </c>
      <c r="L179" s="34">
        <f xml:space="preserve"> Inputs!L$65</f>
        <v>0</v>
      </c>
      <c r="M179" s="34">
        <f xml:space="preserve"> Inputs!M$65</f>
        <v>0</v>
      </c>
      <c r="N179" s="34">
        <f xml:space="preserve"> Inputs!N$65</f>
        <v>0</v>
      </c>
      <c r="O179" s="34">
        <f xml:space="preserve"> Inputs!O$65</f>
        <v>0</v>
      </c>
      <c r="P179" s="34">
        <f xml:space="preserve"> Inputs!P$65</f>
        <v>0</v>
      </c>
      <c r="Q179" s="34">
        <f xml:space="preserve"> Inputs!Q$65</f>
        <v>0</v>
      </c>
      <c r="R179" s="34">
        <f xml:space="preserve"> Inputs!R$65</f>
        <v>0</v>
      </c>
      <c r="S179" s="34">
        <f xml:space="preserve"> Inputs!S$65</f>
        <v>0</v>
      </c>
      <c r="T179" s="34">
        <f xml:space="preserve"> Inputs!T$65</f>
        <v>0</v>
      </c>
      <c r="U179" s="34">
        <f xml:space="preserve"> Inputs!U$65</f>
        <v>0</v>
      </c>
      <c r="V179" s="34">
        <f xml:space="preserve"> Inputs!V$65</f>
        <v>0</v>
      </c>
      <c r="W179" s="34">
        <f xml:space="preserve"> Inputs!W$65</f>
        <v>0</v>
      </c>
    </row>
    <row r="180" spans="1:23" ht="12.75" customHeight="1" outlineLevel="1">
      <c r="A180" s="61"/>
      <c r="C180" s="108"/>
      <c r="E180" s="36" t="str">
        <f>E$141</f>
        <v>Forecast error - Wholesale Water</v>
      </c>
      <c r="F180" s="36">
        <f t="shared" ref="F180:W180" si="68">F$141</f>
        <v>0</v>
      </c>
      <c r="G180" s="36" t="str">
        <f t="shared" si="68"/>
        <v>%</v>
      </c>
      <c r="H180" s="36">
        <f t="shared" si="68"/>
        <v>0</v>
      </c>
      <c r="I180" s="36">
        <f t="shared" si="68"/>
        <v>0</v>
      </c>
      <c r="J180" s="36">
        <f t="shared" si="68"/>
        <v>0</v>
      </c>
      <c r="K180" s="36">
        <f t="shared" si="68"/>
        <v>0</v>
      </c>
      <c r="L180" s="36">
        <f t="shared" si="68"/>
        <v>0</v>
      </c>
      <c r="M180" s="36">
        <f t="shared" si="68"/>
        <v>0</v>
      </c>
      <c r="N180" s="36">
        <f t="shared" si="68"/>
        <v>0</v>
      </c>
      <c r="O180" s="36">
        <f t="shared" si="68"/>
        <v>0</v>
      </c>
      <c r="P180" s="36">
        <f t="shared" si="68"/>
        <v>2.2202962971474328E-2</v>
      </c>
      <c r="Q180" s="36">
        <f t="shared" si="68"/>
        <v>1.534681306062944E-2</v>
      </c>
      <c r="R180" s="36">
        <f t="shared" si="68"/>
        <v>2.0752335439210842E-2</v>
      </c>
      <c r="S180" s="36">
        <f t="shared" si="68"/>
        <v>8.9831317090348153E-2</v>
      </c>
      <c r="T180" s="36">
        <f t="shared" si="68"/>
        <v>1.2882744141411741E-3</v>
      </c>
      <c r="U180" s="36">
        <f>U$141</f>
        <v>0</v>
      </c>
      <c r="V180" s="36">
        <f t="shared" si="68"/>
        <v>0</v>
      </c>
      <c r="W180" s="36">
        <f t="shared" si="68"/>
        <v>0</v>
      </c>
    </row>
    <row r="181" spans="1:23" ht="12.75" customHeight="1" outlineLevel="1">
      <c r="A181" s="61"/>
      <c r="C181" s="108"/>
      <c r="E181" s="72" t="s">
        <v>335</v>
      </c>
      <c r="F181" s="156">
        <f xml:space="preserve"> IF(SUM(J181:W181) &gt; 0, 1, 0)</f>
        <v>1</v>
      </c>
      <c r="G181" s="55" t="s">
        <v>331</v>
      </c>
      <c r="J181" s="156">
        <f xml:space="preserve"> IF(ABS(J180) &gt; $F179, 1, 0)</f>
        <v>0</v>
      </c>
      <c r="K181" s="156">
        <f t="shared" ref="K181:W181" si="69" xml:space="preserve"> IF(ABS(K180) &gt; $F179, 1, 0)</f>
        <v>0</v>
      </c>
      <c r="L181" s="156">
        <f t="shared" si="69"/>
        <v>0</v>
      </c>
      <c r="M181" s="156">
        <f xml:space="preserve"> IF(ABS(M180) &gt; $F179, 1, 0)</f>
        <v>0</v>
      </c>
      <c r="N181" s="156">
        <f t="shared" si="69"/>
        <v>0</v>
      </c>
      <c r="O181" s="156">
        <f t="shared" si="69"/>
        <v>0</v>
      </c>
      <c r="P181" s="156">
        <f t="shared" si="69"/>
        <v>0</v>
      </c>
      <c r="Q181" s="156">
        <f t="shared" si="69"/>
        <v>0</v>
      </c>
      <c r="R181" s="156">
        <f t="shared" si="69"/>
        <v>0</v>
      </c>
      <c r="S181" s="156">
        <f t="shared" si="69"/>
        <v>1</v>
      </c>
      <c r="T181" s="156">
        <f t="shared" si="69"/>
        <v>0</v>
      </c>
      <c r="U181" s="156">
        <f t="shared" si="69"/>
        <v>0</v>
      </c>
      <c r="V181" s="156">
        <f t="shared" si="69"/>
        <v>0</v>
      </c>
      <c r="W181" s="156">
        <f t="shared" si="69"/>
        <v>0</v>
      </c>
    </row>
    <row r="182" spans="1:23" ht="12.75" customHeight="1" outlineLevel="1">
      <c r="A182" s="61"/>
      <c r="C182" s="108"/>
      <c r="E182" s="80"/>
      <c r="F182" s="107"/>
      <c r="G182" s="107"/>
      <c r="H182" s="104"/>
      <c r="I182" s="107"/>
      <c r="J182" s="230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</row>
    <row r="183" spans="1:23" ht="12.75" customHeight="1">
      <c r="A183" s="113" t="s">
        <v>336</v>
      </c>
      <c r="B183" s="113"/>
      <c r="C183" s="112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</row>
    <row r="184" spans="1:23" ht="12.75" customHeight="1" outlineLevel="1">
      <c r="A184" s="61"/>
      <c r="C184" s="108"/>
      <c r="E184" s="80"/>
      <c r="F184" s="107"/>
      <c r="G184" s="107"/>
      <c r="H184" s="104"/>
      <c r="I184" s="107"/>
      <c r="J184" s="230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</row>
    <row r="185" spans="1:23" ht="12.75" customHeight="1" outlineLevel="1">
      <c r="A185" s="61"/>
      <c r="B185" s="61" t="s">
        <v>337</v>
      </c>
      <c r="C185" s="108"/>
      <c r="E185" s="80"/>
      <c r="F185" s="107"/>
      <c r="G185" s="107"/>
      <c r="H185" s="104"/>
      <c r="I185" s="107"/>
      <c r="J185" s="230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</row>
    <row r="186" spans="1:23" ht="12.75" customHeight="1" outlineLevel="1">
      <c r="A186" s="61"/>
      <c r="C186" s="108"/>
      <c r="E186" s="80"/>
      <c r="F186" s="107"/>
      <c r="G186" s="107"/>
      <c r="H186" s="104"/>
      <c r="I186" s="107"/>
      <c r="J186" s="230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</row>
    <row r="187" spans="1:23" ht="12.75" customHeight="1" outlineLevel="1">
      <c r="E187" s="43" t="str">
        <f xml:space="preserve"> Time!E56</f>
        <v>Forecast period flag</v>
      </c>
      <c r="F187" s="43">
        <f xml:space="preserve"> Time!F56</f>
        <v>0</v>
      </c>
      <c r="G187" s="43" t="str">
        <f xml:space="preserve"> Time!G56</f>
        <v>flag</v>
      </c>
      <c r="H187" s="43">
        <f xml:space="preserve"> Time!H56</f>
        <v>5</v>
      </c>
      <c r="I187" s="43">
        <f xml:space="preserve"> Time!I56</f>
        <v>0</v>
      </c>
      <c r="J187" s="43">
        <f xml:space="preserve"> Time!J56</f>
        <v>0</v>
      </c>
      <c r="K187" s="43">
        <f xml:space="preserve"> Time!K56</f>
        <v>0</v>
      </c>
      <c r="L187" s="43">
        <f xml:space="preserve"> Time!L56</f>
        <v>0</v>
      </c>
      <c r="M187" s="43">
        <f xml:space="preserve"> Time!M56</f>
        <v>0</v>
      </c>
      <c r="N187" s="43">
        <f xml:space="preserve"> Time!N56</f>
        <v>0</v>
      </c>
      <c r="O187" s="43">
        <f xml:space="preserve"> Time!O56</f>
        <v>0</v>
      </c>
      <c r="P187" s="43">
        <f xml:space="preserve"> Time!P56</f>
        <v>1</v>
      </c>
      <c r="Q187" s="43">
        <f xml:space="preserve"> Time!Q56</f>
        <v>1</v>
      </c>
      <c r="R187" s="43">
        <f xml:space="preserve"> Time!R56</f>
        <v>1</v>
      </c>
      <c r="S187" s="43">
        <f xml:space="preserve"> Time!S56</f>
        <v>1</v>
      </c>
      <c r="T187" s="43">
        <f xml:space="preserve"> Time!T56</f>
        <v>1</v>
      </c>
      <c r="U187" s="43">
        <f xml:space="preserve"> Time!U56</f>
        <v>0</v>
      </c>
      <c r="V187" s="43">
        <f xml:space="preserve"> Time!V56</f>
        <v>0</v>
      </c>
      <c r="W187" s="43">
        <f xml:space="preserve"> Time!W56</f>
        <v>0</v>
      </c>
    </row>
    <row r="188" spans="1:23" s="272" customFormat="1" ht="12.75" customHeight="1" outlineLevel="1">
      <c r="A188" s="268"/>
      <c r="B188" s="268"/>
      <c r="C188" s="269"/>
      <c r="D188" s="270"/>
      <c r="E188" s="271" t="str">
        <f xml:space="preserve"> Inputs!E$106</f>
        <v>Proportion of penalty allocated to Water-N+ (PS)</v>
      </c>
      <c r="F188" s="286">
        <f xml:space="preserve"> Inputs!F$106</f>
        <v>0</v>
      </c>
      <c r="G188" s="286" t="str">
        <f xml:space="preserve"> Inputs!G$106</f>
        <v>%</v>
      </c>
      <c r="H188" s="286">
        <f xml:space="preserve"> Inputs!H$106</f>
        <v>0</v>
      </c>
      <c r="I188" s="286">
        <f xml:space="preserve"> Inputs!I$106</f>
        <v>0</v>
      </c>
      <c r="J188" s="286">
        <f xml:space="preserve"> Inputs!J$106</f>
        <v>0</v>
      </c>
      <c r="K188" s="286">
        <f xml:space="preserve"> Inputs!K$106</f>
        <v>0</v>
      </c>
      <c r="L188" s="286">
        <f xml:space="preserve"> Inputs!L$106</f>
        <v>0</v>
      </c>
      <c r="M188" s="286">
        <f xml:space="preserve"> Inputs!M$106</f>
        <v>0</v>
      </c>
      <c r="N188" s="286">
        <f xml:space="preserve"> Inputs!N$106</f>
        <v>0</v>
      </c>
      <c r="O188" s="286">
        <f xml:space="preserve"> Inputs!O$106</f>
        <v>0</v>
      </c>
      <c r="P188" s="286">
        <f xml:space="preserve"> Inputs!P$106</f>
        <v>0</v>
      </c>
      <c r="Q188" s="286">
        <f xml:space="preserve"> Inputs!Q$106</f>
        <v>0</v>
      </c>
      <c r="R188" s="286">
        <f xml:space="preserve"> Inputs!R$106</f>
        <v>0.48452766084750526</v>
      </c>
      <c r="S188" s="286">
        <f xml:space="preserve"> Inputs!S$106</f>
        <v>0.58993557856769874</v>
      </c>
      <c r="T188" s="286">
        <f xml:space="preserve"> Inputs!T$106</f>
        <v>0</v>
      </c>
      <c r="U188" s="286">
        <f xml:space="preserve"> Inputs!U$106</f>
        <v>0</v>
      </c>
      <c r="V188" s="286">
        <f xml:space="preserve"> Inputs!V$106</f>
        <v>0</v>
      </c>
      <c r="W188" s="286">
        <f xml:space="preserve"> Inputs!W$106</f>
        <v>0</v>
      </c>
    </row>
    <row r="189" spans="1:23" s="288" customFormat="1" ht="12.75" customHeight="1" outlineLevel="1">
      <c r="A189" s="164"/>
      <c r="B189" s="164"/>
      <c r="C189" s="165"/>
      <c r="D189" s="73"/>
      <c r="E189" s="151" t="s">
        <v>338</v>
      </c>
      <c r="F189" s="287"/>
      <c r="G189" s="151" t="s">
        <v>153</v>
      </c>
      <c r="H189" s="151"/>
      <c r="I189" s="151"/>
      <c r="J189" s="287">
        <f xml:space="preserve"> IF( J187 = 1, 1 - J188, 0 )</f>
        <v>0</v>
      </c>
      <c r="K189" s="287">
        <f t="shared" ref="K189:W189" si="70" xml:space="preserve"> IF( K187 = 1, 1 - K188, 0 )</f>
        <v>0</v>
      </c>
      <c r="L189" s="287">
        <f t="shared" si="70"/>
        <v>0</v>
      </c>
      <c r="M189" s="287">
        <f t="shared" si="70"/>
        <v>0</v>
      </c>
      <c r="N189" s="287">
        <f t="shared" si="70"/>
        <v>0</v>
      </c>
      <c r="O189" s="287">
        <f t="shared" si="70"/>
        <v>0</v>
      </c>
      <c r="P189" s="287">
        <f t="shared" si="70"/>
        <v>1</v>
      </c>
      <c r="Q189" s="287">
        <f t="shared" si="70"/>
        <v>1</v>
      </c>
      <c r="R189" s="287">
        <f t="shared" si="70"/>
        <v>0.51547233915249469</v>
      </c>
      <c r="S189" s="287">
        <f t="shared" si="70"/>
        <v>0.41006442143230126</v>
      </c>
      <c r="T189" s="287">
        <f t="shared" si="70"/>
        <v>1</v>
      </c>
      <c r="U189" s="287">
        <f t="shared" si="70"/>
        <v>0</v>
      </c>
      <c r="V189" s="287">
        <f t="shared" si="70"/>
        <v>0</v>
      </c>
      <c r="W189" s="287">
        <f t="shared" si="70"/>
        <v>0</v>
      </c>
    </row>
    <row r="190" spans="1:23" s="288" customFormat="1" ht="12.75" customHeight="1" outlineLevel="1">
      <c r="A190" s="164"/>
      <c r="B190" s="164"/>
      <c r="C190" s="165"/>
      <c r="D190" s="73"/>
      <c r="E190" s="151"/>
      <c r="F190" s="287"/>
      <c r="G190" s="151"/>
      <c r="H190" s="151"/>
      <c r="I190" s="151"/>
      <c r="J190" s="287"/>
      <c r="K190" s="287"/>
      <c r="L190" s="287"/>
      <c r="M190" s="287"/>
      <c r="N190" s="287"/>
      <c r="O190" s="287"/>
      <c r="P190" s="287"/>
      <c r="Q190" s="287"/>
      <c r="R190" s="287"/>
      <c r="S190" s="287"/>
      <c r="T190" s="287"/>
      <c r="U190" s="287"/>
      <c r="V190" s="287"/>
      <c r="W190" s="287"/>
    </row>
    <row r="191" spans="1:23" s="5" customFormat="1" ht="12.75" customHeight="1" outlineLevel="1">
      <c r="A191" s="62"/>
      <c r="B191" s="62"/>
      <c r="C191" s="60"/>
      <c r="D191" s="157"/>
      <c r="E191" s="151" t="str">
        <f t="shared" ref="E191:W191" si="71" xml:space="preserve"> E$175</f>
        <v>Penalty adjustment - with financing adjustment &amp; 2 year lag of inflation - Wholesale Water</v>
      </c>
      <c r="F191" s="151">
        <f t="shared" si="71"/>
        <v>0</v>
      </c>
      <c r="G191" s="151" t="str">
        <f t="shared" si="71"/>
        <v>£m</v>
      </c>
      <c r="H191" s="208">
        <f t="shared" si="71"/>
        <v>-1.0876847894051338</v>
      </c>
      <c r="I191" s="208">
        <f t="shared" si="71"/>
        <v>0</v>
      </c>
      <c r="J191" s="208">
        <f t="shared" si="71"/>
        <v>0</v>
      </c>
      <c r="K191" s="208">
        <f t="shared" si="71"/>
        <v>0</v>
      </c>
      <c r="L191" s="208">
        <f t="shared" si="71"/>
        <v>0</v>
      </c>
      <c r="M191" s="208">
        <f t="shared" si="71"/>
        <v>0</v>
      </c>
      <c r="N191" s="208">
        <f t="shared" si="71"/>
        <v>0</v>
      </c>
      <c r="O191" s="208">
        <f t="shared" si="71"/>
        <v>0</v>
      </c>
      <c r="P191" s="208">
        <f t="shared" si="71"/>
        <v>-5.1459040578977197E-2</v>
      </c>
      <c r="Q191" s="208">
        <f t="shared" si="71"/>
        <v>0</v>
      </c>
      <c r="R191" s="208">
        <f t="shared" si="71"/>
        <v>-1.8269601729150101E-2</v>
      </c>
      <c r="S191" s="208">
        <f t="shared" si="71"/>
        <v>-1.0179561470970064</v>
      </c>
      <c r="T191" s="208">
        <f t="shared" si="71"/>
        <v>0</v>
      </c>
      <c r="U191" s="208">
        <f t="shared" si="71"/>
        <v>0</v>
      </c>
      <c r="V191" s="208">
        <f t="shared" si="71"/>
        <v>0</v>
      </c>
      <c r="W191" s="208">
        <f t="shared" si="71"/>
        <v>0</v>
      </c>
    </row>
    <row r="192" spans="1:23" s="5" customFormat="1" ht="12.75" customHeight="1" outlineLevel="1">
      <c r="A192" s="62"/>
      <c r="B192" s="62"/>
      <c r="C192" s="60"/>
      <c r="D192" s="157"/>
      <c r="E192" s="271" t="str">
        <f xml:space="preserve"> Inputs!E$106</f>
        <v>Proportion of penalty allocated to Water-N+ (PS)</v>
      </c>
      <c r="F192" s="286">
        <f xml:space="preserve"> Inputs!F$106</f>
        <v>0</v>
      </c>
      <c r="G192" s="286" t="str">
        <f xml:space="preserve"> Inputs!G$106</f>
        <v>%</v>
      </c>
      <c r="H192" s="286">
        <f xml:space="preserve"> Inputs!H$106</f>
        <v>0</v>
      </c>
      <c r="I192" s="286">
        <f xml:space="preserve"> Inputs!I$106</f>
        <v>0</v>
      </c>
      <c r="J192" s="286">
        <f xml:space="preserve"> Inputs!J$106</f>
        <v>0</v>
      </c>
      <c r="K192" s="286">
        <f xml:space="preserve"> Inputs!K$106</f>
        <v>0</v>
      </c>
      <c r="L192" s="286">
        <f xml:space="preserve"> Inputs!L$106</f>
        <v>0</v>
      </c>
      <c r="M192" s="286">
        <f xml:space="preserve"> Inputs!M$106</f>
        <v>0</v>
      </c>
      <c r="N192" s="286">
        <f xml:space="preserve"> Inputs!N$106</f>
        <v>0</v>
      </c>
      <c r="O192" s="286">
        <f xml:space="preserve"> Inputs!O$106</f>
        <v>0</v>
      </c>
      <c r="P192" s="286">
        <f xml:space="preserve"> Inputs!P$106</f>
        <v>0</v>
      </c>
      <c r="Q192" s="286">
        <f xml:space="preserve"> Inputs!Q$106</f>
        <v>0</v>
      </c>
      <c r="R192" s="286">
        <f xml:space="preserve"> Inputs!R$106</f>
        <v>0.48452766084750526</v>
      </c>
      <c r="S192" s="286">
        <f xml:space="preserve"> Inputs!S$106</f>
        <v>0.58993557856769874</v>
      </c>
      <c r="T192" s="286">
        <f xml:space="preserve"> Inputs!T$106</f>
        <v>0</v>
      </c>
      <c r="U192" s="286">
        <f xml:space="preserve"> Inputs!U$106</f>
        <v>0</v>
      </c>
      <c r="V192" s="286">
        <f xml:space="preserve"> Inputs!V$106</f>
        <v>0</v>
      </c>
      <c r="W192" s="286">
        <f xml:space="preserve"> Inputs!W$106</f>
        <v>0</v>
      </c>
    </row>
    <row r="193" spans="1:23" s="5" customFormat="1" ht="12.75" customHeight="1" outlineLevel="1">
      <c r="A193" s="62"/>
      <c r="B193" s="62"/>
      <c r="C193" s="60"/>
      <c r="D193" s="157"/>
      <c r="E193" s="151" t="s">
        <v>339</v>
      </c>
      <c r="F193" s="56"/>
      <c r="G193" s="56" t="s">
        <v>77</v>
      </c>
      <c r="H193" s="93">
        <f xml:space="preserve"> SUM( J193:W193 )</f>
        <v>-0.6093806759846585</v>
      </c>
      <c r="I193" s="56"/>
      <c r="J193" s="230">
        <f xml:space="preserve"> J$192 * J$191</f>
        <v>0</v>
      </c>
      <c r="K193" s="230">
        <f xml:space="preserve"> K192 * K191</f>
        <v>0</v>
      </c>
      <c r="L193" s="230">
        <f t="shared" ref="L193:W193" si="72" xml:space="preserve"> L192 * L191</f>
        <v>0</v>
      </c>
      <c r="M193" s="230">
        <f t="shared" si="72"/>
        <v>0</v>
      </c>
      <c r="N193" s="230">
        <f t="shared" si="72"/>
        <v>0</v>
      </c>
      <c r="O193" s="230">
        <f t="shared" si="72"/>
        <v>0</v>
      </c>
      <c r="P193" s="230">
        <f t="shared" si="72"/>
        <v>0</v>
      </c>
      <c r="Q193" s="230">
        <f t="shared" si="72"/>
        <v>0</v>
      </c>
      <c r="R193" s="230">
        <f t="shared" si="72"/>
        <v>-8.852127390440636E-3</v>
      </c>
      <c r="S193" s="230">
        <f t="shared" si="72"/>
        <v>-0.60052854859421789</v>
      </c>
      <c r="T193" s="230">
        <f t="shared" si="72"/>
        <v>0</v>
      </c>
      <c r="U193" s="230">
        <f t="shared" si="72"/>
        <v>0</v>
      </c>
      <c r="V193" s="230">
        <f t="shared" si="72"/>
        <v>0</v>
      </c>
      <c r="W193" s="230">
        <f t="shared" si="72"/>
        <v>0</v>
      </c>
    </row>
    <row r="194" spans="1:23" s="5" customFormat="1" ht="12.75" customHeight="1" outlineLevel="1">
      <c r="A194" s="62"/>
      <c r="B194" s="62"/>
      <c r="C194" s="60"/>
      <c r="D194" s="157"/>
      <c r="E194" s="151"/>
      <c r="F194" s="56"/>
      <c r="G194" s="56"/>
      <c r="H194" s="93"/>
      <c r="I194" s="56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</row>
    <row r="195" spans="1:23" s="5" customFormat="1" ht="12.75" customHeight="1" outlineLevel="1">
      <c r="A195" s="62"/>
      <c r="B195" s="62"/>
      <c r="C195" s="60"/>
      <c r="D195" s="157"/>
      <c r="E195" s="151" t="str">
        <f t="shared" ref="E195:W195" si="73" xml:space="preserve"> E$175</f>
        <v>Penalty adjustment - with financing adjustment &amp; 2 year lag of inflation - Wholesale Water</v>
      </c>
      <c r="F195" s="151">
        <f t="shared" si="73"/>
        <v>0</v>
      </c>
      <c r="G195" s="151" t="str">
        <f t="shared" si="73"/>
        <v>£m</v>
      </c>
      <c r="H195" s="208">
        <f t="shared" si="73"/>
        <v>-1.0876847894051338</v>
      </c>
      <c r="I195" s="208">
        <f t="shared" si="73"/>
        <v>0</v>
      </c>
      <c r="J195" s="208">
        <f t="shared" si="73"/>
        <v>0</v>
      </c>
      <c r="K195" s="208">
        <f t="shared" si="73"/>
        <v>0</v>
      </c>
      <c r="L195" s="208">
        <f t="shared" si="73"/>
        <v>0</v>
      </c>
      <c r="M195" s="208">
        <f t="shared" si="73"/>
        <v>0</v>
      </c>
      <c r="N195" s="208">
        <f t="shared" si="73"/>
        <v>0</v>
      </c>
      <c r="O195" s="208">
        <f t="shared" si="73"/>
        <v>0</v>
      </c>
      <c r="P195" s="208">
        <f t="shared" si="73"/>
        <v>-5.1459040578977197E-2</v>
      </c>
      <c r="Q195" s="208">
        <f t="shared" si="73"/>
        <v>0</v>
      </c>
      <c r="R195" s="208">
        <f t="shared" si="73"/>
        <v>-1.8269601729150101E-2</v>
      </c>
      <c r="S195" s="208">
        <f t="shared" si="73"/>
        <v>-1.0179561470970064</v>
      </c>
      <c r="T195" s="208">
        <f t="shared" si="73"/>
        <v>0</v>
      </c>
      <c r="U195" s="208">
        <f t="shared" si="73"/>
        <v>0</v>
      </c>
      <c r="V195" s="208">
        <f t="shared" si="73"/>
        <v>0</v>
      </c>
      <c r="W195" s="208">
        <f t="shared" si="73"/>
        <v>0</v>
      </c>
    </row>
    <row r="196" spans="1:23" s="5" customFormat="1" ht="12.75" customHeight="1" outlineLevel="1">
      <c r="A196" s="62"/>
      <c r="B196" s="62"/>
      <c r="C196" s="60"/>
      <c r="D196" s="157"/>
      <c r="E196" s="56" t="str">
        <f t="shared" ref="E196:W196" si="74" xml:space="preserve"> E$189</f>
        <v>Proportion of penalty allocated to Water Res</v>
      </c>
      <c r="F196" s="311">
        <f t="shared" si="74"/>
        <v>0</v>
      </c>
      <c r="G196" s="56" t="str">
        <f t="shared" si="74"/>
        <v>%</v>
      </c>
      <c r="H196" s="56">
        <f t="shared" si="74"/>
        <v>0</v>
      </c>
      <c r="I196" s="56">
        <f t="shared" si="74"/>
        <v>0</v>
      </c>
      <c r="J196" s="312">
        <f t="shared" si="74"/>
        <v>0</v>
      </c>
      <c r="K196" s="312">
        <f t="shared" si="74"/>
        <v>0</v>
      </c>
      <c r="L196" s="312">
        <f t="shared" si="74"/>
        <v>0</v>
      </c>
      <c r="M196" s="312">
        <f t="shared" si="74"/>
        <v>0</v>
      </c>
      <c r="N196" s="312">
        <f t="shared" si="74"/>
        <v>0</v>
      </c>
      <c r="O196" s="312">
        <f t="shared" si="74"/>
        <v>0</v>
      </c>
      <c r="P196" s="312">
        <f t="shared" si="74"/>
        <v>1</v>
      </c>
      <c r="Q196" s="312">
        <f t="shared" si="74"/>
        <v>1</v>
      </c>
      <c r="R196" s="312">
        <f t="shared" si="74"/>
        <v>0.51547233915249469</v>
      </c>
      <c r="S196" s="312">
        <f t="shared" si="74"/>
        <v>0.41006442143230126</v>
      </c>
      <c r="T196" s="312">
        <f t="shared" si="74"/>
        <v>1</v>
      </c>
      <c r="U196" s="312">
        <f t="shared" si="74"/>
        <v>0</v>
      </c>
      <c r="V196" s="312">
        <f t="shared" si="74"/>
        <v>0</v>
      </c>
      <c r="W196" s="312">
        <f t="shared" si="74"/>
        <v>0</v>
      </c>
    </row>
    <row r="197" spans="1:23" s="5" customFormat="1" ht="12.75" customHeight="1" outlineLevel="1">
      <c r="A197" s="62"/>
      <c r="B197" s="62"/>
      <c r="C197" s="60"/>
      <c r="D197" s="157"/>
      <c r="E197" s="151" t="s">
        <v>340</v>
      </c>
      <c r="F197" s="56"/>
      <c r="G197" s="56" t="s">
        <v>77</v>
      </c>
      <c r="H197" s="93">
        <f xml:space="preserve"> SUM( J197:W197 )</f>
        <v>-0.47830411342047513</v>
      </c>
      <c r="I197" s="56"/>
      <c r="J197" s="230">
        <f xml:space="preserve"> J195 * J196</f>
        <v>0</v>
      </c>
      <c r="K197" s="230">
        <f t="shared" ref="K197:W197" si="75" xml:space="preserve"> K195 * K196</f>
        <v>0</v>
      </c>
      <c r="L197" s="230">
        <f t="shared" si="75"/>
        <v>0</v>
      </c>
      <c r="M197" s="230">
        <f t="shared" si="75"/>
        <v>0</v>
      </c>
      <c r="N197" s="230">
        <f t="shared" si="75"/>
        <v>0</v>
      </c>
      <c r="O197" s="230">
        <f t="shared" si="75"/>
        <v>0</v>
      </c>
      <c r="P197" s="230">
        <f t="shared" si="75"/>
        <v>-5.1459040578977197E-2</v>
      </c>
      <c r="Q197" s="230">
        <f t="shared" si="75"/>
        <v>0</v>
      </c>
      <c r="R197" s="230">
        <f t="shared" si="75"/>
        <v>-9.4174743387094636E-3</v>
      </c>
      <c r="S197" s="230">
        <f t="shared" si="75"/>
        <v>-0.41742759850278849</v>
      </c>
      <c r="T197" s="230">
        <f t="shared" si="75"/>
        <v>0</v>
      </c>
      <c r="U197" s="230">
        <f t="shared" si="75"/>
        <v>0</v>
      </c>
      <c r="V197" s="230">
        <f t="shared" si="75"/>
        <v>0</v>
      </c>
      <c r="W197" s="230">
        <f t="shared" si="75"/>
        <v>0</v>
      </c>
    </row>
    <row r="198" spans="1:23" s="257" customFormat="1" ht="12.75" customHeight="1" outlineLevel="1">
      <c r="A198" s="251"/>
      <c r="B198" s="251"/>
      <c r="C198" s="252"/>
      <c r="D198" s="253"/>
      <c r="E198" s="248"/>
      <c r="F198" s="254"/>
      <c r="G198" s="254"/>
      <c r="H198" s="255"/>
      <c r="I198" s="254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</row>
    <row r="199" spans="1:23" ht="12.75" customHeight="1">
      <c r="A199" s="113" t="s">
        <v>341</v>
      </c>
      <c r="B199" s="113"/>
      <c r="C199" s="112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</row>
    <row r="200" spans="1:23" s="257" customFormat="1" ht="12.75" customHeight="1" outlineLevel="1">
      <c r="A200" s="251"/>
      <c r="B200" s="251"/>
      <c r="C200" s="252"/>
      <c r="D200" s="253"/>
      <c r="E200" s="248"/>
      <c r="F200" s="254"/>
      <c r="G200" s="254"/>
      <c r="H200" s="255"/>
      <c r="I200" s="254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</row>
    <row r="201" spans="1:23" s="257" customFormat="1" ht="12.75" customHeight="1" outlineLevel="1">
      <c r="A201" s="251"/>
      <c r="B201" s="251" t="s">
        <v>342</v>
      </c>
      <c r="C201" s="252"/>
      <c r="D201" s="253"/>
      <c r="E201" s="248"/>
      <c r="F201" s="254"/>
      <c r="G201" s="254"/>
      <c r="H201" s="255"/>
      <c r="I201" s="254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</row>
    <row r="202" spans="1:23" s="257" customFormat="1" ht="12.75" customHeight="1" outlineLevel="1">
      <c r="A202" s="251"/>
      <c r="B202" s="251"/>
      <c r="C202" s="252"/>
      <c r="D202" s="253"/>
      <c r="E202" s="248"/>
      <c r="F202" s="254"/>
      <c r="G202" s="254"/>
      <c r="H202" s="255"/>
      <c r="I202" s="254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</row>
    <row r="203" spans="1:23" s="5" customFormat="1" ht="12.75" customHeight="1" outlineLevel="1">
      <c r="A203" s="62"/>
      <c r="B203" s="62"/>
      <c r="C203" s="60"/>
      <c r="D203" s="157"/>
      <c r="E203" s="203" t="str">
        <f t="shared" ref="E203:W203" si="76" xml:space="preserve"> E$107</f>
        <v>Main revenue adjustment - with financing adjustment &amp; 2 year lag of inflation - Water-N+</v>
      </c>
      <c r="F203" s="203">
        <f t="shared" si="76"/>
        <v>0</v>
      </c>
      <c r="G203" s="203" t="str">
        <f t="shared" si="76"/>
        <v>£m</v>
      </c>
      <c r="H203" s="42">
        <f t="shared" si="76"/>
        <v>7.4997235183044797</v>
      </c>
      <c r="I203" s="42">
        <f t="shared" si="76"/>
        <v>0</v>
      </c>
      <c r="J203" s="42">
        <f t="shared" si="76"/>
        <v>0</v>
      </c>
      <c r="K203" s="42">
        <f t="shared" si="76"/>
        <v>0</v>
      </c>
      <c r="L203" s="42">
        <f t="shared" si="76"/>
        <v>0</v>
      </c>
      <c r="M203" s="42">
        <f t="shared" si="76"/>
        <v>0</v>
      </c>
      <c r="N203" s="42">
        <f t="shared" si="76"/>
        <v>0</v>
      </c>
      <c r="O203" s="42">
        <f t="shared" si="76"/>
        <v>0</v>
      </c>
      <c r="P203" s="42">
        <f t="shared" si="76"/>
        <v>9.4537072175470325</v>
      </c>
      <c r="Q203" s="42">
        <f t="shared" si="76"/>
        <v>2.0850948823861177</v>
      </c>
      <c r="R203" s="42">
        <f t="shared" si="76"/>
        <v>-4.0390785816286705</v>
      </c>
      <c r="S203" s="42">
        <f t="shared" si="76"/>
        <v>0</v>
      </c>
      <c r="T203" s="42">
        <f t="shared" si="76"/>
        <v>0</v>
      </c>
      <c r="U203" s="42">
        <f xml:space="preserve"> U$107</f>
        <v>0</v>
      </c>
      <c r="V203" s="42">
        <f t="shared" si="76"/>
        <v>0</v>
      </c>
      <c r="W203" s="42">
        <f t="shared" si="76"/>
        <v>0</v>
      </c>
    </row>
    <row r="204" spans="1:23" s="5" customFormat="1" ht="12.75" customHeight="1" outlineLevel="1">
      <c r="A204" s="62"/>
      <c r="B204" s="62"/>
      <c r="C204" s="60"/>
      <c r="D204" s="157"/>
      <c r="E204" s="151" t="str">
        <f xml:space="preserve"> E$193</f>
        <v>Penalty adjustment - with financing adjustment &amp; 2 year lag of inflation - Water-N+</v>
      </c>
      <c r="F204" s="151">
        <f t="shared" ref="F204:W204" si="77" xml:space="preserve"> F$193</f>
        <v>0</v>
      </c>
      <c r="G204" s="151" t="str">
        <f t="shared" si="77"/>
        <v>£m</v>
      </c>
      <c r="H204" s="151">
        <f t="shared" si="77"/>
        <v>-0.6093806759846585</v>
      </c>
      <c r="I204" s="273">
        <f t="shared" si="77"/>
        <v>0</v>
      </c>
      <c r="J204" s="273">
        <f t="shared" si="77"/>
        <v>0</v>
      </c>
      <c r="K204" s="273">
        <f t="shared" si="77"/>
        <v>0</v>
      </c>
      <c r="L204" s="273">
        <f t="shared" si="77"/>
        <v>0</v>
      </c>
      <c r="M204" s="273">
        <f t="shared" si="77"/>
        <v>0</v>
      </c>
      <c r="N204" s="273">
        <f t="shared" si="77"/>
        <v>0</v>
      </c>
      <c r="O204" s="273">
        <f t="shared" si="77"/>
        <v>0</v>
      </c>
      <c r="P204" s="273">
        <f t="shared" si="77"/>
        <v>0</v>
      </c>
      <c r="Q204" s="273">
        <f t="shared" si="77"/>
        <v>0</v>
      </c>
      <c r="R204" s="273">
        <f t="shared" si="77"/>
        <v>-8.852127390440636E-3</v>
      </c>
      <c r="S204" s="273">
        <f t="shared" si="77"/>
        <v>-0.60052854859421789</v>
      </c>
      <c r="T204" s="273">
        <f t="shared" si="77"/>
        <v>0</v>
      </c>
      <c r="U204" s="273">
        <f t="shared" si="77"/>
        <v>0</v>
      </c>
      <c r="V204" s="273">
        <f t="shared" si="77"/>
        <v>0</v>
      </c>
      <c r="W204" s="273">
        <f t="shared" si="77"/>
        <v>0</v>
      </c>
    </row>
    <row r="205" spans="1:23" s="5" customFormat="1" ht="12.75" customHeight="1" outlineLevel="1">
      <c r="A205" s="62"/>
      <c r="B205" s="62"/>
      <c r="C205" s="60"/>
      <c r="D205" s="157"/>
      <c r="E205" s="289" t="str">
        <f xml:space="preserve"> Time!E56</f>
        <v>Forecast period flag</v>
      </c>
      <c r="F205" s="289">
        <f xml:space="preserve"> Time!F56</f>
        <v>0</v>
      </c>
      <c r="G205" s="289" t="str">
        <f xml:space="preserve"> Time!G56</f>
        <v>flag</v>
      </c>
      <c r="H205" s="289">
        <f xml:space="preserve"> Time!H56</f>
        <v>5</v>
      </c>
      <c r="I205" s="289">
        <f xml:space="preserve"> Time!I56</f>
        <v>0</v>
      </c>
      <c r="J205" s="289">
        <f xml:space="preserve"> Time!J56</f>
        <v>0</v>
      </c>
      <c r="K205" s="289">
        <f xml:space="preserve"> Time!K56</f>
        <v>0</v>
      </c>
      <c r="L205" s="289">
        <f xml:space="preserve"> Time!L56</f>
        <v>0</v>
      </c>
      <c r="M205" s="289">
        <f xml:space="preserve"> Time!M56</f>
        <v>0</v>
      </c>
      <c r="N205" s="289">
        <f xml:space="preserve"> Time!N56</f>
        <v>0</v>
      </c>
      <c r="O205" s="289">
        <f xml:space="preserve"> Time!O56</f>
        <v>0</v>
      </c>
      <c r="P205" s="289">
        <f xml:space="preserve"> Time!P56</f>
        <v>1</v>
      </c>
      <c r="Q205" s="289">
        <f xml:space="preserve"> Time!Q56</f>
        <v>1</v>
      </c>
      <c r="R205" s="289">
        <f xml:space="preserve"> Time!R56</f>
        <v>1</v>
      </c>
      <c r="S205" s="289">
        <f xml:space="preserve"> Time!S56</f>
        <v>1</v>
      </c>
      <c r="T205" s="289">
        <f xml:space="preserve"> Time!T56</f>
        <v>1</v>
      </c>
      <c r="U205" s="289">
        <f xml:space="preserve"> Time!U56</f>
        <v>0</v>
      </c>
      <c r="V205" s="289">
        <f xml:space="preserve"> Time!V56</f>
        <v>0</v>
      </c>
      <c r="W205" s="289">
        <f xml:space="preserve"> Time!W56</f>
        <v>0</v>
      </c>
    </row>
    <row r="206" spans="1:23" s="173" customFormat="1" ht="12.75" customHeight="1" outlineLevel="1" thickBot="1">
      <c r="A206" s="88"/>
      <c r="B206" s="88"/>
      <c r="C206" s="89"/>
      <c r="D206" s="290"/>
      <c r="E206" s="284" t="s">
        <v>343</v>
      </c>
      <c r="F206" s="284" t="s">
        <v>344</v>
      </c>
      <c r="G206" s="284" t="s">
        <v>77</v>
      </c>
      <c r="H206" s="284">
        <f xml:space="preserve"> SUM(J206:W206)</f>
        <v>7.4908713909140392</v>
      </c>
      <c r="I206" s="284"/>
      <c r="J206" s="267"/>
      <c r="K206" s="284">
        <f t="shared" ref="K206:W206" si="78" xml:space="preserve"> ( I203 + I204 ) * K205</f>
        <v>0</v>
      </c>
      <c r="L206" s="284">
        <f t="shared" si="78"/>
        <v>0</v>
      </c>
      <c r="M206" s="284">
        <f t="shared" si="78"/>
        <v>0</v>
      </c>
      <c r="N206" s="284">
        <f t="shared" si="78"/>
        <v>0</v>
      </c>
      <c r="O206" s="284">
        <f t="shared" si="78"/>
        <v>0</v>
      </c>
      <c r="P206" s="284">
        <f t="shared" si="78"/>
        <v>0</v>
      </c>
      <c r="Q206" s="284">
        <f t="shared" si="78"/>
        <v>0</v>
      </c>
      <c r="R206" s="284">
        <f t="shared" si="78"/>
        <v>9.4537072175470325</v>
      </c>
      <c r="S206" s="284">
        <f t="shared" si="78"/>
        <v>2.0850948823861177</v>
      </c>
      <c r="T206" s="284">
        <f t="shared" si="78"/>
        <v>-4.047930709019111</v>
      </c>
      <c r="U206" s="284">
        <f t="shared" si="78"/>
        <v>0</v>
      </c>
      <c r="V206" s="284">
        <f t="shared" si="78"/>
        <v>0</v>
      </c>
      <c r="W206" s="284">
        <f t="shared" si="78"/>
        <v>0</v>
      </c>
    </row>
    <row r="207" spans="1:23" s="173" customFormat="1" ht="12.75" customHeight="1" outlineLevel="1" thickTop="1">
      <c r="A207" s="88"/>
      <c r="B207" s="88"/>
      <c r="C207" s="89"/>
      <c r="D207" s="290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</row>
    <row r="208" spans="1:23" s="173" customFormat="1" ht="12.75" customHeight="1" outlineLevel="1">
      <c r="A208" s="88"/>
      <c r="B208" s="62" t="s">
        <v>345</v>
      </c>
      <c r="C208" s="89"/>
      <c r="D208" s="290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</row>
    <row r="209" spans="1:23" s="173" customFormat="1" ht="12.75" customHeight="1" outlineLevel="1">
      <c r="A209" s="88"/>
      <c r="B209" s="62"/>
      <c r="C209" s="89"/>
      <c r="D209" s="290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</row>
    <row r="210" spans="1:23" s="5" customFormat="1" ht="12.75" customHeight="1" outlineLevel="1">
      <c r="A210" s="62"/>
      <c r="B210" s="62"/>
      <c r="C210" s="60"/>
      <c r="D210" s="157"/>
      <c r="E210" s="203" t="str">
        <f xml:space="preserve"> E$119</f>
        <v>Main revenue adjustment - with financing adjustment &amp; 2 year lag of inflation - Water Res</v>
      </c>
      <c r="F210" s="203">
        <f t="shared" ref="F210:W210" si="79" xml:space="preserve"> F$119</f>
        <v>0</v>
      </c>
      <c r="G210" s="203" t="str">
        <f t="shared" si="79"/>
        <v>£m</v>
      </c>
      <c r="H210" s="42">
        <f t="shared" si="79"/>
        <v>-13.627694104245094</v>
      </c>
      <c r="I210" s="42">
        <f t="shared" si="79"/>
        <v>0</v>
      </c>
      <c r="J210" s="42">
        <f t="shared" si="79"/>
        <v>0</v>
      </c>
      <c r="K210" s="42">
        <f t="shared" si="79"/>
        <v>0</v>
      </c>
      <c r="L210" s="42">
        <f t="shared" si="79"/>
        <v>0</v>
      </c>
      <c r="M210" s="42">
        <f t="shared" si="79"/>
        <v>0</v>
      </c>
      <c r="N210" s="42">
        <f t="shared" si="79"/>
        <v>0</v>
      </c>
      <c r="O210" s="42">
        <f t="shared" si="79"/>
        <v>0</v>
      </c>
      <c r="P210" s="42">
        <f t="shared" si="79"/>
        <v>-1.4400085081767033</v>
      </c>
      <c r="Q210" s="42">
        <f t="shared" si="79"/>
        <v>-7.8957843515684942</v>
      </c>
      <c r="R210" s="42">
        <f t="shared" si="79"/>
        <v>-4.2919012444998978</v>
      </c>
      <c r="S210" s="42">
        <f t="shared" si="79"/>
        <v>0</v>
      </c>
      <c r="T210" s="42">
        <f t="shared" si="79"/>
        <v>0</v>
      </c>
      <c r="U210" s="42">
        <f t="shared" si="79"/>
        <v>0</v>
      </c>
      <c r="V210" s="42">
        <f t="shared" si="79"/>
        <v>0</v>
      </c>
      <c r="W210" s="42">
        <f t="shared" si="79"/>
        <v>0</v>
      </c>
    </row>
    <row r="211" spans="1:23" s="5" customFormat="1" ht="12.75" customHeight="1" outlineLevel="1">
      <c r="A211" s="62"/>
      <c r="B211" s="62"/>
      <c r="C211" s="60"/>
      <c r="D211" s="157"/>
      <c r="E211" s="91" t="str">
        <f xml:space="preserve"> E$197</f>
        <v>Penalty adjustment - with financing adjustment &amp; 2 year lag of inflation - Water Res</v>
      </c>
      <c r="F211" s="91">
        <f t="shared" ref="F211:W211" si="80" xml:space="preserve"> F$197</f>
        <v>0</v>
      </c>
      <c r="G211" s="91" t="str">
        <f t="shared" si="80"/>
        <v>£m</v>
      </c>
      <c r="H211" s="91">
        <f t="shared" si="80"/>
        <v>-0.47830411342047513</v>
      </c>
      <c r="I211" s="91">
        <f t="shared" si="80"/>
        <v>0</v>
      </c>
      <c r="J211" s="91">
        <f t="shared" si="80"/>
        <v>0</v>
      </c>
      <c r="K211" s="91">
        <f t="shared" si="80"/>
        <v>0</v>
      </c>
      <c r="L211" s="91">
        <f t="shared" si="80"/>
        <v>0</v>
      </c>
      <c r="M211" s="91">
        <f t="shared" si="80"/>
        <v>0</v>
      </c>
      <c r="N211" s="91">
        <f t="shared" si="80"/>
        <v>0</v>
      </c>
      <c r="O211" s="91">
        <f t="shared" si="80"/>
        <v>0</v>
      </c>
      <c r="P211" s="91">
        <f t="shared" si="80"/>
        <v>-5.1459040578977197E-2</v>
      </c>
      <c r="Q211" s="91">
        <f t="shared" si="80"/>
        <v>0</v>
      </c>
      <c r="R211" s="91">
        <f t="shared" si="80"/>
        <v>-9.4174743387094636E-3</v>
      </c>
      <c r="S211" s="91">
        <f t="shared" si="80"/>
        <v>-0.41742759850278849</v>
      </c>
      <c r="T211" s="91">
        <f t="shared" si="80"/>
        <v>0</v>
      </c>
      <c r="U211" s="91">
        <f t="shared" si="80"/>
        <v>0</v>
      </c>
      <c r="V211" s="91">
        <f t="shared" si="80"/>
        <v>0</v>
      </c>
      <c r="W211" s="91">
        <f t="shared" si="80"/>
        <v>0</v>
      </c>
    </row>
    <row r="212" spans="1:23" s="5" customFormat="1" ht="12.75" customHeight="1" outlineLevel="1">
      <c r="A212" s="62"/>
      <c r="B212" s="62"/>
      <c r="C212" s="60"/>
      <c r="D212" s="157"/>
      <c r="E212" s="289" t="str">
        <f xml:space="preserve"> Time!E56</f>
        <v>Forecast period flag</v>
      </c>
      <c r="F212" s="289">
        <f xml:space="preserve"> Time!F56</f>
        <v>0</v>
      </c>
      <c r="G212" s="289" t="str">
        <f xml:space="preserve"> Time!G56</f>
        <v>flag</v>
      </c>
      <c r="H212" s="289">
        <f xml:space="preserve"> Time!H56</f>
        <v>5</v>
      </c>
      <c r="I212" s="289">
        <f xml:space="preserve"> Time!I56</f>
        <v>0</v>
      </c>
      <c r="J212" s="289">
        <f xml:space="preserve"> Time!J56</f>
        <v>0</v>
      </c>
      <c r="K212" s="289">
        <f xml:space="preserve"> Time!K56</f>
        <v>0</v>
      </c>
      <c r="L212" s="289">
        <f xml:space="preserve"> Time!L56</f>
        <v>0</v>
      </c>
      <c r="M212" s="289">
        <f xml:space="preserve"> Time!M56</f>
        <v>0</v>
      </c>
      <c r="N212" s="289">
        <f xml:space="preserve"> Time!N56</f>
        <v>0</v>
      </c>
      <c r="O212" s="289">
        <f xml:space="preserve"> Time!O56</f>
        <v>0</v>
      </c>
      <c r="P212" s="289">
        <f xml:space="preserve"> Time!P56</f>
        <v>1</v>
      </c>
      <c r="Q212" s="289">
        <f xml:space="preserve"> Time!Q56</f>
        <v>1</v>
      </c>
      <c r="R212" s="289">
        <f xml:space="preserve"> Time!R56</f>
        <v>1</v>
      </c>
      <c r="S212" s="289">
        <f xml:space="preserve"> Time!S56</f>
        <v>1</v>
      </c>
      <c r="T212" s="289">
        <f xml:space="preserve"> Time!T56</f>
        <v>1</v>
      </c>
      <c r="U212" s="289">
        <f xml:space="preserve"> Time!U56</f>
        <v>0</v>
      </c>
      <c r="V212" s="289">
        <f xml:space="preserve"> Time!V56</f>
        <v>0</v>
      </c>
      <c r="W212" s="289">
        <f xml:space="preserve"> Time!W56</f>
        <v>0</v>
      </c>
    </row>
    <row r="213" spans="1:23" s="173" customFormat="1" ht="12.75" customHeight="1" outlineLevel="1" thickBot="1">
      <c r="A213" s="88"/>
      <c r="B213" s="88"/>
      <c r="C213" s="89"/>
      <c r="D213" s="290"/>
      <c r="E213" s="284" t="s">
        <v>346</v>
      </c>
      <c r="F213" s="284" t="s">
        <v>344</v>
      </c>
      <c r="G213" s="284" t="s">
        <v>77</v>
      </c>
      <c r="H213" s="284">
        <f xml:space="preserve"> SUM(J213:W213)</f>
        <v>-13.688570619162782</v>
      </c>
      <c r="I213" s="284"/>
      <c r="J213" s="267"/>
      <c r="K213" s="284">
        <f t="shared" ref="K213:W213" si="81" xml:space="preserve"> ( I210 + I211 ) * K212</f>
        <v>0</v>
      </c>
      <c r="L213" s="284">
        <f t="shared" si="81"/>
        <v>0</v>
      </c>
      <c r="M213" s="284">
        <f t="shared" si="81"/>
        <v>0</v>
      </c>
      <c r="N213" s="284">
        <f t="shared" si="81"/>
        <v>0</v>
      </c>
      <c r="O213" s="284">
        <f t="shared" si="81"/>
        <v>0</v>
      </c>
      <c r="P213" s="284">
        <f t="shared" si="81"/>
        <v>0</v>
      </c>
      <c r="Q213" s="284">
        <f t="shared" si="81"/>
        <v>0</v>
      </c>
      <c r="R213" s="284">
        <f t="shared" si="81"/>
        <v>-1.4914675487556805</v>
      </c>
      <c r="S213" s="284">
        <f t="shared" si="81"/>
        <v>-7.8957843515684942</v>
      </c>
      <c r="T213" s="284">
        <f t="shared" si="81"/>
        <v>-4.3013187188386075</v>
      </c>
      <c r="U213" s="284">
        <f t="shared" si="81"/>
        <v>0</v>
      </c>
      <c r="V213" s="284">
        <f t="shared" si="81"/>
        <v>0</v>
      </c>
      <c r="W213" s="284">
        <f t="shared" si="81"/>
        <v>0</v>
      </c>
    </row>
    <row r="214" spans="1:23" ht="12.75" customHeight="1" thickTop="1"/>
    <row r="215" spans="1:23" ht="12.75" customHeight="1">
      <c r="A215" s="113" t="s">
        <v>347</v>
      </c>
      <c r="B215" s="113"/>
      <c r="C215" s="112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</row>
    <row r="216" spans="1:23" ht="12.75" customHeight="1"/>
    <row r="217" spans="1:23" ht="12.75" customHeight="1" outlineLevel="1">
      <c r="B217" s="61" t="s">
        <v>348</v>
      </c>
    </row>
    <row r="218" spans="1:23" ht="12.75" customHeight="1" outlineLevel="1"/>
    <row r="219" spans="1:23" s="121" customFormat="1" ht="12.75" customHeight="1" outlineLevel="1">
      <c r="A219" s="164"/>
      <c r="B219" s="164"/>
      <c r="C219" s="165"/>
      <c r="D219" s="73"/>
      <c r="E219" s="94" t="str">
        <f xml:space="preserve"> Inputs!E$82</f>
        <v>Bilateral entry adjustment (BEA) (base year 2017/18)</v>
      </c>
      <c r="F219" s="94">
        <f xml:space="preserve"> Inputs!F$82</f>
        <v>0</v>
      </c>
      <c r="G219" s="94" t="str">
        <f xml:space="preserve"> Inputs!G$82</f>
        <v>£m</v>
      </c>
      <c r="H219" s="94">
        <f xml:space="preserve"> Inputs!H$82</f>
        <v>0</v>
      </c>
      <c r="I219" s="94">
        <f xml:space="preserve"> Inputs!I$82</f>
        <v>0</v>
      </c>
      <c r="J219" s="94">
        <f xml:space="preserve"> Inputs!J$82</f>
        <v>0</v>
      </c>
      <c r="K219" s="94">
        <f xml:space="preserve"> Inputs!K$82</f>
        <v>0</v>
      </c>
      <c r="L219" s="94">
        <f xml:space="preserve"> Inputs!L$82</f>
        <v>0</v>
      </c>
      <c r="M219" s="94">
        <f xml:space="preserve"> Inputs!M$82</f>
        <v>0</v>
      </c>
      <c r="N219" s="94">
        <f xml:space="preserve"> Inputs!N$82</f>
        <v>0</v>
      </c>
      <c r="O219" s="94">
        <f xml:space="preserve"> Inputs!O$82</f>
        <v>0</v>
      </c>
      <c r="P219" s="94">
        <f xml:space="preserve"> Inputs!P$82</f>
        <v>0</v>
      </c>
      <c r="Q219" s="94">
        <f xml:space="preserve"> Inputs!Q$82</f>
        <v>0</v>
      </c>
      <c r="R219" s="94">
        <f xml:space="preserve"> Inputs!R$82</f>
        <v>0</v>
      </c>
      <c r="S219" s="94">
        <f xml:space="preserve"> Inputs!S$82</f>
        <v>0</v>
      </c>
      <c r="T219" s="94">
        <f xml:space="preserve"> Inputs!T$82</f>
        <v>0</v>
      </c>
      <c r="U219" s="94">
        <f xml:space="preserve"> Inputs!U$82</f>
        <v>0</v>
      </c>
      <c r="V219" s="94">
        <f xml:space="preserve"> Inputs!V$82</f>
        <v>0</v>
      </c>
      <c r="W219" s="94">
        <f xml:space="preserve"> Inputs!W$82</f>
        <v>0</v>
      </c>
    </row>
    <row r="220" spans="1:23" s="53" customFormat="1" ht="12.75" customHeight="1" outlineLevel="1">
      <c r="E220" s="321" t="str">
        <f xml:space="preserve"> 'Indices and K factor'!E$28</f>
        <v>CPIH: Nov - Nov index (prior year) inflating from 2017/18</v>
      </c>
      <c r="F220" s="321">
        <f xml:space="preserve"> 'Indices and K factor'!F$28</f>
        <v>0</v>
      </c>
      <c r="G220" s="321" t="str">
        <f xml:space="preserve"> 'Indices and K factor'!G$28</f>
        <v>index</v>
      </c>
      <c r="H220" s="322">
        <f xml:space="preserve"> 'Indices and K factor'!H$28</f>
        <v>0</v>
      </c>
      <c r="I220" s="322">
        <f xml:space="preserve"> 'Indices and K factor'!I$28</f>
        <v>0</v>
      </c>
      <c r="J220" s="41">
        <f xml:space="preserve"> 'Indices and K factor'!J$28</f>
        <v>0</v>
      </c>
      <c r="K220" s="41">
        <f xml:space="preserve"> 'Indices and K factor'!K$28</f>
        <v>0</v>
      </c>
      <c r="L220" s="41">
        <f xml:space="preserve"> 'Indices and K factor'!L$28</f>
        <v>0</v>
      </c>
      <c r="M220" s="41">
        <f xml:space="preserve"> 'Indices and K factor'!M$28</f>
        <v>0</v>
      </c>
      <c r="N220" s="41">
        <f xml:space="preserve"> 'Indices and K factor'!N$28</f>
        <v>0</v>
      </c>
      <c r="O220" s="41">
        <f xml:space="preserve"> 'Indices and K factor'!O$28</f>
        <v>0</v>
      </c>
      <c r="P220" s="41">
        <f xml:space="preserve"> 'Indices and K factor'!P$28</f>
        <v>1.0658153241650294</v>
      </c>
      <c r="Q220" s="41">
        <f xml:space="preserve"> 'Indices and K factor'!Q$28</f>
        <v>1.0717092337917484</v>
      </c>
      <c r="R220" s="41">
        <f xml:space="preserve"> 'Indices and K factor'!R$28</f>
        <v>1.1208251473477406</v>
      </c>
      <c r="S220" s="41">
        <f xml:space="preserve"> 'Indices and K factor'!S$28</f>
        <v>1.2259332023575638</v>
      </c>
      <c r="T220" s="41">
        <f xml:space="preserve"> 'Indices and K factor'!T$28</f>
        <v>1.2770137524557956</v>
      </c>
      <c r="U220" s="41">
        <f xml:space="preserve"> 'Indices and K factor'!U$28</f>
        <v>0</v>
      </c>
      <c r="V220" s="41">
        <f xml:space="preserve"> 'Indices and K factor'!V$28</f>
        <v>0</v>
      </c>
      <c r="W220" s="41">
        <f xml:space="preserve"> 'Indices and K factor'!W$28</f>
        <v>0</v>
      </c>
    </row>
    <row r="221" spans="1:23" s="127" customFormat="1" ht="12.75" customHeight="1" outlineLevel="1">
      <c r="E221" s="146" t="s">
        <v>349</v>
      </c>
      <c r="F221" s="146"/>
      <c r="G221" s="146" t="s">
        <v>77</v>
      </c>
      <c r="H221" s="84">
        <f xml:space="preserve"> SUM( J221:W221 )</f>
        <v>0</v>
      </c>
      <c r="I221" s="65"/>
      <c r="J221" s="84">
        <f xml:space="preserve"> J219 * J220</f>
        <v>0</v>
      </c>
      <c r="K221" s="84">
        <f t="shared" ref="K221:W221" si="82" xml:space="preserve"> K219 * K220</f>
        <v>0</v>
      </c>
      <c r="L221" s="84">
        <f t="shared" si="82"/>
        <v>0</v>
      </c>
      <c r="M221" s="84">
        <f t="shared" si="82"/>
        <v>0</v>
      </c>
      <c r="N221" s="84">
        <f t="shared" si="82"/>
        <v>0</v>
      </c>
      <c r="O221" s="84">
        <f t="shared" si="82"/>
        <v>0</v>
      </c>
      <c r="P221" s="84">
        <f t="shared" si="82"/>
        <v>0</v>
      </c>
      <c r="Q221" s="84">
        <f t="shared" si="82"/>
        <v>0</v>
      </c>
      <c r="R221" s="84">
        <f t="shared" si="82"/>
        <v>0</v>
      </c>
      <c r="S221" s="84">
        <f t="shared" si="82"/>
        <v>0</v>
      </c>
      <c r="T221" s="84">
        <f t="shared" si="82"/>
        <v>0</v>
      </c>
      <c r="U221" s="84">
        <f t="shared" si="82"/>
        <v>0</v>
      </c>
      <c r="V221" s="84">
        <f t="shared" si="82"/>
        <v>0</v>
      </c>
      <c r="W221" s="84">
        <f t="shared" si="82"/>
        <v>0</v>
      </c>
    </row>
    <row r="222" spans="1:23" ht="12.75" customHeight="1" outlineLevel="1"/>
    <row r="223" spans="1:23" ht="12.75" customHeight="1" outlineLevel="1">
      <c r="A223" s="61"/>
      <c r="B223" s="61" t="s">
        <v>350</v>
      </c>
      <c r="C223" s="108"/>
      <c r="E223" s="72"/>
    </row>
    <row r="224" spans="1:23" ht="12.75" customHeight="1" outlineLevel="1">
      <c r="A224" s="61"/>
      <c r="C224" s="108"/>
      <c r="E224" s="72"/>
    </row>
    <row r="225" spans="1:23" ht="12.75" customHeight="1" outlineLevel="1">
      <c r="A225" s="61"/>
      <c r="C225" s="108"/>
      <c r="E225" s="204" t="str">
        <f t="shared" ref="E225:W225" si="83" xml:space="preserve"> E$165</f>
        <v>Penalty adjustment - Wholesale Water</v>
      </c>
      <c r="F225" s="204">
        <f t="shared" si="83"/>
        <v>0</v>
      </c>
      <c r="G225" s="204" t="str">
        <f t="shared" si="83"/>
        <v>£m</v>
      </c>
      <c r="H225" s="204">
        <f t="shared" si="83"/>
        <v>-0.98913111871761372</v>
      </c>
      <c r="I225" s="204">
        <f t="shared" si="83"/>
        <v>0</v>
      </c>
      <c r="J225" s="204">
        <f t="shared" si="83"/>
        <v>0</v>
      </c>
      <c r="K225" s="204">
        <f t="shared" si="83"/>
        <v>0</v>
      </c>
      <c r="L225" s="204">
        <f t="shared" si="83"/>
        <v>0</v>
      </c>
      <c r="M225" s="204">
        <f t="shared" si="83"/>
        <v>0</v>
      </c>
      <c r="N225" s="204">
        <f t="shared" si="83"/>
        <v>0</v>
      </c>
      <c r="O225" s="204">
        <f t="shared" si="83"/>
        <v>0</v>
      </c>
      <c r="P225" s="204">
        <f t="shared" si="83"/>
        <v>-4.7545125821362638E-2</v>
      </c>
      <c r="Q225" s="204">
        <f t="shared" si="83"/>
        <v>0</v>
      </c>
      <c r="R225" s="204">
        <f t="shared" si="83"/>
        <v>-1.5580148564202419E-2</v>
      </c>
      <c r="S225" s="204">
        <f t="shared" si="83"/>
        <v>-0.92600584433204869</v>
      </c>
      <c r="T225" s="204">
        <f t="shared" si="83"/>
        <v>0</v>
      </c>
      <c r="U225" s="204">
        <f t="shared" si="83"/>
        <v>0</v>
      </c>
      <c r="V225" s="204">
        <f t="shared" si="83"/>
        <v>0</v>
      </c>
      <c r="W225" s="204">
        <f t="shared" si="83"/>
        <v>0</v>
      </c>
    </row>
    <row r="226" spans="1:23" ht="12.75" customHeight="1" outlineLevel="1">
      <c r="A226" s="61"/>
      <c r="C226" s="108"/>
      <c r="E226" s="271" t="str">
        <f xml:space="preserve"> Inputs!E$106</f>
        <v>Proportion of penalty allocated to Water-N+ (PS)</v>
      </c>
      <c r="F226" s="286">
        <f xml:space="preserve"> Inputs!F$106</f>
        <v>0</v>
      </c>
      <c r="G226" s="286" t="str">
        <f xml:space="preserve"> Inputs!G$106</f>
        <v>%</v>
      </c>
      <c r="H226" s="286">
        <f xml:space="preserve"> Inputs!H$106</f>
        <v>0</v>
      </c>
      <c r="I226" s="286">
        <f xml:space="preserve"> Inputs!I$106</f>
        <v>0</v>
      </c>
      <c r="J226" s="286">
        <f xml:space="preserve"> Inputs!J$106</f>
        <v>0</v>
      </c>
      <c r="K226" s="286">
        <f xml:space="preserve"> Inputs!K$106</f>
        <v>0</v>
      </c>
      <c r="L226" s="286">
        <f xml:space="preserve"> Inputs!L$106</f>
        <v>0</v>
      </c>
      <c r="M226" s="286">
        <f xml:space="preserve"> Inputs!M$106</f>
        <v>0</v>
      </c>
      <c r="N226" s="286">
        <f xml:space="preserve"> Inputs!N$106</f>
        <v>0</v>
      </c>
      <c r="O226" s="286">
        <f xml:space="preserve"> Inputs!O$106</f>
        <v>0</v>
      </c>
      <c r="P226" s="286">
        <f xml:space="preserve"> Inputs!P$106</f>
        <v>0</v>
      </c>
      <c r="Q226" s="286">
        <f xml:space="preserve"> Inputs!Q$106</f>
        <v>0</v>
      </c>
      <c r="R226" s="286">
        <f xml:space="preserve"> Inputs!R$106</f>
        <v>0.48452766084750526</v>
      </c>
      <c r="S226" s="286">
        <f xml:space="preserve"> Inputs!S$106</f>
        <v>0.58993557856769874</v>
      </c>
      <c r="T226" s="286">
        <f xml:space="preserve"> Inputs!T$106</f>
        <v>0</v>
      </c>
      <c r="U226" s="286">
        <f xml:space="preserve"> Inputs!U$106</f>
        <v>0</v>
      </c>
      <c r="V226" s="286">
        <f xml:space="preserve"> Inputs!V$106</f>
        <v>0</v>
      </c>
      <c r="W226" s="286">
        <f xml:space="preserve"> Inputs!W$106</f>
        <v>0</v>
      </c>
    </row>
    <row r="227" spans="1:23" ht="12.75" customHeight="1" outlineLevel="1">
      <c r="A227" s="61"/>
      <c r="C227" s="108"/>
      <c r="E227" s="154" t="s">
        <v>351</v>
      </c>
      <c r="F227" s="154"/>
      <c r="G227" s="154" t="s">
        <v>77</v>
      </c>
      <c r="H227" s="154">
        <f xml:space="preserve"> SUM( J227:W227 )</f>
        <v>-0.55383280647256716</v>
      </c>
      <c r="I227" s="154"/>
      <c r="J227" s="33">
        <f xml:space="preserve"> J225 * J226</f>
        <v>0</v>
      </c>
      <c r="K227" s="33">
        <f t="shared" ref="K227:W227" si="84" xml:space="preserve"> K225 * K226</f>
        <v>0</v>
      </c>
      <c r="L227" s="33">
        <f t="shared" si="84"/>
        <v>0</v>
      </c>
      <c r="M227" s="33">
        <f t="shared" si="84"/>
        <v>0</v>
      </c>
      <c r="N227" s="33">
        <f t="shared" si="84"/>
        <v>0</v>
      </c>
      <c r="O227" s="33">
        <f t="shared" si="84"/>
        <v>0</v>
      </c>
      <c r="P227" s="33">
        <f t="shared" si="84"/>
        <v>0</v>
      </c>
      <c r="Q227" s="33">
        <f t="shared" si="84"/>
        <v>0</v>
      </c>
      <c r="R227" s="33">
        <f t="shared" si="84"/>
        <v>-7.5490129394696157E-3</v>
      </c>
      <c r="S227" s="33">
        <f t="shared" si="84"/>
        <v>-0.54628379353309753</v>
      </c>
      <c r="T227" s="33">
        <f t="shared" si="84"/>
        <v>0</v>
      </c>
      <c r="U227" s="33">
        <f t="shared" si="84"/>
        <v>0</v>
      </c>
      <c r="V227" s="33">
        <f t="shared" si="84"/>
        <v>0</v>
      </c>
      <c r="W227" s="33">
        <f t="shared" si="84"/>
        <v>0</v>
      </c>
    </row>
    <row r="228" spans="1:23" ht="12.75" customHeight="1" outlineLevel="1">
      <c r="A228" s="61"/>
      <c r="C228" s="108"/>
      <c r="E228" s="72"/>
    </row>
    <row r="229" spans="1:23" ht="12.75" customHeight="1" outlineLevel="1">
      <c r="E229" s="34" t="str">
        <f xml:space="preserve"> Inputs!E$63</f>
        <v>Discount rate</v>
      </c>
      <c r="F229" s="34">
        <f xml:space="preserve"> Inputs!F$63</f>
        <v>2.92E-2</v>
      </c>
      <c r="G229" s="34" t="str">
        <f xml:space="preserve"> Inputs!G$63</f>
        <v>%</v>
      </c>
      <c r="H229" s="34">
        <f xml:space="preserve"> Inputs!H$63</f>
        <v>0</v>
      </c>
      <c r="I229" s="34">
        <f xml:space="preserve"> Inputs!I$63</f>
        <v>0</v>
      </c>
      <c r="J229" s="34">
        <f xml:space="preserve"> Inputs!J$63</f>
        <v>0</v>
      </c>
      <c r="K229" s="34">
        <f xml:space="preserve"> Inputs!K$63</f>
        <v>0</v>
      </c>
      <c r="L229" s="34">
        <f xml:space="preserve"> Inputs!L$63</f>
        <v>0</v>
      </c>
      <c r="M229" s="34">
        <f xml:space="preserve"> Inputs!M$63</f>
        <v>0</v>
      </c>
      <c r="N229" s="34">
        <f xml:space="preserve"> Inputs!N$63</f>
        <v>0</v>
      </c>
      <c r="O229" s="34">
        <f xml:space="preserve"> Inputs!O$63</f>
        <v>0</v>
      </c>
      <c r="P229" s="34">
        <f xml:space="preserve"> Inputs!P$63</f>
        <v>0</v>
      </c>
      <c r="Q229" s="34">
        <f xml:space="preserve"> Inputs!Q$63</f>
        <v>0</v>
      </c>
      <c r="R229" s="34">
        <f xml:space="preserve"> Inputs!R$63</f>
        <v>0</v>
      </c>
      <c r="S229" s="34">
        <f xml:space="preserve"> Inputs!S$63</f>
        <v>0</v>
      </c>
      <c r="T229" s="34">
        <f xml:space="preserve"> Inputs!T$63</f>
        <v>0</v>
      </c>
      <c r="U229" s="34">
        <f xml:space="preserve"> Inputs!U$63</f>
        <v>0</v>
      </c>
      <c r="V229" s="34">
        <f xml:space="preserve"> Inputs!V$63</f>
        <v>0</v>
      </c>
      <c r="W229" s="34">
        <f xml:space="preserve"> Inputs!W$63</f>
        <v>0</v>
      </c>
    </row>
    <row r="230" spans="1:23" ht="12.75" customHeight="1" outlineLevel="1">
      <c r="A230" s="61"/>
      <c r="C230" s="108"/>
      <c r="E230" s="34" t="str">
        <f xml:space="preserve"> 'Indices and K factor'!E$11</f>
        <v>CPIH: Nov % increase (prior year) - CALC</v>
      </c>
      <c r="F230" s="34">
        <f xml:space="preserve"> 'Indices and K factor'!F$11</f>
        <v>0</v>
      </c>
      <c r="G230" s="34" t="str">
        <f xml:space="preserve"> 'Indices and K factor'!G$11</f>
        <v>%</v>
      </c>
      <c r="H230" s="34">
        <f xml:space="preserve"> 'Indices and K factor'!H$11</f>
        <v>0</v>
      </c>
      <c r="I230" s="34">
        <f xml:space="preserve"> 'Indices and K factor'!I$11</f>
        <v>0</v>
      </c>
      <c r="J230" s="34">
        <f xml:space="preserve"> 'Indices and K factor'!J$11</f>
        <v>0</v>
      </c>
      <c r="K230" s="34">
        <f xml:space="preserve"> 'Indices and K factor'!K$11</f>
        <v>0</v>
      </c>
      <c r="L230" s="34">
        <f xml:space="preserve"> 'Indices and K factor'!L$11</f>
        <v>1.0040040040040039</v>
      </c>
      <c r="M230" s="34">
        <f xml:space="preserve"> 'Indices and K factor'!M$11</f>
        <v>1.0149551345962113</v>
      </c>
      <c r="N230" s="34">
        <f xml:space="preserve"> 'Indices and K factor'!N$11</f>
        <v>1.0284872298624754</v>
      </c>
      <c r="O230" s="34">
        <f xml:space="preserve"> 'Indices and K factor'!O$11</f>
        <v>1.0210124164278893</v>
      </c>
      <c r="P230" s="34">
        <f xml:space="preserve"> 'Indices and K factor'!P$11</f>
        <v>1.0149672591206735</v>
      </c>
      <c r="Q230" s="34">
        <f xml:space="preserve"> 'Indices and K factor'!Q$11</f>
        <v>1.0055299539170506</v>
      </c>
      <c r="R230" s="34">
        <f xml:space="preserve"> 'Indices and K factor'!R$11</f>
        <v>1.0458295142071494</v>
      </c>
      <c r="S230" s="34">
        <f xml:space="preserve"> 'Indices and K factor'!S$11</f>
        <v>1.0937773882559159</v>
      </c>
      <c r="T230" s="34">
        <f xml:space="preserve"> 'Indices and K factor'!T$11</f>
        <v>1.0416666666666667</v>
      </c>
      <c r="U230" s="34">
        <f xml:space="preserve"> 'Indices and K factor'!U$11</f>
        <v>1.0253846153846156</v>
      </c>
      <c r="V230" s="34">
        <f xml:space="preserve"> 'Indices and K factor'!V$11</f>
        <v>1.02</v>
      </c>
      <c r="W230" s="34">
        <f xml:space="preserve"> 'Indices and K factor'!W$11</f>
        <v>1.02</v>
      </c>
    </row>
    <row r="231" spans="1:23" s="153" customFormat="1" ht="13.15" outlineLevel="1">
      <c r="A231" s="62"/>
      <c r="B231" s="62"/>
      <c r="C231" s="60"/>
      <c r="D231" s="157"/>
      <c r="E231" s="204" t="str">
        <f xml:space="preserve"> E$83</f>
        <v>Revenue Imbalance - Water-N+</v>
      </c>
      <c r="F231" s="204">
        <f t="shared" ref="F231:W231" si="85" xml:space="preserve"> F$83</f>
        <v>0</v>
      </c>
      <c r="G231" s="204" t="str">
        <f t="shared" si="85"/>
        <v>£m</v>
      </c>
      <c r="H231" s="204">
        <f t="shared" si="85"/>
        <v>-10.6774831639014</v>
      </c>
      <c r="I231" s="204">
        <f t="shared" si="85"/>
        <v>0</v>
      </c>
      <c r="J231" s="204">
        <f t="shared" si="85"/>
        <v>0</v>
      </c>
      <c r="K231" s="204">
        <f t="shared" si="85"/>
        <v>0</v>
      </c>
      <c r="L231" s="204">
        <f t="shared" si="85"/>
        <v>0</v>
      </c>
      <c r="M231" s="204">
        <f t="shared" si="85"/>
        <v>0</v>
      </c>
      <c r="N231" s="204">
        <f t="shared" si="85"/>
        <v>0</v>
      </c>
      <c r="O231" s="204">
        <f t="shared" si="85"/>
        <v>0</v>
      </c>
      <c r="P231" s="204">
        <f t="shared" si="85"/>
        <v>8.4868531337698414</v>
      </c>
      <c r="Q231" s="204">
        <f t="shared" si="85"/>
        <v>1.7208239131538789</v>
      </c>
      <c r="R231" s="204">
        <f t="shared" si="85"/>
        <v>-3.3467636212454863</v>
      </c>
      <c r="S231" s="204">
        <f t="shared" si="85"/>
        <v>-17.966422608507401</v>
      </c>
      <c r="T231" s="204">
        <f t="shared" si="85"/>
        <v>0.42802601892776693</v>
      </c>
      <c r="U231" s="204">
        <f t="shared" si="85"/>
        <v>0</v>
      </c>
      <c r="V231" s="204">
        <f t="shared" si="85"/>
        <v>0</v>
      </c>
      <c r="W231" s="204">
        <f t="shared" si="85"/>
        <v>0</v>
      </c>
    </row>
    <row r="232" spans="1:23" s="121" customFormat="1" ht="12.75" customHeight="1" outlineLevel="1">
      <c r="A232" s="164"/>
      <c r="B232" s="164"/>
      <c r="C232" s="165"/>
      <c r="D232" s="73"/>
      <c r="E232" s="96" t="str">
        <f xml:space="preserve"> Time!E$51</f>
        <v>Forecast end period flag</v>
      </c>
      <c r="F232" s="96">
        <f xml:space="preserve"> Time!F$51</f>
        <v>0</v>
      </c>
      <c r="G232" s="96" t="str">
        <f xml:space="preserve"> Time!G$51</f>
        <v>flag</v>
      </c>
      <c r="H232" s="96">
        <f xml:space="preserve"> Time!H$51</f>
        <v>1</v>
      </c>
      <c r="I232" s="96">
        <f xml:space="preserve"> Time!I$51</f>
        <v>0</v>
      </c>
      <c r="J232" s="96">
        <f xml:space="preserve"> Time!J$51</f>
        <v>0</v>
      </c>
      <c r="K232" s="96">
        <f xml:space="preserve"> Time!K$51</f>
        <v>0</v>
      </c>
      <c r="L232" s="96">
        <f xml:space="preserve"> Time!L$51</f>
        <v>0</v>
      </c>
      <c r="M232" s="96">
        <f xml:space="preserve"> Time!M$51</f>
        <v>0</v>
      </c>
      <c r="N232" s="96">
        <f xml:space="preserve"> Time!N$51</f>
        <v>0</v>
      </c>
      <c r="O232" s="96">
        <f xml:space="preserve"> Time!O$51</f>
        <v>0</v>
      </c>
      <c r="P232" s="96">
        <f xml:space="preserve"> Time!P$51</f>
        <v>0</v>
      </c>
      <c r="Q232" s="96">
        <f xml:space="preserve"> Time!Q$51</f>
        <v>0</v>
      </c>
      <c r="R232" s="96">
        <f xml:space="preserve"> Time!R$51</f>
        <v>0</v>
      </c>
      <c r="S232" s="96">
        <f xml:space="preserve"> Time!S$51</f>
        <v>0</v>
      </c>
      <c r="T232" s="96">
        <f xml:space="preserve"> Time!T$51</f>
        <v>1</v>
      </c>
      <c r="U232" s="96">
        <f xml:space="preserve"> Time!U$51</f>
        <v>0</v>
      </c>
      <c r="V232" s="96">
        <f xml:space="preserve"> Time!V$51</f>
        <v>0</v>
      </c>
      <c r="W232" s="96">
        <f xml:space="preserve"> Time!W$51</f>
        <v>0</v>
      </c>
    </row>
    <row r="233" spans="1:23" ht="12.75" customHeight="1" outlineLevel="1">
      <c r="A233" s="61"/>
      <c r="C233" s="108"/>
      <c r="E233" s="72" t="s">
        <v>352</v>
      </c>
      <c r="G233" s="55" t="s">
        <v>77</v>
      </c>
      <c r="H233" s="92">
        <f xml:space="preserve"> SUM(J233:W233)</f>
        <v>-19.261502238203974</v>
      </c>
      <c r="J233" s="92">
        <f t="shared" ref="J233:W233" si="86" xml:space="preserve"> IF(J232 = 1, I231 * J230 * (1 + $F229), 0)</f>
        <v>0</v>
      </c>
      <c r="K233" s="92">
        <f t="shared" si="86"/>
        <v>0</v>
      </c>
      <c r="L233" s="92">
        <f t="shared" si="86"/>
        <v>0</v>
      </c>
      <c r="M233" s="92">
        <f t="shared" si="86"/>
        <v>0</v>
      </c>
      <c r="N233" s="92">
        <f t="shared" si="86"/>
        <v>0</v>
      </c>
      <c r="O233" s="92">
        <f t="shared" si="86"/>
        <v>0</v>
      </c>
      <c r="P233" s="92">
        <f t="shared" si="86"/>
        <v>0</v>
      </c>
      <c r="Q233" s="92">
        <f t="shared" si="86"/>
        <v>0</v>
      </c>
      <c r="R233" s="92">
        <f t="shared" si="86"/>
        <v>0</v>
      </c>
      <c r="S233" s="92">
        <f t="shared" si="86"/>
        <v>0</v>
      </c>
      <c r="T233" s="92">
        <f t="shared" si="86"/>
        <v>-19.261502238203974</v>
      </c>
      <c r="U233" s="92">
        <f t="shared" si="86"/>
        <v>0</v>
      </c>
      <c r="V233" s="92">
        <f t="shared" si="86"/>
        <v>0</v>
      </c>
      <c r="W233" s="92">
        <f t="shared" si="86"/>
        <v>0</v>
      </c>
    </row>
    <row r="234" spans="1:23" ht="12.75" customHeight="1" outlineLevel="1">
      <c r="A234" s="61"/>
      <c r="C234" s="108"/>
      <c r="E234" s="72"/>
      <c r="H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</row>
    <row r="235" spans="1:23" ht="12.75" customHeight="1" outlineLevel="1">
      <c r="A235" s="61"/>
      <c r="C235" s="108"/>
      <c r="E235" s="34" t="str">
        <f xml:space="preserve"> Inputs!E$63</f>
        <v>Discount rate</v>
      </c>
      <c r="F235" s="34">
        <f xml:space="preserve"> Inputs!F$63</f>
        <v>2.92E-2</v>
      </c>
      <c r="G235" s="34" t="str">
        <f xml:space="preserve"> Inputs!G$63</f>
        <v>%</v>
      </c>
      <c r="H235" s="34">
        <f xml:space="preserve"> Inputs!H$63</f>
        <v>0</v>
      </c>
      <c r="I235" s="34">
        <f xml:space="preserve"> Inputs!I$63</f>
        <v>0</v>
      </c>
      <c r="J235" s="34">
        <f xml:space="preserve"> Inputs!J$63</f>
        <v>0</v>
      </c>
      <c r="K235" s="34">
        <f xml:space="preserve"> Inputs!K$63</f>
        <v>0</v>
      </c>
      <c r="L235" s="34">
        <f xml:space="preserve"> Inputs!L$63</f>
        <v>0</v>
      </c>
      <c r="M235" s="34">
        <f xml:space="preserve"> Inputs!M$63</f>
        <v>0</v>
      </c>
      <c r="N235" s="34">
        <f xml:space="preserve"> Inputs!N$63</f>
        <v>0</v>
      </c>
      <c r="O235" s="34">
        <f xml:space="preserve"> Inputs!O$63</f>
        <v>0</v>
      </c>
      <c r="P235" s="34">
        <f xml:space="preserve"> Inputs!P$63</f>
        <v>0</v>
      </c>
      <c r="Q235" s="34">
        <f xml:space="preserve"> Inputs!Q$63</f>
        <v>0</v>
      </c>
      <c r="R235" s="34">
        <f xml:space="preserve"> Inputs!R$63</f>
        <v>0</v>
      </c>
      <c r="S235" s="34">
        <f xml:space="preserve"> Inputs!S$63</f>
        <v>0</v>
      </c>
      <c r="T235" s="34">
        <f xml:space="preserve"> Inputs!T$63</f>
        <v>0</v>
      </c>
      <c r="U235" s="34">
        <f xml:space="preserve"> Inputs!U$63</f>
        <v>0</v>
      </c>
      <c r="V235" s="34">
        <f xml:space="preserve"> Inputs!V$63</f>
        <v>0</v>
      </c>
      <c r="W235" s="34">
        <f xml:space="preserve"> Inputs!W$63</f>
        <v>0</v>
      </c>
    </row>
    <row r="236" spans="1:23" ht="12.75" customHeight="1" outlineLevel="1">
      <c r="A236" s="61"/>
      <c r="C236" s="108"/>
      <c r="E236" s="34" t="str">
        <f xml:space="preserve"> 'Indices and K factor'!E$11</f>
        <v>CPIH: Nov % increase (prior year) - CALC</v>
      </c>
      <c r="F236" s="34">
        <f xml:space="preserve"> 'Indices and K factor'!F$11</f>
        <v>0</v>
      </c>
      <c r="G236" s="34" t="str">
        <f xml:space="preserve"> 'Indices and K factor'!G$11</f>
        <v>%</v>
      </c>
      <c r="H236" s="34">
        <f xml:space="preserve"> 'Indices and K factor'!H$11</f>
        <v>0</v>
      </c>
      <c r="I236" s="34">
        <f xml:space="preserve"> 'Indices and K factor'!I$11</f>
        <v>0</v>
      </c>
      <c r="J236" s="34">
        <f xml:space="preserve"> 'Indices and K factor'!J$11</f>
        <v>0</v>
      </c>
      <c r="K236" s="34">
        <f xml:space="preserve"> 'Indices and K factor'!K$11</f>
        <v>0</v>
      </c>
      <c r="L236" s="34">
        <f xml:space="preserve"> 'Indices and K factor'!L$11</f>
        <v>1.0040040040040039</v>
      </c>
      <c r="M236" s="34">
        <f xml:space="preserve"> 'Indices and K factor'!M$11</f>
        <v>1.0149551345962113</v>
      </c>
      <c r="N236" s="34">
        <f xml:space="preserve"> 'Indices and K factor'!N$11</f>
        <v>1.0284872298624754</v>
      </c>
      <c r="O236" s="34">
        <f xml:space="preserve"> 'Indices and K factor'!O$11</f>
        <v>1.0210124164278893</v>
      </c>
      <c r="P236" s="34">
        <f xml:space="preserve"> 'Indices and K factor'!P$11</f>
        <v>1.0149672591206735</v>
      </c>
      <c r="Q236" s="34">
        <f xml:space="preserve"> 'Indices and K factor'!Q$11</f>
        <v>1.0055299539170506</v>
      </c>
      <c r="R236" s="34">
        <f xml:space="preserve"> 'Indices and K factor'!R$11</f>
        <v>1.0458295142071494</v>
      </c>
      <c r="S236" s="34">
        <f xml:space="preserve"> 'Indices and K factor'!S$11</f>
        <v>1.0937773882559159</v>
      </c>
      <c r="T236" s="34">
        <f xml:space="preserve"> 'Indices and K factor'!T$11</f>
        <v>1.0416666666666667</v>
      </c>
      <c r="U236" s="34">
        <f xml:space="preserve"> 'Indices and K factor'!U$11</f>
        <v>1.0253846153846156</v>
      </c>
      <c r="V236" s="34">
        <f xml:space="preserve"> 'Indices and K factor'!V$11</f>
        <v>1.02</v>
      </c>
      <c r="W236" s="34">
        <f xml:space="preserve"> 'Indices and K factor'!W$11</f>
        <v>1.02</v>
      </c>
    </row>
    <row r="237" spans="1:23" ht="12.75" customHeight="1" outlineLevel="1">
      <c r="A237" s="61"/>
      <c r="C237" s="108"/>
      <c r="E237" s="167" t="str">
        <f t="shared" ref="E237:W237" si="87" xml:space="preserve"> E$227</f>
        <v>Penalty adjustment - Water-N+</v>
      </c>
      <c r="F237" s="167">
        <f t="shared" si="87"/>
        <v>0</v>
      </c>
      <c r="G237" s="167" t="str">
        <f t="shared" si="87"/>
        <v>£m</v>
      </c>
      <c r="H237" s="167">
        <f t="shared" si="87"/>
        <v>-0.55383280647256716</v>
      </c>
      <c r="I237" s="167">
        <f t="shared" si="87"/>
        <v>0</v>
      </c>
      <c r="J237" s="92">
        <f t="shared" si="87"/>
        <v>0</v>
      </c>
      <c r="K237" s="92">
        <f t="shared" si="87"/>
        <v>0</v>
      </c>
      <c r="L237" s="92">
        <f t="shared" si="87"/>
        <v>0</v>
      </c>
      <c r="M237" s="92">
        <f t="shared" si="87"/>
        <v>0</v>
      </c>
      <c r="N237" s="92">
        <f t="shared" si="87"/>
        <v>0</v>
      </c>
      <c r="O237" s="92">
        <f t="shared" si="87"/>
        <v>0</v>
      </c>
      <c r="P237" s="92">
        <f t="shared" si="87"/>
        <v>0</v>
      </c>
      <c r="Q237" s="92">
        <f t="shared" si="87"/>
        <v>0</v>
      </c>
      <c r="R237" s="92">
        <f t="shared" si="87"/>
        <v>-7.5490129394696157E-3</v>
      </c>
      <c r="S237" s="92">
        <f t="shared" si="87"/>
        <v>-0.54628379353309753</v>
      </c>
      <c r="T237" s="92">
        <f t="shared" si="87"/>
        <v>0</v>
      </c>
      <c r="U237" s="92">
        <f t="shared" si="87"/>
        <v>0</v>
      </c>
      <c r="V237" s="92">
        <f t="shared" si="87"/>
        <v>0</v>
      </c>
      <c r="W237" s="92">
        <f t="shared" si="87"/>
        <v>0</v>
      </c>
    </row>
    <row r="238" spans="1:23" ht="12.75" customHeight="1" outlineLevel="1">
      <c r="A238" s="61"/>
      <c r="C238" s="108"/>
      <c r="E238" s="96" t="str">
        <f xml:space="preserve"> Time!E$51</f>
        <v>Forecast end period flag</v>
      </c>
      <c r="F238" s="96">
        <f xml:space="preserve"> Time!F$51</f>
        <v>0</v>
      </c>
      <c r="G238" s="96" t="str">
        <f xml:space="preserve"> Time!G$51</f>
        <v>flag</v>
      </c>
      <c r="H238" s="96">
        <f xml:space="preserve"> Time!H$51</f>
        <v>1</v>
      </c>
      <c r="I238" s="96">
        <f xml:space="preserve"> Time!I$51</f>
        <v>0</v>
      </c>
      <c r="J238" s="96">
        <f xml:space="preserve"> Time!J$51</f>
        <v>0</v>
      </c>
      <c r="K238" s="96">
        <f xml:space="preserve"> Time!K$51</f>
        <v>0</v>
      </c>
      <c r="L238" s="96">
        <f xml:space="preserve"> Time!L$51</f>
        <v>0</v>
      </c>
      <c r="M238" s="96">
        <f xml:space="preserve"> Time!M$51</f>
        <v>0</v>
      </c>
      <c r="N238" s="96">
        <f xml:space="preserve"> Time!N$51</f>
        <v>0</v>
      </c>
      <c r="O238" s="96">
        <f xml:space="preserve"> Time!O$51</f>
        <v>0</v>
      </c>
      <c r="P238" s="96">
        <f xml:space="preserve"> Time!P$51</f>
        <v>0</v>
      </c>
      <c r="Q238" s="96">
        <f xml:space="preserve"> Time!Q$51</f>
        <v>0</v>
      </c>
      <c r="R238" s="96">
        <f xml:space="preserve"> Time!R$51</f>
        <v>0</v>
      </c>
      <c r="S238" s="96">
        <f xml:space="preserve"> Time!S$51</f>
        <v>0</v>
      </c>
      <c r="T238" s="96">
        <f xml:space="preserve"> Time!T$51</f>
        <v>1</v>
      </c>
      <c r="U238" s="96">
        <f xml:space="preserve"> Time!U$51</f>
        <v>0</v>
      </c>
      <c r="V238" s="96">
        <f xml:space="preserve"> Time!V$51</f>
        <v>0</v>
      </c>
      <c r="W238" s="96">
        <f xml:space="preserve"> Time!W$51</f>
        <v>0</v>
      </c>
    </row>
    <row r="239" spans="1:23" ht="12.75" customHeight="1" outlineLevel="1">
      <c r="A239" s="61"/>
      <c r="C239" s="108"/>
      <c r="E239" s="127" t="s">
        <v>353</v>
      </c>
      <c r="G239" s="55" t="s">
        <v>77</v>
      </c>
      <c r="H239" s="92">
        <f xml:space="preserve"> SUM(J239:W239)</f>
        <v>-0.58566175031694168</v>
      </c>
      <c r="J239" s="199">
        <f xml:space="preserve"> J238 * ( I237 * J236 * (1 + $F235) )</f>
        <v>0</v>
      </c>
      <c r="K239" s="199">
        <f t="shared" ref="K239:W239" si="88" xml:space="preserve"> K238 * ( J237 * K236 * (1 + $F235) )</f>
        <v>0</v>
      </c>
      <c r="L239" s="199">
        <f t="shared" si="88"/>
        <v>0</v>
      </c>
      <c r="M239" s="199">
        <f t="shared" si="88"/>
        <v>0</v>
      </c>
      <c r="N239" s="199">
        <f t="shared" si="88"/>
        <v>0</v>
      </c>
      <c r="O239" s="199">
        <f t="shared" si="88"/>
        <v>0</v>
      </c>
      <c r="P239" s="199">
        <f t="shared" si="88"/>
        <v>0</v>
      </c>
      <c r="Q239" s="199">
        <f t="shared" si="88"/>
        <v>0</v>
      </c>
      <c r="R239" s="199">
        <f t="shared" si="88"/>
        <v>0</v>
      </c>
      <c r="S239" s="199">
        <f t="shared" si="88"/>
        <v>0</v>
      </c>
      <c r="T239" s="199">
        <f t="shared" si="88"/>
        <v>-0.58566175031694168</v>
      </c>
      <c r="U239" s="199">
        <f t="shared" si="88"/>
        <v>0</v>
      </c>
      <c r="V239" s="199">
        <f t="shared" si="88"/>
        <v>0</v>
      </c>
      <c r="W239" s="199">
        <f t="shared" si="88"/>
        <v>0</v>
      </c>
    </row>
    <row r="240" spans="1:23" ht="12.75" customHeight="1" outlineLevel="1">
      <c r="A240" s="61"/>
      <c r="C240" s="108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</row>
    <row r="241" spans="1:23" ht="12.75" customHeight="1" outlineLevel="1">
      <c r="A241" s="61"/>
      <c r="C241" s="108"/>
      <c r="E241" s="99" t="str">
        <f t="shared" ref="E241:W241" si="89" xml:space="preserve"> E$233</f>
        <v>Value of year 4 main revenue adjustment at the end of AMP7 - Water-N+</v>
      </c>
      <c r="F241" s="55">
        <f t="shared" si="89"/>
        <v>0</v>
      </c>
      <c r="G241" s="55" t="str">
        <f t="shared" si="89"/>
        <v>£m</v>
      </c>
      <c r="H241" s="92">
        <f t="shared" si="89"/>
        <v>-19.261502238203974</v>
      </c>
      <c r="I241" s="55">
        <f t="shared" si="89"/>
        <v>0</v>
      </c>
      <c r="J241" s="313">
        <f t="shared" si="89"/>
        <v>0</v>
      </c>
      <c r="K241" s="313">
        <f t="shared" si="89"/>
        <v>0</v>
      </c>
      <c r="L241" s="313">
        <f t="shared" si="89"/>
        <v>0</v>
      </c>
      <c r="M241" s="313">
        <f t="shared" si="89"/>
        <v>0</v>
      </c>
      <c r="N241" s="313">
        <f t="shared" si="89"/>
        <v>0</v>
      </c>
      <c r="O241" s="313">
        <f t="shared" si="89"/>
        <v>0</v>
      </c>
      <c r="P241" s="313">
        <f t="shared" si="89"/>
        <v>0</v>
      </c>
      <c r="Q241" s="313">
        <f t="shared" si="89"/>
        <v>0</v>
      </c>
      <c r="R241" s="313">
        <f t="shared" si="89"/>
        <v>0</v>
      </c>
      <c r="S241" s="313">
        <f t="shared" si="89"/>
        <v>0</v>
      </c>
      <c r="T241" s="313">
        <f t="shared" si="89"/>
        <v>-19.261502238203974</v>
      </c>
      <c r="U241" s="313">
        <f t="shared" si="89"/>
        <v>0</v>
      </c>
      <c r="V241" s="313">
        <f t="shared" si="89"/>
        <v>0</v>
      </c>
      <c r="W241" s="313">
        <f t="shared" si="89"/>
        <v>0</v>
      </c>
    </row>
    <row r="242" spans="1:23" ht="12.75" customHeight="1" outlineLevel="1">
      <c r="A242" s="61"/>
      <c r="C242" s="108"/>
      <c r="E242" s="99" t="str">
        <f t="shared" ref="E242:W242" si="90" xml:space="preserve"> E$239</f>
        <v>Value of year 4 penalty adjustment at the end of AMP7 - Water-N+</v>
      </c>
      <c r="F242" s="55">
        <f t="shared" si="90"/>
        <v>0</v>
      </c>
      <c r="G242" s="55" t="str">
        <f t="shared" si="90"/>
        <v>£m</v>
      </c>
      <c r="H242" s="92">
        <f t="shared" si="90"/>
        <v>-0.58566175031694168</v>
      </c>
      <c r="I242" s="55">
        <f t="shared" si="90"/>
        <v>0</v>
      </c>
      <c r="J242" s="199">
        <f t="shared" si="90"/>
        <v>0</v>
      </c>
      <c r="K242" s="199">
        <f t="shared" si="90"/>
        <v>0</v>
      </c>
      <c r="L242" s="199">
        <f t="shared" si="90"/>
        <v>0</v>
      </c>
      <c r="M242" s="199">
        <f t="shared" si="90"/>
        <v>0</v>
      </c>
      <c r="N242" s="199">
        <f t="shared" si="90"/>
        <v>0</v>
      </c>
      <c r="O242" s="199">
        <f t="shared" si="90"/>
        <v>0</v>
      </c>
      <c r="P242" s="199">
        <f t="shared" si="90"/>
        <v>0</v>
      </c>
      <c r="Q242" s="199">
        <f t="shared" si="90"/>
        <v>0</v>
      </c>
      <c r="R242" s="199">
        <f t="shared" si="90"/>
        <v>0</v>
      </c>
      <c r="S242" s="199">
        <f t="shared" si="90"/>
        <v>0</v>
      </c>
      <c r="T242" s="199">
        <f t="shared" si="90"/>
        <v>-0.58566175031694168</v>
      </c>
      <c r="U242" s="199">
        <f t="shared" si="90"/>
        <v>0</v>
      </c>
      <c r="V242" s="199">
        <f t="shared" si="90"/>
        <v>0</v>
      </c>
      <c r="W242" s="199">
        <f t="shared" si="90"/>
        <v>0</v>
      </c>
    </row>
    <row r="243" spans="1:23" s="5" customFormat="1" ht="12.75" customHeight="1" outlineLevel="1" thickBot="1">
      <c r="A243" s="62"/>
      <c r="B243" s="62"/>
      <c r="C243" s="60"/>
      <c r="D243" s="157"/>
      <c r="E243" s="284" t="s">
        <v>354</v>
      </c>
      <c r="F243" s="284"/>
      <c r="G243" s="284" t="s">
        <v>77</v>
      </c>
      <c r="H243" s="284">
        <f xml:space="preserve"> SUM(J243:W243)</f>
        <v>-19.847163988520915</v>
      </c>
      <c r="I243" s="284"/>
      <c r="J243" s="284">
        <f xml:space="preserve"> J241 + J242</f>
        <v>0</v>
      </c>
      <c r="K243" s="284">
        <f t="shared" ref="K243:W243" si="91" xml:space="preserve"> K241 + K242</f>
        <v>0</v>
      </c>
      <c r="L243" s="284">
        <f t="shared" si="91"/>
        <v>0</v>
      </c>
      <c r="M243" s="284">
        <f t="shared" si="91"/>
        <v>0</v>
      </c>
      <c r="N243" s="284">
        <f t="shared" si="91"/>
        <v>0</v>
      </c>
      <c r="O243" s="284">
        <f t="shared" si="91"/>
        <v>0</v>
      </c>
      <c r="P243" s="284">
        <f t="shared" si="91"/>
        <v>0</v>
      </c>
      <c r="Q243" s="284">
        <f t="shared" si="91"/>
        <v>0</v>
      </c>
      <c r="R243" s="284">
        <f t="shared" si="91"/>
        <v>0</v>
      </c>
      <c r="S243" s="284">
        <f t="shared" si="91"/>
        <v>0</v>
      </c>
      <c r="T243" s="284">
        <f t="shared" si="91"/>
        <v>-19.847163988520915</v>
      </c>
      <c r="U243" s="284">
        <f t="shared" si="91"/>
        <v>0</v>
      </c>
      <c r="V243" s="284">
        <f t="shared" si="91"/>
        <v>0</v>
      </c>
      <c r="W243" s="284">
        <f t="shared" si="91"/>
        <v>0</v>
      </c>
    </row>
    <row r="244" spans="1:23" s="257" customFormat="1" ht="12.75" customHeight="1" outlineLevel="1" thickTop="1">
      <c r="A244" s="251"/>
      <c r="B244" s="251"/>
      <c r="C244" s="252"/>
      <c r="D244" s="253"/>
      <c r="E244" s="248"/>
      <c r="F244" s="254"/>
      <c r="G244" s="254"/>
      <c r="H244" s="255"/>
      <c r="I244" s="2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</row>
    <row r="245" spans="1:23" ht="12.75" customHeight="1" outlineLevel="1">
      <c r="A245" s="61"/>
      <c r="B245" s="61" t="s">
        <v>355</v>
      </c>
      <c r="C245" s="108"/>
      <c r="E245" s="72"/>
    </row>
    <row r="246" spans="1:23" ht="12.75" customHeight="1" outlineLevel="1">
      <c r="A246" s="61"/>
      <c r="C246" s="108"/>
      <c r="E246" s="72"/>
    </row>
    <row r="247" spans="1:23" ht="12.75" customHeight="1" outlineLevel="1">
      <c r="A247" s="61"/>
      <c r="C247" s="108"/>
      <c r="E247" s="204" t="str">
        <f t="shared" ref="E247:W247" si="92" xml:space="preserve"> E$165</f>
        <v>Penalty adjustment - Wholesale Water</v>
      </c>
      <c r="F247" s="204">
        <f t="shared" si="92"/>
        <v>0</v>
      </c>
      <c r="G247" s="204" t="str">
        <f t="shared" si="92"/>
        <v>£m</v>
      </c>
      <c r="H247" s="204">
        <f t="shared" si="92"/>
        <v>-0.98913111871761372</v>
      </c>
      <c r="I247" s="204">
        <f t="shared" si="92"/>
        <v>0</v>
      </c>
      <c r="J247" s="204">
        <f t="shared" si="92"/>
        <v>0</v>
      </c>
      <c r="K247" s="204">
        <f t="shared" si="92"/>
        <v>0</v>
      </c>
      <c r="L247" s="204">
        <f t="shared" si="92"/>
        <v>0</v>
      </c>
      <c r="M247" s="204">
        <f t="shared" si="92"/>
        <v>0</v>
      </c>
      <c r="N247" s="204">
        <f t="shared" si="92"/>
        <v>0</v>
      </c>
      <c r="O247" s="204">
        <f t="shared" si="92"/>
        <v>0</v>
      </c>
      <c r="P247" s="204">
        <f t="shared" si="92"/>
        <v>-4.7545125821362638E-2</v>
      </c>
      <c r="Q247" s="204">
        <f t="shared" si="92"/>
        <v>0</v>
      </c>
      <c r="R247" s="204">
        <f t="shared" si="92"/>
        <v>-1.5580148564202419E-2</v>
      </c>
      <c r="S247" s="204">
        <f t="shared" si="92"/>
        <v>-0.92600584433204869</v>
      </c>
      <c r="T247" s="204">
        <f t="shared" si="92"/>
        <v>0</v>
      </c>
      <c r="U247" s="204">
        <f t="shared" si="92"/>
        <v>0</v>
      </c>
      <c r="V247" s="204">
        <f t="shared" si="92"/>
        <v>0</v>
      </c>
      <c r="W247" s="204">
        <f t="shared" si="92"/>
        <v>0</v>
      </c>
    </row>
    <row r="248" spans="1:23" ht="12.75" customHeight="1" outlineLevel="1">
      <c r="A248" s="61"/>
      <c r="C248" s="108"/>
      <c r="E248" s="204" t="str">
        <f xml:space="preserve"> E$189</f>
        <v>Proportion of penalty allocated to Water Res</v>
      </c>
      <c r="F248" s="204">
        <f t="shared" ref="F248:W248" si="93" xml:space="preserve"> F$189</f>
        <v>0</v>
      </c>
      <c r="G248" s="204" t="str">
        <f t="shared" si="93"/>
        <v>%</v>
      </c>
      <c r="H248" s="204">
        <f t="shared" si="93"/>
        <v>0</v>
      </c>
      <c r="I248" s="204">
        <f t="shared" si="93"/>
        <v>0</v>
      </c>
      <c r="J248" s="37">
        <f t="shared" si="93"/>
        <v>0</v>
      </c>
      <c r="K248" s="37">
        <f t="shared" si="93"/>
        <v>0</v>
      </c>
      <c r="L248" s="37">
        <f t="shared" si="93"/>
        <v>0</v>
      </c>
      <c r="M248" s="37">
        <f t="shared" si="93"/>
        <v>0</v>
      </c>
      <c r="N248" s="37">
        <f t="shared" si="93"/>
        <v>0</v>
      </c>
      <c r="O248" s="37">
        <f t="shared" si="93"/>
        <v>0</v>
      </c>
      <c r="P248" s="37">
        <f t="shared" si="93"/>
        <v>1</v>
      </c>
      <c r="Q248" s="37">
        <f t="shared" si="93"/>
        <v>1</v>
      </c>
      <c r="R248" s="37">
        <f t="shared" si="93"/>
        <v>0.51547233915249469</v>
      </c>
      <c r="S248" s="37">
        <f t="shared" si="93"/>
        <v>0.41006442143230126</v>
      </c>
      <c r="T248" s="37">
        <f t="shared" si="93"/>
        <v>1</v>
      </c>
      <c r="U248" s="37">
        <f t="shared" si="93"/>
        <v>0</v>
      </c>
      <c r="V248" s="37">
        <f t="shared" si="93"/>
        <v>0</v>
      </c>
      <c r="W248" s="37">
        <f t="shared" si="93"/>
        <v>0</v>
      </c>
    </row>
    <row r="249" spans="1:23" ht="12.75" customHeight="1" outlineLevel="1">
      <c r="A249" s="61"/>
      <c r="C249" s="108"/>
      <c r="E249" s="204" t="s">
        <v>356</v>
      </c>
      <c r="F249" s="204"/>
      <c r="G249" s="204" t="s">
        <v>77</v>
      </c>
      <c r="H249" s="204"/>
      <c r="I249" s="204"/>
      <c r="J249" s="42">
        <f xml:space="preserve"> J247 * J248</f>
        <v>0</v>
      </c>
      <c r="K249" s="42">
        <f t="shared" ref="K249:S249" si="94" xml:space="preserve"> K247 * K248</f>
        <v>0</v>
      </c>
      <c r="L249" s="42">
        <f t="shared" si="94"/>
        <v>0</v>
      </c>
      <c r="M249" s="42">
        <f t="shared" si="94"/>
        <v>0</v>
      </c>
      <c r="N249" s="42">
        <f t="shared" si="94"/>
        <v>0</v>
      </c>
      <c r="O249" s="42">
        <f t="shared" si="94"/>
        <v>0</v>
      </c>
      <c r="P249" s="42">
        <f t="shared" si="94"/>
        <v>-4.7545125821362638E-2</v>
      </c>
      <c r="Q249" s="42">
        <f t="shared" si="94"/>
        <v>0</v>
      </c>
      <c r="R249" s="42">
        <f t="shared" si="94"/>
        <v>-8.031135624732802E-3</v>
      </c>
      <c r="S249" s="42">
        <f t="shared" si="94"/>
        <v>-0.37972205079895116</v>
      </c>
      <c r="T249" s="42">
        <f xml:space="preserve"> T247 * T248</f>
        <v>0</v>
      </c>
      <c r="U249" s="42">
        <f xml:space="preserve"> U247 * U248</f>
        <v>0</v>
      </c>
      <c r="V249" s="42">
        <f xml:space="preserve"> V247 * V248</f>
        <v>0</v>
      </c>
      <c r="W249" s="42">
        <f xml:space="preserve"> W247 * W248</f>
        <v>0</v>
      </c>
    </row>
    <row r="250" spans="1:23" ht="12.75" customHeight="1" outlineLevel="1">
      <c r="A250" s="61"/>
      <c r="C250" s="108"/>
      <c r="E250" s="204"/>
      <c r="F250" s="204"/>
      <c r="G250" s="204"/>
      <c r="H250" s="204"/>
      <c r="I250" s="204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</row>
    <row r="251" spans="1:23" ht="12.75" customHeight="1" outlineLevel="1">
      <c r="E251" s="34" t="str">
        <f xml:space="preserve"> Inputs!E$63</f>
        <v>Discount rate</v>
      </c>
      <c r="F251" s="34">
        <f xml:space="preserve"> Inputs!F$63</f>
        <v>2.92E-2</v>
      </c>
      <c r="G251" s="34" t="str">
        <f xml:space="preserve"> Inputs!G$63</f>
        <v>%</v>
      </c>
      <c r="H251" s="34">
        <f xml:space="preserve"> Inputs!H$63</f>
        <v>0</v>
      </c>
      <c r="I251" s="34">
        <f xml:space="preserve"> Inputs!I$63</f>
        <v>0</v>
      </c>
      <c r="J251" s="34">
        <f xml:space="preserve"> Inputs!J$63</f>
        <v>0</v>
      </c>
      <c r="K251" s="34">
        <f xml:space="preserve"> Inputs!K$63</f>
        <v>0</v>
      </c>
      <c r="L251" s="34">
        <f xml:space="preserve"> Inputs!L$63</f>
        <v>0</v>
      </c>
      <c r="M251" s="34">
        <f xml:space="preserve"> Inputs!M$63</f>
        <v>0</v>
      </c>
      <c r="N251" s="34">
        <f xml:space="preserve"> Inputs!N$63</f>
        <v>0</v>
      </c>
      <c r="O251" s="34">
        <f xml:space="preserve"> Inputs!O$63</f>
        <v>0</v>
      </c>
      <c r="P251" s="34">
        <f xml:space="preserve"> Inputs!P$63</f>
        <v>0</v>
      </c>
      <c r="Q251" s="34">
        <f xml:space="preserve"> Inputs!Q$63</f>
        <v>0</v>
      </c>
      <c r="R251" s="34">
        <f xml:space="preserve"> Inputs!R$63</f>
        <v>0</v>
      </c>
      <c r="S251" s="34">
        <f xml:space="preserve"> Inputs!S$63</f>
        <v>0</v>
      </c>
      <c r="T251" s="34">
        <f xml:space="preserve"> Inputs!T$63</f>
        <v>0</v>
      </c>
      <c r="U251" s="34">
        <f xml:space="preserve"> Inputs!U$63</f>
        <v>0</v>
      </c>
      <c r="V251" s="34">
        <f xml:space="preserve"> Inputs!V$63</f>
        <v>0</v>
      </c>
      <c r="W251" s="34">
        <f xml:space="preserve"> Inputs!W$63</f>
        <v>0</v>
      </c>
    </row>
    <row r="252" spans="1:23" ht="12.75" customHeight="1" outlineLevel="1">
      <c r="A252" s="61"/>
      <c r="C252" s="108"/>
      <c r="E252" s="34" t="str">
        <f xml:space="preserve"> 'Indices and K factor'!E$11</f>
        <v>CPIH: Nov % increase (prior year) - CALC</v>
      </c>
      <c r="F252" s="34">
        <f xml:space="preserve"> 'Indices and K factor'!F$11</f>
        <v>0</v>
      </c>
      <c r="G252" s="34" t="str">
        <f xml:space="preserve"> 'Indices and K factor'!G$11</f>
        <v>%</v>
      </c>
      <c r="H252" s="34">
        <f xml:space="preserve"> 'Indices and K factor'!H$11</f>
        <v>0</v>
      </c>
      <c r="I252" s="34">
        <f xml:space="preserve"> 'Indices and K factor'!I$11</f>
        <v>0</v>
      </c>
      <c r="J252" s="34">
        <f xml:space="preserve"> 'Indices and K factor'!J$11</f>
        <v>0</v>
      </c>
      <c r="K252" s="34">
        <f xml:space="preserve"> 'Indices and K factor'!K$11</f>
        <v>0</v>
      </c>
      <c r="L252" s="34">
        <f xml:space="preserve"> 'Indices and K factor'!L$11</f>
        <v>1.0040040040040039</v>
      </c>
      <c r="M252" s="34">
        <f xml:space="preserve"> 'Indices and K factor'!M$11</f>
        <v>1.0149551345962113</v>
      </c>
      <c r="N252" s="34">
        <f xml:space="preserve"> 'Indices and K factor'!N$11</f>
        <v>1.0284872298624754</v>
      </c>
      <c r="O252" s="34">
        <f xml:space="preserve"> 'Indices and K factor'!O$11</f>
        <v>1.0210124164278893</v>
      </c>
      <c r="P252" s="34">
        <f xml:space="preserve"> 'Indices and K factor'!P$11</f>
        <v>1.0149672591206735</v>
      </c>
      <c r="Q252" s="34">
        <f xml:space="preserve"> 'Indices and K factor'!Q$11</f>
        <v>1.0055299539170506</v>
      </c>
      <c r="R252" s="34">
        <f xml:space="preserve"> 'Indices and K factor'!R$11</f>
        <v>1.0458295142071494</v>
      </c>
      <c r="S252" s="34">
        <f xml:space="preserve"> 'Indices and K factor'!S$11</f>
        <v>1.0937773882559159</v>
      </c>
      <c r="T252" s="34">
        <f xml:space="preserve"> 'Indices and K factor'!T$11</f>
        <v>1.0416666666666667</v>
      </c>
      <c r="U252" s="34">
        <f xml:space="preserve"> 'Indices and K factor'!U$11</f>
        <v>1.0253846153846156</v>
      </c>
      <c r="V252" s="34">
        <f xml:space="preserve"> 'Indices and K factor'!V$11</f>
        <v>1.02</v>
      </c>
      <c r="W252" s="34">
        <f xml:space="preserve"> 'Indices and K factor'!W$11</f>
        <v>1.02</v>
      </c>
    </row>
    <row r="253" spans="1:23" s="279" customFormat="1" ht="12.75" customHeight="1" outlineLevel="1">
      <c r="A253" s="181"/>
      <c r="B253" s="181"/>
      <c r="C253" s="182"/>
      <c r="D253" s="157"/>
      <c r="E253" s="209" t="str">
        <f xml:space="preserve"> E$95</f>
        <v>Revenue Imbalance - Water Res</v>
      </c>
      <c r="F253" s="209">
        <f t="shared" ref="F253:W253" si="95" xml:space="preserve"> F$95</f>
        <v>0</v>
      </c>
      <c r="G253" s="209" t="str">
        <f t="shared" si="95"/>
        <v>£m</v>
      </c>
      <c r="H253" s="230">
        <f t="shared" si="95"/>
        <v>-24.265953749470626</v>
      </c>
      <c r="I253" s="230">
        <f t="shared" si="95"/>
        <v>0</v>
      </c>
      <c r="J253" s="230">
        <f t="shared" si="95"/>
        <v>0</v>
      </c>
      <c r="K253" s="230">
        <f t="shared" si="95"/>
        <v>0</v>
      </c>
      <c r="L253" s="230">
        <f t="shared" si="95"/>
        <v>0</v>
      </c>
      <c r="M253" s="230">
        <f t="shared" si="95"/>
        <v>0</v>
      </c>
      <c r="N253" s="230">
        <f t="shared" si="95"/>
        <v>0</v>
      </c>
      <c r="O253" s="230">
        <f t="shared" si="95"/>
        <v>0</v>
      </c>
      <c r="P253" s="230">
        <f t="shared" si="95"/>
        <v>-1.2927352666043035</v>
      </c>
      <c r="Q253" s="230">
        <f t="shared" si="95"/>
        <v>-6.5163722956033681</v>
      </c>
      <c r="R253" s="230">
        <f t="shared" si="95"/>
        <v>-3.5562514223921156</v>
      </c>
      <c r="S253" s="230">
        <f t="shared" si="95"/>
        <v>-12.900438869227557</v>
      </c>
      <c r="T253" s="230">
        <f t="shared" si="95"/>
        <v>-1.5589564328166716E-4</v>
      </c>
      <c r="U253" s="230">
        <f t="shared" si="95"/>
        <v>0</v>
      </c>
      <c r="V253" s="230">
        <f t="shared" si="95"/>
        <v>0</v>
      </c>
      <c r="W253" s="230">
        <f t="shared" si="95"/>
        <v>0</v>
      </c>
    </row>
    <row r="254" spans="1:23" s="121" customFormat="1" ht="12.75" customHeight="1" outlineLevel="1">
      <c r="A254" s="164"/>
      <c r="B254" s="164"/>
      <c r="C254" s="165"/>
      <c r="D254" s="73"/>
      <c r="E254" s="91" t="str">
        <f t="shared" ref="E254:W254" si="96" xml:space="preserve"> E$221</f>
        <v>Bilateral entry adjustment (BEA)</v>
      </c>
      <c r="F254" s="91">
        <f t="shared" si="96"/>
        <v>0</v>
      </c>
      <c r="G254" s="91" t="str">
        <f t="shared" si="96"/>
        <v>£m</v>
      </c>
      <c r="H254" s="91">
        <f t="shared" si="96"/>
        <v>0</v>
      </c>
      <c r="I254" s="148">
        <f t="shared" si="96"/>
        <v>0</v>
      </c>
      <c r="J254" s="91">
        <f t="shared" si="96"/>
        <v>0</v>
      </c>
      <c r="K254" s="91">
        <f t="shared" si="96"/>
        <v>0</v>
      </c>
      <c r="L254" s="91">
        <f t="shared" si="96"/>
        <v>0</v>
      </c>
      <c r="M254" s="91">
        <f t="shared" si="96"/>
        <v>0</v>
      </c>
      <c r="N254" s="91">
        <f t="shared" si="96"/>
        <v>0</v>
      </c>
      <c r="O254" s="91">
        <f t="shared" si="96"/>
        <v>0</v>
      </c>
      <c r="P254" s="91">
        <f t="shared" si="96"/>
        <v>0</v>
      </c>
      <c r="Q254" s="91">
        <f t="shared" si="96"/>
        <v>0</v>
      </c>
      <c r="R254" s="91">
        <f t="shared" si="96"/>
        <v>0</v>
      </c>
      <c r="S254" s="91">
        <f t="shared" si="96"/>
        <v>0</v>
      </c>
      <c r="T254" s="91">
        <f t="shared" si="96"/>
        <v>0</v>
      </c>
      <c r="U254" s="91">
        <f t="shared" si="96"/>
        <v>0</v>
      </c>
      <c r="V254" s="91">
        <f t="shared" si="96"/>
        <v>0</v>
      </c>
      <c r="W254" s="91">
        <f t="shared" si="96"/>
        <v>0</v>
      </c>
    </row>
    <row r="255" spans="1:23" s="121" customFormat="1" ht="12.75" customHeight="1" outlineLevel="1">
      <c r="A255" s="164"/>
      <c r="B255" s="164"/>
      <c r="C255" s="165"/>
      <c r="D255" s="73"/>
      <c r="E255" s="96" t="str">
        <f xml:space="preserve"> Time!E$51</f>
        <v>Forecast end period flag</v>
      </c>
      <c r="F255" s="96">
        <f xml:space="preserve"> Time!F$51</f>
        <v>0</v>
      </c>
      <c r="G255" s="96" t="str">
        <f xml:space="preserve"> Time!G$51</f>
        <v>flag</v>
      </c>
      <c r="H255" s="96">
        <f xml:space="preserve"> Time!H$51</f>
        <v>1</v>
      </c>
      <c r="I255" s="96">
        <f xml:space="preserve"> Time!I$51</f>
        <v>0</v>
      </c>
      <c r="J255" s="96">
        <f xml:space="preserve"> Time!J$51</f>
        <v>0</v>
      </c>
      <c r="K255" s="96">
        <f xml:space="preserve"> Time!K$51</f>
        <v>0</v>
      </c>
      <c r="L255" s="96">
        <f xml:space="preserve"> Time!L$51</f>
        <v>0</v>
      </c>
      <c r="M255" s="96">
        <f xml:space="preserve"> Time!M$51</f>
        <v>0</v>
      </c>
      <c r="N255" s="96">
        <f xml:space="preserve"> Time!N$51</f>
        <v>0</v>
      </c>
      <c r="O255" s="96">
        <f xml:space="preserve"> Time!O$51</f>
        <v>0</v>
      </c>
      <c r="P255" s="96">
        <f xml:space="preserve"> Time!P$51</f>
        <v>0</v>
      </c>
      <c r="Q255" s="96">
        <f xml:space="preserve"> Time!Q$51</f>
        <v>0</v>
      </c>
      <c r="R255" s="96">
        <f xml:space="preserve"> Time!R$51</f>
        <v>0</v>
      </c>
      <c r="S255" s="96">
        <f xml:space="preserve"> Time!S$51</f>
        <v>0</v>
      </c>
      <c r="T255" s="96">
        <f xml:space="preserve"> Time!T$51</f>
        <v>1</v>
      </c>
      <c r="U255" s="96">
        <f xml:space="preserve"> Time!U$51</f>
        <v>0</v>
      </c>
      <c r="V255" s="96">
        <f xml:space="preserve"> Time!V$51</f>
        <v>0</v>
      </c>
      <c r="W255" s="96">
        <f xml:space="preserve"> Time!W$51</f>
        <v>0</v>
      </c>
    </row>
    <row r="256" spans="1:23" s="5" customFormat="1" ht="12.75" customHeight="1" outlineLevel="1">
      <c r="A256" s="62"/>
      <c r="B256" s="62"/>
      <c r="C256" s="60"/>
      <c r="D256" s="157"/>
      <c r="E256" s="127" t="s">
        <v>357</v>
      </c>
      <c r="F256" s="99"/>
      <c r="G256" s="99" t="s">
        <v>77</v>
      </c>
      <c r="H256" s="91">
        <f xml:space="preserve"> SUM(J256:W256)</f>
        <v>-13.830345504384377</v>
      </c>
      <c r="I256" s="99"/>
      <c r="J256" s="91">
        <f t="shared" ref="J256:W256" si="97" xml:space="preserve"> IF(J255 = 1, ( I253 + I254 ) * J252 * ( 1 + $F251 ), 0)</f>
        <v>0</v>
      </c>
      <c r="K256" s="91">
        <f t="shared" si="97"/>
        <v>0</v>
      </c>
      <c r="L256" s="91">
        <f t="shared" si="97"/>
        <v>0</v>
      </c>
      <c r="M256" s="91">
        <f t="shared" si="97"/>
        <v>0</v>
      </c>
      <c r="N256" s="91">
        <f t="shared" si="97"/>
        <v>0</v>
      </c>
      <c r="O256" s="91">
        <f t="shared" si="97"/>
        <v>0</v>
      </c>
      <c r="P256" s="91">
        <f t="shared" si="97"/>
        <v>0</v>
      </c>
      <c r="Q256" s="91">
        <f t="shared" si="97"/>
        <v>0</v>
      </c>
      <c r="R256" s="91">
        <f t="shared" si="97"/>
        <v>0</v>
      </c>
      <c r="S256" s="91">
        <f t="shared" si="97"/>
        <v>0</v>
      </c>
      <c r="T256" s="91">
        <f t="shared" si="97"/>
        <v>-13.830345504384377</v>
      </c>
      <c r="U256" s="91">
        <f t="shared" si="97"/>
        <v>0</v>
      </c>
      <c r="V256" s="91">
        <f t="shared" si="97"/>
        <v>0</v>
      </c>
      <c r="W256" s="91">
        <f t="shared" si="97"/>
        <v>0</v>
      </c>
    </row>
    <row r="257" spans="1:23" s="5" customFormat="1" ht="12.75" customHeight="1" outlineLevel="1">
      <c r="A257" s="62"/>
      <c r="B257" s="62"/>
      <c r="C257" s="60"/>
      <c r="D257" s="157"/>
      <c r="E257" s="127"/>
      <c r="F257" s="99"/>
      <c r="G257" s="99"/>
      <c r="H257" s="91"/>
      <c r="I257" s="99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</row>
    <row r="258" spans="1:23" ht="12.75" customHeight="1" outlineLevel="1">
      <c r="E258" s="34" t="str">
        <f xml:space="preserve"> Inputs!E$63</f>
        <v>Discount rate</v>
      </c>
      <c r="F258" s="34">
        <f xml:space="preserve"> Inputs!F$63</f>
        <v>2.92E-2</v>
      </c>
      <c r="G258" s="34" t="str">
        <f xml:space="preserve"> Inputs!G$63</f>
        <v>%</v>
      </c>
      <c r="H258" s="34">
        <f xml:space="preserve"> Inputs!H$63</f>
        <v>0</v>
      </c>
      <c r="I258" s="34">
        <f xml:space="preserve"> Inputs!I$63</f>
        <v>0</v>
      </c>
      <c r="J258" s="34">
        <f xml:space="preserve"> Inputs!J$63</f>
        <v>0</v>
      </c>
      <c r="K258" s="34">
        <f xml:space="preserve"> Inputs!K$63</f>
        <v>0</v>
      </c>
      <c r="L258" s="34">
        <f xml:space="preserve"> Inputs!L$63</f>
        <v>0</v>
      </c>
      <c r="M258" s="34">
        <f xml:space="preserve"> Inputs!M$63</f>
        <v>0</v>
      </c>
      <c r="N258" s="34">
        <f xml:space="preserve"> Inputs!N$63</f>
        <v>0</v>
      </c>
      <c r="O258" s="34">
        <f xml:space="preserve"> Inputs!O$63</f>
        <v>0</v>
      </c>
      <c r="P258" s="34">
        <f xml:space="preserve"> Inputs!P$63</f>
        <v>0</v>
      </c>
      <c r="Q258" s="34">
        <f xml:space="preserve"> Inputs!Q$63</f>
        <v>0</v>
      </c>
      <c r="R258" s="34">
        <f xml:space="preserve"> Inputs!R$63</f>
        <v>0</v>
      </c>
      <c r="S258" s="34">
        <f xml:space="preserve"> Inputs!S$63</f>
        <v>0</v>
      </c>
      <c r="T258" s="34">
        <f xml:space="preserve"> Inputs!T$63</f>
        <v>0</v>
      </c>
      <c r="U258" s="34">
        <f xml:space="preserve"> Inputs!U$63</f>
        <v>0</v>
      </c>
      <c r="V258" s="34">
        <f xml:space="preserve"> Inputs!V$63</f>
        <v>0</v>
      </c>
      <c r="W258" s="34">
        <f xml:space="preserve"> Inputs!W$63</f>
        <v>0</v>
      </c>
    </row>
    <row r="259" spans="1:23" ht="12.75" customHeight="1" outlineLevel="1">
      <c r="A259" s="61"/>
      <c r="C259" s="108"/>
      <c r="E259" s="34" t="str">
        <f xml:space="preserve"> 'Indices and K factor'!E$11</f>
        <v>CPIH: Nov % increase (prior year) - CALC</v>
      </c>
      <c r="F259" s="34">
        <f xml:space="preserve"> 'Indices and K factor'!F$11</f>
        <v>0</v>
      </c>
      <c r="G259" s="34" t="str">
        <f xml:space="preserve"> 'Indices and K factor'!G$11</f>
        <v>%</v>
      </c>
      <c r="H259" s="34">
        <f xml:space="preserve"> 'Indices and K factor'!H$11</f>
        <v>0</v>
      </c>
      <c r="I259" s="34">
        <f xml:space="preserve"> 'Indices and K factor'!I$11</f>
        <v>0</v>
      </c>
      <c r="J259" s="34">
        <f xml:space="preserve"> 'Indices and K factor'!J$11</f>
        <v>0</v>
      </c>
      <c r="K259" s="34">
        <f xml:space="preserve"> 'Indices and K factor'!K$11</f>
        <v>0</v>
      </c>
      <c r="L259" s="34">
        <f xml:space="preserve"> 'Indices and K factor'!L$11</f>
        <v>1.0040040040040039</v>
      </c>
      <c r="M259" s="34">
        <f xml:space="preserve"> 'Indices and K factor'!M$11</f>
        <v>1.0149551345962113</v>
      </c>
      <c r="N259" s="34">
        <f xml:space="preserve"> 'Indices and K factor'!N$11</f>
        <v>1.0284872298624754</v>
      </c>
      <c r="O259" s="34">
        <f xml:space="preserve"> 'Indices and K factor'!O$11</f>
        <v>1.0210124164278893</v>
      </c>
      <c r="P259" s="34">
        <f xml:space="preserve"> 'Indices and K factor'!P$11</f>
        <v>1.0149672591206735</v>
      </c>
      <c r="Q259" s="34">
        <f xml:space="preserve"> 'Indices and K factor'!Q$11</f>
        <v>1.0055299539170506</v>
      </c>
      <c r="R259" s="34">
        <f xml:space="preserve"> 'Indices and K factor'!R$11</f>
        <v>1.0458295142071494</v>
      </c>
      <c r="S259" s="34">
        <f xml:space="preserve"> 'Indices and K factor'!S$11</f>
        <v>1.0937773882559159</v>
      </c>
      <c r="T259" s="34">
        <f xml:space="preserve"> 'Indices and K factor'!T$11</f>
        <v>1.0416666666666667</v>
      </c>
      <c r="U259" s="34">
        <f xml:space="preserve"> 'Indices and K factor'!U$11</f>
        <v>1.0253846153846156</v>
      </c>
      <c r="V259" s="34">
        <f xml:space="preserve"> 'Indices and K factor'!V$11</f>
        <v>1.02</v>
      </c>
      <c r="W259" s="34">
        <f xml:space="preserve"> 'Indices and K factor'!W$11</f>
        <v>1.02</v>
      </c>
    </row>
    <row r="260" spans="1:23" ht="12.75" customHeight="1" outlineLevel="1">
      <c r="A260" s="61"/>
      <c r="C260" s="108"/>
      <c r="E260" s="314" t="str">
        <f t="shared" ref="E260:W260" si="98" xml:space="preserve"> E$249</f>
        <v>Penalty adjustment - Water Res</v>
      </c>
      <c r="F260" s="314">
        <f t="shared" si="98"/>
        <v>0</v>
      </c>
      <c r="G260" s="314" t="str">
        <f t="shared" si="98"/>
        <v>£m</v>
      </c>
      <c r="H260" s="314">
        <f t="shared" si="98"/>
        <v>0</v>
      </c>
      <c r="I260" s="314">
        <f t="shared" si="98"/>
        <v>0</v>
      </c>
      <c r="J260" s="315">
        <f t="shared" si="98"/>
        <v>0</v>
      </c>
      <c r="K260" s="315">
        <f t="shared" si="98"/>
        <v>0</v>
      </c>
      <c r="L260" s="315">
        <f t="shared" si="98"/>
        <v>0</v>
      </c>
      <c r="M260" s="315">
        <f t="shared" si="98"/>
        <v>0</v>
      </c>
      <c r="N260" s="315">
        <f t="shared" si="98"/>
        <v>0</v>
      </c>
      <c r="O260" s="315">
        <f t="shared" si="98"/>
        <v>0</v>
      </c>
      <c r="P260" s="315">
        <f t="shared" si="98"/>
        <v>-4.7545125821362638E-2</v>
      </c>
      <c r="Q260" s="315">
        <f t="shared" si="98"/>
        <v>0</v>
      </c>
      <c r="R260" s="315">
        <f t="shared" si="98"/>
        <v>-8.031135624732802E-3</v>
      </c>
      <c r="S260" s="315">
        <f t="shared" si="98"/>
        <v>-0.37972205079895116</v>
      </c>
      <c r="T260" s="315">
        <f t="shared" si="98"/>
        <v>0</v>
      </c>
      <c r="U260" s="315">
        <f t="shared" si="98"/>
        <v>0</v>
      </c>
      <c r="V260" s="315">
        <f t="shared" si="98"/>
        <v>0</v>
      </c>
      <c r="W260" s="315">
        <f t="shared" si="98"/>
        <v>0</v>
      </c>
    </row>
    <row r="261" spans="1:23" ht="12.75" customHeight="1" outlineLevel="1">
      <c r="A261" s="61"/>
      <c r="C261" s="108"/>
      <c r="E261" s="96" t="str">
        <f xml:space="preserve"> Time!E$51</f>
        <v>Forecast end period flag</v>
      </c>
      <c r="F261" s="96">
        <f xml:space="preserve"> Time!F$51</f>
        <v>0</v>
      </c>
      <c r="G261" s="96" t="str">
        <f xml:space="preserve"> Time!G$51</f>
        <v>flag</v>
      </c>
      <c r="H261" s="96">
        <f xml:space="preserve"> Time!H$51</f>
        <v>1</v>
      </c>
      <c r="I261" s="96">
        <f xml:space="preserve"> Time!I$51</f>
        <v>0</v>
      </c>
      <c r="J261" s="96">
        <f xml:space="preserve"> Time!J$51</f>
        <v>0</v>
      </c>
      <c r="K261" s="96">
        <f xml:space="preserve"> Time!K$51</f>
        <v>0</v>
      </c>
      <c r="L261" s="96">
        <f xml:space="preserve"> Time!L$51</f>
        <v>0</v>
      </c>
      <c r="M261" s="96">
        <f xml:space="preserve"> Time!M$51</f>
        <v>0</v>
      </c>
      <c r="N261" s="96">
        <f xml:space="preserve"> Time!N$51</f>
        <v>0</v>
      </c>
      <c r="O261" s="96">
        <f xml:space="preserve"> Time!O$51</f>
        <v>0</v>
      </c>
      <c r="P261" s="96">
        <f xml:space="preserve"> Time!P$51</f>
        <v>0</v>
      </c>
      <c r="Q261" s="96">
        <f xml:space="preserve"> Time!Q$51</f>
        <v>0</v>
      </c>
      <c r="R261" s="96">
        <f xml:space="preserve"> Time!R$51</f>
        <v>0</v>
      </c>
      <c r="S261" s="96">
        <f xml:space="preserve"> Time!S$51</f>
        <v>0</v>
      </c>
      <c r="T261" s="96">
        <f xml:space="preserve"> Time!T$51</f>
        <v>1</v>
      </c>
      <c r="U261" s="96">
        <f xml:space="preserve"> Time!U$51</f>
        <v>0</v>
      </c>
      <c r="V261" s="96">
        <f xml:space="preserve"> Time!V$51</f>
        <v>0</v>
      </c>
      <c r="W261" s="96">
        <f xml:space="preserve"> Time!W$51</f>
        <v>0</v>
      </c>
    </row>
    <row r="262" spans="1:23" s="5" customFormat="1" ht="12.75" customHeight="1" outlineLevel="1">
      <c r="A262" s="62"/>
      <c r="B262" s="62"/>
      <c r="C262" s="60"/>
      <c r="D262" s="157"/>
      <c r="E262" s="127" t="s">
        <v>358</v>
      </c>
      <c r="F262" s="99"/>
      <c r="G262" s="99" t="s">
        <v>77</v>
      </c>
      <c r="H262" s="91">
        <f xml:space="preserve"> SUM(J262:W262)</f>
        <v>-0.40709368196070889</v>
      </c>
      <c r="I262" s="99"/>
      <c r="J262" s="191">
        <f xml:space="preserve"> J261 * ( I260 * J259 * (1 + $F258) )</f>
        <v>0</v>
      </c>
      <c r="K262" s="191">
        <f t="shared" ref="K262:W262" si="99" xml:space="preserve"> K261 * ( J260 * K259 * (1 + $F258) )</f>
        <v>0</v>
      </c>
      <c r="L262" s="191">
        <f t="shared" si="99"/>
        <v>0</v>
      </c>
      <c r="M262" s="191">
        <f t="shared" si="99"/>
        <v>0</v>
      </c>
      <c r="N262" s="191">
        <f t="shared" si="99"/>
        <v>0</v>
      </c>
      <c r="O262" s="191">
        <f t="shared" si="99"/>
        <v>0</v>
      </c>
      <c r="P262" s="191">
        <f t="shared" si="99"/>
        <v>0</v>
      </c>
      <c r="Q262" s="191">
        <f t="shared" si="99"/>
        <v>0</v>
      </c>
      <c r="R262" s="191">
        <f t="shared" si="99"/>
        <v>0</v>
      </c>
      <c r="S262" s="191">
        <f t="shared" si="99"/>
        <v>0</v>
      </c>
      <c r="T262" s="191">
        <f t="shared" si="99"/>
        <v>-0.40709368196070889</v>
      </c>
      <c r="U262" s="191">
        <f t="shared" si="99"/>
        <v>0</v>
      </c>
      <c r="V262" s="191">
        <f t="shared" si="99"/>
        <v>0</v>
      </c>
      <c r="W262" s="191">
        <f t="shared" si="99"/>
        <v>0</v>
      </c>
    </row>
    <row r="263" spans="1:23" s="5" customFormat="1" ht="12.75" customHeight="1" outlineLevel="1">
      <c r="A263" s="62"/>
      <c r="B263" s="62"/>
      <c r="C263" s="60"/>
      <c r="D263" s="157"/>
      <c r="E263" s="127"/>
      <c r="F263" s="99"/>
      <c r="G263" s="99"/>
      <c r="H263" s="91"/>
      <c r="I263" s="99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</row>
    <row r="264" spans="1:23" s="5" customFormat="1" ht="12.75" customHeight="1" outlineLevel="1">
      <c r="A264" s="62"/>
      <c r="B264" s="62"/>
      <c r="C264" s="60"/>
      <c r="D264" s="157"/>
      <c r="E264" s="99" t="str">
        <f t="shared" ref="E264:W264" si="100" xml:space="preserve"> E$256</f>
        <v>Value of year 4 main revenue and BEA adjustment at the end of AMP7 - Water Res</v>
      </c>
      <c r="F264" s="99">
        <f t="shared" si="100"/>
        <v>0</v>
      </c>
      <c r="G264" s="99" t="str">
        <f t="shared" si="100"/>
        <v>£m</v>
      </c>
      <c r="H264" s="91">
        <f t="shared" si="100"/>
        <v>-13.830345504384377</v>
      </c>
      <c r="I264" s="99">
        <f t="shared" si="100"/>
        <v>0</v>
      </c>
      <c r="J264" s="316">
        <f t="shared" si="100"/>
        <v>0</v>
      </c>
      <c r="K264" s="316">
        <f t="shared" si="100"/>
        <v>0</v>
      </c>
      <c r="L264" s="316">
        <f t="shared" si="100"/>
        <v>0</v>
      </c>
      <c r="M264" s="316">
        <f t="shared" si="100"/>
        <v>0</v>
      </c>
      <c r="N264" s="316">
        <f t="shared" si="100"/>
        <v>0</v>
      </c>
      <c r="O264" s="316">
        <f t="shared" si="100"/>
        <v>0</v>
      </c>
      <c r="P264" s="316">
        <f t="shared" si="100"/>
        <v>0</v>
      </c>
      <c r="Q264" s="316">
        <f t="shared" si="100"/>
        <v>0</v>
      </c>
      <c r="R264" s="316">
        <f t="shared" si="100"/>
        <v>0</v>
      </c>
      <c r="S264" s="316">
        <f t="shared" si="100"/>
        <v>0</v>
      </c>
      <c r="T264" s="316">
        <f t="shared" si="100"/>
        <v>-13.830345504384377</v>
      </c>
      <c r="U264" s="316">
        <f t="shared" si="100"/>
        <v>0</v>
      </c>
      <c r="V264" s="316">
        <f t="shared" si="100"/>
        <v>0</v>
      </c>
      <c r="W264" s="316">
        <f t="shared" si="100"/>
        <v>0</v>
      </c>
    </row>
    <row r="265" spans="1:23" s="5" customFormat="1" ht="12.75" customHeight="1" outlineLevel="1">
      <c r="A265" s="62"/>
      <c r="B265" s="62"/>
      <c r="C265" s="60"/>
      <c r="D265" s="157"/>
      <c r="E265" s="99" t="str">
        <f t="shared" ref="E265:W265" si="101" xml:space="preserve"> E$262</f>
        <v>Value of year 4 penalty adjustment at the end of AMP7 - Water Res</v>
      </c>
      <c r="F265" s="99">
        <f t="shared" si="101"/>
        <v>0</v>
      </c>
      <c r="G265" s="99" t="str">
        <f t="shared" si="101"/>
        <v>£m</v>
      </c>
      <c r="H265" s="91">
        <f t="shared" si="101"/>
        <v>-0.40709368196070889</v>
      </c>
      <c r="I265" s="99">
        <f t="shared" si="101"/>
        <v>0</v>
      </c>
      <c r="J265" s="191">
        <f t="shared" si="101"/>
        <v>0</v>
      </c>
      <c r="K265" s="191">
        <f t="shared" si="101"/>
        <v>0</v>
      </c>
      <c r="L265" s="191">
        <f t="shared" si="101"/>
        <v>0</v>
      </c>
      <c r="M265" s="191">
        <f t="shared" si="101"/>
        <v>0</v>
      </c>
      <c r="N265" s="191">
        <f t="shared" si="101"/>
        <v>0</v>
      </c>
      <c r="O265" s="191">
        <f t="shared" si="101"/>
        <v>0</v>
      </c>
      <c r="P265" s="191">
        <f t="shared" si="101"/>
        <v>0</v>
      </c>
      <c r="Q265" s="191">
        <f t="shared" si="101"/>
        <v>0</v>
      </c>
      <c r="R265" s="191">
        <f t="shared" si="101"/>
        <v>0</v>
      </c>
      <c r="S265" s="191">
        <f t="shared" si="101"/>
        <v>0</v>
      </c>
      <c r="T265" s="191">
        <f t="shared" si="101"/>
        <v>-0.40709368196070889</v>
      </c>
      <c r="U265" s="191">
        <f t="shared" si="101"/>
        <v>0</v>
      </c>
      <c r="V265" s="191">
        <f t="shared" si="101"/>
        <v>0</v>
      </c>
      <c r="W265" s="191">
        <f t="shared" si="101"/>
        <v>0</v>
      </c>
    </row>
    <row r="266" spans="1:23" s="5" customFormat="1" ht="12.75" customHeight="1" outlineLevel="1" thickBot="1">
      <c r="A266" s="62"/>
      <c r="B266" s="62"/>
      <c r="C266" s="60"/>
      <c r="D266" s="157"/>
      <c r="E266" s="284" t="s">
        <v>359</v>
      </c>
      <c r="F266" s="284"/>
      <c r="G266" s="284" t="s">
        <v>77</v>
      </c>
      <c r="H266" s="284">
        <f xml:space="preserve"> SUM(J266:W266)</f>
        <v>-14.237439186345085</v>
      </c>
      <c r="I266" s="284"/>
      <c r="J266" s="284">
        <f xml:space="preserve">  J264 + J265</f>
        <v>0</v>
      </c>
      <c r="K266" s="284">
        <f t="shared" ref="K266:W266" si="102" xml:space="preserve">  K264 + K265</f>
        <v>0</v>
      </c>
      <c r="L266" s="284">
        <f t="shared" si="102"/>
        <v>0</v>
      </c>
      <c r="M266" s="284">
        <f t="shared" si="102"/>
        <v>0</v>
      </c>
      <c r="N266" s="284">
        <f t="shared" si="102"/>
        <v>0</v>
      </c>
      <c r="O266" s="284">
        <f t="shared" si="102"/>
        <v>0</v>
      </c>
      <c r="P266" s="284">
        <f t="shared" si="102"/>
        <v>0</v>
      </c>
      <c r="Q266" s="284">
        <f t="shared" si="102"/>
        <v>0</v>
      </c>
      <c r="R266" s="284">
        <f t="shared" si="102"/>
        <v>0</v>
      </c>
      <c r="S266" s="284">
        <f t="shared" si="102"/>
        <v>0</v>
      </c>
      <c r="T266" s="284">
        <f t="shared" si="102"/>
        <v>-14.237439186345085</v>
      </c>
      <c r="U266" s="284">
        <f t="shared" si="102"/>
        <v>0</v>
      </c>
      <c r="V266" s="284">
        <f t="shared" si="102"/>
        <v>0</v>
      </c>
      <c r="W266" s="284">
        <f t="shared" si="102"/>
        <v>0</v>
      </c>
    </row>
    <row r="267" spans="1:23" s="257" customFormat="1" ht="12.75" customHeight="1" outlineLevel="1" thickTop="1">
      <c r="A267" s="251"/>
      <c r="B267" s="251"/>
      <c r="C267" s="252"/>
      <c r="D267" s="253"/>
      <c r="E267" s="248"/>
      <c r="F267" s="254"/>
      <c r="G267" s="254"/>
      <c r="H267" s="255"/>
      <c r="I267" s="2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</row>
    <row r="268" spans="1:23" ht="12.75" customHeight="1" outlineLevel="1">
      <c r="A268" s="61"/>
      <c r="B268" s="61" t="s">
        <v>360</v>
      </c>
      <c r="C268" s="108"/>
      <c r="E268" s="72"/>
    </row>
    <row r="269" spans="1:23" ht="12.75" customHeight="1" outlineLevel="1">
      <c r="A269" s="61"/>
      <c r="C269" s="108"/>
      <c r="E269" s="72"/>
    </row>
    <row r="270" spans="1:23" s="153" customFormat="1" ht="13.15" outlineLevel="1">
      <c r="A270" s="276"/>
      <c r="B270" s="276"/>
      <c r="C270" s="160"/>
      <c r="D270" s="277"/>
      <c r="E270" s="127" t="str">
        <f xml:space="preserve"> E$83</f>
        <v>Revenue Imbalance - Water-N+</v>
      </c>
      <c r="F270" s="127">
        <f t="shared" ref="F270:W270" si="103" xml:space="preserve"> F$83</f>
        <v>0</v>
      </c>
      <c r="G270" s="127" t="str">
        <f t="shared" si="103"/>
        <v>£m</v>
      </c>
      <c r="H270" s="146">
        <f t="shared" si="103"/>
        <v>-10.6774831639014</v>
      </c>
      <c r="I270" s="127">
        <f t="shared" si="103"/>
        <v>0</v>
      </c>
      <c r="J270" s="146">
        <f t="shared" si="103"/>
        <v>0</v>
      </c>
      <c r="K270" s="146">
        <f t="shared" si="103"/>
        <v>0</v>
      </c>
      <c r="L270" s="146">
        <f t="shared" si="103"/>
        <v>0</v>
      </c>
      <c r="M270" s="146">
        <f t="shared" si="103"/>
        <v>0</v>
      </c>
      <c r="N270" s="146">
        <f t="shared" si="103"/>
        <v>0</v>
      </c>
      <c r="O270" s="146">
        <f t="shared" si="103"/>
        <v>0</v>
      </c>
      <c r="P270" s="146">
        <f t="shared" si="103"/>
        <v>8.4868531337698414</v>
      </c>
      <c r="Q270" s="146">
        <f t="shared" si="103"/>
        <v>1.7208239131538789</v>
      </c>
      <c r="R270" s="146">
        <f t="shared" si="103"/>
        <v>-3.3467636212454863</v>
      </c>
      <c r="S270" s="146">
        <f t="shared" si="103"/>
        <v>-17.966422608507401</v>
      </c>
      <c r="T270" s="146">
        <f t="shared" si="103"/>
        <v>0.42802601892776693</v>
      </c>
      <c r="U270" s="146">
        <f t="shared" si="103"/>
        <v>0</v>
      </c>
      <c r="V270" s="146">
        <f t="shared" si="103"/>
        <v>0</v>
      </c>
      <c r="W270" s="146">
        <f t="shared" si="103"/>
        <v>0</v>
      </c>
    </row>
    <row r="271" spans="1:23" s="153" customFormat="1" ht="13.15" outlineLevel="1">
      <c r="A271" s="276"/>
      <c r="B271" s="276"/>
      <c r="C271" s="160"/>
      <c r="D271" s="277"/>
      <c r="E271" s="293" t="str">
        <f t="shared" ref="E271:W271" si="104" xml:space="preserve"> E$227</f>
        <v>Penalty adjustment - Water-N+</v>
      </c>
      <c r="F271" s="293">
        <f t="shared" si="104"/>
        <v>0</v>
      </c>
      <c r="G271" s="293" t="str">
        <f t="shared" si="104"/>
        <v>£m</v>
      </c>
      <c r="H271" s="293">
        <f t="shared" si="104"/>
        <v>-0.55383280647256716</v>
      </c>
      <c r="I271" s="293">
        <f t="shared" si="104"/>
        <v>0</v>
      </c>
      <c r="J271" s="91">
        <f t="shared" si="104"/>
        <v>0</v>
      </c>
      <c r="K271" s="91">
        <f t="shared" si="104"/>
        <v>0</v>
      </c>
      <c r="L271" s="91">
        <f t="shared" si="104"/>
        <v>0</v>
      </c>
      <c r="M271" s="91">
        <f t="shared" si="104"/>
        <v>0</v>
      </c>
      <c r="N271" s="91">
        <f t="shared" si="104"/>
        <v>0</v>
      </c>
      <c r="O271" s="91">
        <f t="shared" si="104"/>
        <v>0</v>
      </c>
      <c r="P271" s="91">
        <f t="shared" si="104"/>
        <v>0</v>
      </c>
      <c r="Q271" s="91">
        <f t="shared" si="104"/>
        <v>0</v>
      </c>
      <c r="R271" s="91">
        <f t="shared" si="104"/>
        <v>-7.5490129394696157E-3</v>
      </c>
      <c r="S271" s="91">
        <f t="shared" si="104"/>
        <v>-0.54628379353309753</v>
      </c>
      <c r="T271" s="91">
        <f t="shared" si="104"/>
        <v>0</v>
      </c>
      <c r="U271" s="91">
        <f t="shared" si="104"/>
        <v>0</v>
      </c>
      <c r="V271" s="91">
        <f t="shared" si="104"/>
        <v>0</v>
      </c>
      <c r="W271" s="91">
        <f t="shared" si="104"/>
        <v>0</v>
      </c>
    </row>
    <row r="272" spans="1:23" s="121" customFormat="1" ht="12.75" customHeight="1" outlineLevel="1">
      <c r="A272" s="164"/>
      <c r="B272" s="164"/>
      <c r="C272" s="165"/>
      <c r="D272" s="73"/>
      <c r="E272" s="96" t="str">
        <f xml:space="preserve"> Time!E$51</f>
        <v>Forecast end period flag</v>
      </c>
      <c r="F272" s="96">
        <f xml:space="preserve"> Time!F$51</f>
        <v>0</v>
      </c>
      <c r="G272" s="96" t="str">
        <f xml:space="preserve"> Time!G$51</f>
        <v>flag</v>
      </c>
      <c r="H272" s="96">
        <f xml:space="preserve"> Time!H$51</f>
        <v>1</v>
      </c>
      <c r="I272" s="96">
        <f xml:space="preserve"> Time!I$51</f>
        <v>0</v>
      </c>
      <c r="J272" s="96">
        <f xml:space="preserve"> Time!J$51</f>
        <v>0</v>
      </c>
      <c r="K272" s="96">
        <f xml:space="preserve"> Time!K$51</f>
        <v>0</v>
      </c>
      <c r="L272" s="96">
        <f xml:space="preserve"> Time!L$51</f>
        <v>0</v>
      </c>
      <c r="M272" s="96">
        <f xml:space="preserve"> Time!M$51</f>
        <v>0</v>
      </c>
      <c r="N272" s="96">
        <f xml:space="preserve"> Time!N$51</f>
        <v>0</v>
      </c>
      <c r="O272" s="96">
        <f xml:space="preserve"> Time!O$51</f>
        <v>0</v>
      </c>
      <c r="P272" s="96">
        <f xml:space="preserve"> Time!P$51</f>
        <v>0</v>
      </c>
      <c r="Q272" s="96">
        <f xml:space="preserve"> Time!Q$51</f>
        <v>0</v>
      </c>
      <c r="R272" s="96">
        <f xml:space="preserve"> Time!R$51</f>
        <v>0</v>
      </c>
      <c r="S272" s="96">
        <f xml:space="preserve"> Time!S$51</f>
        <v>0</v>
      </c>
      <c r="T272" s="96">
        <f xml:space="preserve"> Time!T$51</f>
        <v>1</v>
      </c>
      <c r="U272" s="96">
        <f xml:space="preserve"> Time!U$51</f>
        <v>0</v>
      </c>
      <c r="V272" s="96">
        <f xml:space="preserve"> Time!V$51</f>
        <v>0</v>
      </c>
      <c r="W272" s="96">
        <f xml:space="preserve"> Time!W$51</f>
        <v>0</v>
      </c>
    </row>
    <row r="273" spans="1:23" s="5" customFormat="1" ht="12.75" customHeight="1" outlineLevel="1" thickBot="1">
      <c r="A273" s="62"/>
      <c r="B273" s="62"/>
      <c r="C273" s="60"/>
      <c r="D273" s="157"/>
      <c r="E273" s="284" t="s">
        <v>361</v>
      </c>
      <c r="F273" s="284"/>
      <c r="G273" s="284" t="s">
        <v>77</v>
      </c>
      <c r="H273" s="284">
        <f xml:space="preserve"> SUM(J273:W273)</f>
        <v>0.42802601892776693</v>
      </c>
      <c r="I273" s="284"/>
      <c r="J273" s="284">
        <f xml:space="preserve"> ( J270 + J271 ) * J272</f>
        <v>0</v>
      </c>
      <c r="K273" s="284">
        <f t="shared" ref="K273:W273" si="105" xml:space="preserve"> ( K270 + K271 ) * K272</f>
        <v>0</v>
      </c>
      <c r="L273" s="284">
        <f t="shared" si="105"/>
        <v>0</v>
      </c>
      <c r="M273" s="284">
        <f t="shared" si="105"/>
        <v>0</v>
      </c>
      <c r="N273" s="284">
        <f t="shared" si="105"/>
        <v>0</v>
      </c>
      <c r="O273" s="284">
        <f t="shared" si="105"/>
        <v>0</v>
      </c>
      <c r="P273" s="284">
        <f t="shared" si="105"/>
        <v>0</v>
      </c>
      <c r="Q273" s="284">
        <f t="shared" si="105"/>
        <v>0</v>
      </c>
      <c r="R273" s="284">
        <f t="shared" si="105"/>
        <v>0</v>
      </c>
      <c r="S273" s="284">
        <f t="shared" si="105"/>
        <v>0</v>
      </c>
      <c r="T273" s="284">
        <f t="shared" si="105"/>
        <v>0.42802601892776693</v>
      </c>
      <c r="U273" s="284">
        <f t="shared" si="105"/>
        <v>0</v>
      </c>
      <c r="V273" s="284">
        <f t="shared" si="105"/>
        <v>0</v>
      </c>
      <c r="W273" s="284">
        <f t="shared" si="105"/>
        <v>0</v>
      </c>
    </row>
    <row r="274" spans="1:23" s="257" customFormat="1" ht="12.75" customHeight="1" outlineLevel="1" thickTop="1">
      <c r="A274" s="251"/>
      <c r="B274" s="251"/>
      <c r="C274" s="252"/>
      <c r="D274" s="253"/>
      <c r="E274" s="248"/>
      <c r="F274" s="254"/>
      <c r="G274" s="254"/>
      <c r="H274" s="255"/>
      <c r="I274" s="254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</row>
    <row r="275" spans="1:23" ht="12.75" customHeight="1" outlineLevel="1">
      <c r="A275" s="61"/>
      <c r="B275" s="61" t="s">
        <v>362</v>
      </c>
      <c r="C275" s="108"/>
      <c r="E275" s="72"/>
    </row>
    <row r="276" spans="1:23" ht="12.75" customHeight="1" outlineLevel="1">
      <c r="A276" s="61"/>
      <c r="C276" s="108"/>
      <c r="E276" s="72"/>
    </row>
    <row r="277" spans="1:23" s="279" customFormat="1" ht="12.75" customHeight="1" outlineLevel="1">
      <c r="A277" s="181"/>
      <c r="B277" s="181"/>
      <c r="C277" s="182"/>
      <c r="D277" s="157"/>
      <c r="E277" s="209" t="str">
        <f xml:space="preserve"> E$95</f>
        <v>Revenue Imbalance - Water Res</v>
      </c>
      <c r="F277" s="209">
        <f t="shared" ref="F277:W277" si="106" xml:space="preserve"> F$95</f>
        <v>0</v>
      </c>
      <c r="G277" s="209" t="str">
        <f t="shared" si="106"/>
        <v>£m</v>
      </c>
      <c r="H277" s="230">
        <f t="shared" si="106"/>
        <v>-24.265953749470626</v>
      </c>
      <c r="I277" s="230">
        <f t="shared" si="106"/>
        <v>0</v>
      </c>
      <c r="J277" s="230">
        <f t="shared" si="106"/>
        <v>0</v>
      </c>
      <c r="K277" s="230">
        <f t="shared" si="106"/>
        <v>0</v>
      </c>
      <c r="L277" s="230">
        <f t="shared" si="106"/>
        <v>0</v>
      </c>
      <c r="M277" s="230">
        <f t="shared" si="106"/>
        <v>0</v>
      </c>
      <c r="N277" s="230">
        <f t="shared" si="106"/>
        <v>0</v>
      </c>
      <c r="O277" s="230">
        <f t="shared" si="106"/>
        <v>0</v>
      </c>
      <c r="P277" s="230">
        <f t="shared" si="106"/>
        <v>-1.2927352666043035</v>
      </c>
      <c r="Q277" s="230">
        <f t="shared" si="106"/>
        <v>-6.5163722956033681</v>
      </c>
      <c r="R277" s="230">
        <f t="shared" si="106"/>
        <v>-3.5562514223921156</v>
      </c>
      <c r="S277" s="230">
        <f t="shared" si="106"/>
        <v>-12.900438869227557</v>
      </c>
      <c r="T277" s="230">
        <f t="shared" si="106"/>
        <v>-1.5589564328166716E-4</v>
      </c>
      <c r="U277" s="230">
        <f t="shared" si="106"/>
        <v>0</v>
      </c>
      <c r="V277" s="230">
        <f t="shared" si="106"/>
        <v>0</v>
      </c>
      <c r="W277" s="230">
        <f t="shared" si="106"/>
        <v>0</v>
      </c>
    </row>
    <row r="278" spans="1:23" s="121" customFormat="1" ht="12.75" customHeight="1" outlineLevel="1">
      <c r="A278" s="164"/>
      <c r="B278" s="164"/>
      <c r="C278" s="165"/>
      <c r="D278" s="73"/>
      <c r="E278" s="91" t="str">
        <f t="shared" ref="E278:W278" si="107" xml:space="preserve"> E$221</f>
        <v>Bilateral entry adjustment (BEA)</v>
      </c>
      <c r="F278" s="91">
        <f t="shared" si="107"/>
        <v>0</v>
      </c>
      <c r="G278" s="91" t="str">
        <f t="shared" si="107"/>
        <v>£m</v>
      </c>
      <c r="H278" s="91">
        <f t="shared" si="107"/>
        <v>0</v>
      </c>
      <c r="I278" s="148">
        <f t="shared" si="107"/>
        <v>0</v>
      </c>
      <c r="J278" s="91">
        <f t="shared" si="107"/>
        <v>0</v>
      </c>
      <c r="K278" s="91">
        <f t="shared" si="107"/>
        <v>0</v>
      </c>
      <c r="L278" s="91">
        <f t="shared" si="107"/>
        <v>0</v>
      </c>
      <c r="M278" s="91">
        <f t="shared" si="107"/>
        <v>0</v>
      </c>
      <c r="N278" s="91">
        <f t="shared" si="107"/>
        <v>0</v>
      </c>
      <c r="O278" s="91">
        <f t="shared" si="107"/>
        <v>0</v>
      </c>
      <c r="P278" s="91">
        <f t="shared" si="107"/>
        <v>0</v>
      </c>
      <c r="Q278" s="91">
        <f t="shared" si="107"/>
        <v>0</v>
      </c>
      <c r="R278" s="91">
        <f t="shared" si="107"/>
        <v>0</v>
      </c>
      <c r="S278" s="91">
        <f t="shared" si="107"/>
        <v>0</v>
      </c>
      <c r="T278" s="91">
        <f t="shared" si="107"/>
        <v>0</v>
      </c>
      <c r="U278" s="91">
        <f t="shared" si="107"/>
        <v>0</v>
      </c>
      <c r="V278" s="91">
        <f t="shared" si="107"/>
        <v>0</v>
      </c>
      <c r="W278" s="91">
        <f t="shared" si="107"/>
        <v>0</v>
      </c>
    </row>
    <row r="279" spans="1:23" s="5" customFormat="1" ht="12.75" customHeight="1" outlineLevel="1">
      <c r="A279" s="62"/>
      <c r="B279" s="62"/>
      <c r="C279" s="60"/>
      <c r="D279" s="157"/>
      <c r="E279" s="204" t="str">
        <f t="shared" ref="E279:W279" si="108" xml:space="preserve"> E$249</f>
        <v>Penalty adjustment - Water Res</v>
      </c>
      <c r="F279" s="204">
        <f t="shared" si="108"/>
        <v>0</v>
      </c>
      <c r="G279" s="204" t="str">
        <f t="shared" si="108"/>
        <v>£m</v>
      </c>
      <c r="H279" s="204">
        <f t="shared" si="108"/>
        <v>0</v>
      </c>
      <c r="I279" s="204">
        <f t="shared" si="108"/>
        <v>0</v>
      </c>
      <c r="J279" s="42">
        <f t="shared" si="108"/>
        <v>0</v>
      </c>
      <c r="K279" s="42">
        <f t="shared" si="108"/>
        <v>0</v>
      </c>
      <c r="L279" s="42">
        <f t="shared" si="108"/>
        <v>0</v>
      </c>
      <c r="M279" s="42">
        <f t="shared" si="108"/>
        <v>0</v>
      </c>
      <c r="N279" s="42">
        <f t="shared" si="108"/>
        <v>0</v>
      </c>
      <c r="O279" s="42">
        <f t="shared" si="108"/>
        <v>0</v>
      </c>
      <c r="P279" s="42">
        <f t="shared" si="108"/>
        <v>-4.7545125821362638E-2</v>
      </c>
      <c r="Q279" s="42">
        <f t="shared" si="108"/>
        <v>0</v>
      </c>
      <c r="R279" s="42">
        <f t="shared" si="108"/>
        <v>-8.031135624732802E-3</v>
      </c>
      <c r="S279" s="42">
        <f t="shared" si="108"/>
        <v>-0.37972205079895116</v>
      </c>
      <c r="T279" s="42">
        <f t="shared" si="108"/>
        <v>0</v>
      </c>
      <c r="U279" s="42">
        <f t="shared" si="108"/>
        <v>0</v>
      </c>
      <c r="V279" s="42">
        <f t="shared" si="108"/>
        <v>0</v>
      </c>
      <c r="W279" s="42">
        <f t="shared" si="108"/>
        <v>0</v>
      </c>
    </row>
    <row r="280" spans="1:23" s="121" customFormat="1" ht="12.75" customHeight="1" outlineLevel="1">
      <c r="A280" s="164"/>
      <c r="B280" s="164"/>
      <c r="C280" s="165"/>
      <c r="D280" s="73"/>
      <c r="E280" s="96" t="str">
        <f xml:space="preserve"> Time!E$51</f>
        <v>Forecast end period flag</v>
      </c>
      <c r="F280" s="96">
        <f xml:space="preserve"> Time!F$51</f>
        <v>0</v>
      </c>
      <c r="G280" s="96" t="str">
        <f xml:space="preserve"> Time!G$51</f>
        <v>flag</v>
      </c>
      <c r="H280" s="96">
        <f xml:space="preserve"> Time!H$51</f>
        <v>1</v>
      </c>
      <c r="I280" s="96">
        <f xml:space="preserve"> Time!I$51</f>
        <v>0</v>
      </c>
      <c r="J280" s="96">
        <f xml:space="preserve"> Time!J$51</f>
        <v>0</v>
      </c>
      <c r="K280" s="96">
        <f xml:space="preserve"> Time!K$51</f>
        <v>0</v>
      </c>
      <c r="L280" s="96">
        <f xml:space="preserve"> Time!L$51</f>
        <v>0</v>
      </c>
      <c r="M280" s="96">
        <f xml:space="preserve"> Time!M$51</f>
        <v>0</v>
      </c>
      <c r="N280" s="96">
        <f xml:space="preserve"> Time!N$51</f>
        <v>0</v>
      </c>
      <c r="O280" s="96">
        <f xml:space="preserve"> Time!O$51</f>
        <v>0</v>
      </c>
      <c r="P280" s="96">
        <f xml:space="preserve"> Time!P$51</f>
        <v>0</v>
      </c>
      <c r="Q280" s="96">
        <f xml:space="preserve"> Time!Q$51</f>
        <v>0</v>
      </c>
      <c r="R280" s="96">
        <f xml:space="preserve"> Time!R$51</f>
        <v>0</v>
      </c>
      <c r="S280" s="96">
        <f xml:space="preserve"> Time!S$51</f>
        <v>0</v>
      </c>
      <c r="T280" s="96">
        <f xml:space="preserve"> Time!T$51</f>
        <v>1</v>
      </c>
      <c r="U280" s="96">
        <f xml:space="preserve"> Time!U$51</f>
        <v>0</v>
      </c>
      <c r="V280" s="96">
        <f xml:space="preserve"> Time!V$51</f>
        <v>0</v>
      </c>
      <c r="W280" s="96">
        <f xml:space="preserve"> Time!W$51</f>
        <v>0</v>
      </c>
    </row>
    <row r="281" spans="1:23" s="5" customFormat="1" ht="12.75" customHeight="1" outlineLevel="1" thickBot="1">
      <c r="A281" s="62"/>
      <c r="B281" s="62"/>
      <c r="C281" s="60"/>
      <c r="D281" s="157"/>
      <c r="E281" s="284" t="s">
        <v>363</v>
      </c>
      <c r="F281" s="284"/>
      <c r="G281" s="284" t="s">
        <v>77</v>
      </c>
      <c r="H281" s="284">
        <f xml:space="preserve"> SUM(J281:W281)</f>
        <v>-1.5589564328166716E-4</v>
      </c>
      <c r="I281" s="284"/>
      <c r="J281" s="284">
        <f t="shared" ref="J281:W281" si="109" xml:space="preserve"> ( J277 + J278 + J279 ) * J280</f>
        <v>0</v>
      </c>
      <c r="K281" s="284">
        <f t="shared" si="109"/>
        <v>0</v>
      </c>
      <c r="L281" s="284">
        <f t="shared" si="109"/>
        <v>0</v>
      </c>
      <c r="M281" s="284">
        <f t="shared" si="109"/>
        <v>0</v>
      </c>
      <c r="N281" s="284">
        <f t="shared" si="109"/>
        <v>0</v>
      </c>
      <c r="O281" s="284">
        <f t="shared" si="109"/>
        <v>0</v>
      </c>
      <c r="P281" s="284">
        <f t="shared" si="109"/>
        <v>0</v>
      </c>
      <c r="Q281" s="284">
        <f t="shared" si="109"/>
        <v>0</v>
      </c>
      <c r="R281" s="284">
        <f t="shared" si="109"/>
        <v>0</v>
      </c>
      <c r="S281" s="284">
        <f t="shared" si="109"/>
        <v>0</v>
      </c>
      <c r="T281" s="284">
        <f t="shared" si="109"/>
        <v>-1.5589564328166716E-4</v>
      </c>
      <c r="U281" s="284">
        <f t="shared" si="109"/>
        <v>0</v>
      </c>
      <c r="V281" s="284">
        <f t="shared" si="109"/>
        <v>0</v>
      </c>
      <c r="W281" s="284">
        <f t="shared" si="109"/>
        <v>0</v>
      </c>
    </row>
    <row r="282" spans="1:23" s="5" customFormat="1" ht="12.75" customHeight="1" outlineLevel="1" thickTop="1">
      <c r="A282" s="62"/>
      <c r="B282" s="62"/>
      <c r="C282" s="60"/>
      <c r="D282" s="157"/>
      <c r="E282" s="151"/>
      <c r="F282" s="56"/>
      <c r="G282" s="56"/>
      <c r="H282" s="93"/>
      <c r="I282" s="56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</row>
    <row r="283" spans="1:23" s="5" customFormat="1" ht="12.75" customHeight="1" outlineLevel="1">
      <c r="A283" s="62"/>
      <c r="B283" s="62" t="s">
        <v>364</v>
      </c>
      <c r="C283" s="60"/>
      <c r="D283" s="157"/>
      <c r="E283" s="127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</row>
    <row r="284" spans="1:23" s="5" customFormat="1" ht="12.75" customHeight="1" outlineLevel="1">
      <c r="A284" s="62"/>
      <c r="B284" s="62"/>
      <c r="C284" s="60"/>
      <c r="D284" s="157"/>
      <c r="E284" s="127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</row>
    <row r="285" spans="1:23" s="173" customFormat="1" ht="12.75" customHeight="1" outlineLevel="1">
      <c r="A285" s="88"/>
      <c r="B285" s="88"/>
      <c r="C285" s="89"/>
      <c r="D285" s="290"/>
      <c r="E285" s="93" t="str">
        <f t="shared" ref="E285:T285" si="110" xml:space="preserve"> E$243</f>
        <v>Value of year 4 RFI adjustments at the end of AMP7 - Water-N+</v>
      </c>
      <c r="F285" s="93">
        <f t="shared" si="110"/>
        <v>0</v>
      </c>
      <c r="G285" s="93" t="str">
        <f t="shared" si="110"/>
        <v>£m</v>
      </c>
      <c r="H285" s="93">
        <f t="shared" si="110"/>
        <v>-19.847163988520915</v>
      </c>
      <c r="I285" s="93">
        <f t="shared" si="110"/>
        <v>0</v>
      </c>
      <c r="J285" s="93">
        <f t="shared" si="110"/>
        <v>0</v>
      </c>
      <c r="K285" s="93">
        <f t="shared" si="110"/>
        <v>0</v>
      </c>
      <c r="L285" s="93">
        <f t="shared" si="110"/>
        <v>0</v>
      </c>
      <c r="M285" s="93">
        <f t="shared" si="110"/>
        <v>0</v>
      </c>
      <c r="N285" s="93">
        <f t="shared" si="110"/>
        <v>0</v>
      </c>
      <c r="O285" s="93">
        <f t="shared" si="110"/>
        <v>0</v>
      </c>
      <c r="P285" s="93">
        <f t="shared" si="110"/>
        <v>0</v>
      </c>
      <c r="Q285" s="93">
        <f t="shared" si="110"/>
        <v>0</v>
      </c>
      <c r="R285" s="93">
        <f t="shared" si="110"/>
        <v>0</v>
      </c>
      <c r="S285" s="93">
        <f t="shared" si="110"/>
        <v>0</v>
      </c>
      <c r="T285" s="93">
        <f t="shared" si="110"/>
        <v>-19.847163988520915</v>
      </c>
      <c r="U285" s="93">
        <f xml:space="preserve"> U$243</f>
        <v>0</v>
      </c>
      <c r="V285" s="93">
        <f xml:space="preserve"> V$243</f>
        <v>0</v>
      </c>
      <c r="W285" s="93">
        <f xml:space="preserve"> W$243</f>
        <v>0</v>
      </c>
    </row>
    <row r="286" spans="1:23" s="173" customFormat="1" ht="12.75" customHeight="1" outlineLevel="1">
      <c r="A286" s="88"/>
      <c r="B286" s="88"/>
      <c r="C286" s="89"/>
      <c r="D286" s="290"/>
      <c r="E286" s="93" t="str">
        <f t="shared" ref="E286:W286" si="111" xml:space="preserve"> E$273</f>
        <v>Value of year 5 RFI adjustments at the end of AMP7 - Water-N+</v>
      </c>
      <c r="F286" s="93">
        <f t="shared" si="111"/>
        <v>0</v>
      </c>
      <c r="G286" s="93" t="str">
        <f t="shared" si="111"/>
        <v>£m</v>
      </c>
      <c r="H286" s="93">
        <f t="shared" si="111"/>
        <v>0.42802601892776693</v>
      </c>
      <c r="I286" s="93">
        <f t="shared" si="111"/>
        <v>0</v>
      </c>
      <c r="J286" s="93">
        <f t="shared" si="111"/>
        <v>0</v>
      </c>
      <c r="K286" s="93">
        <f t="shared" si="111"/>
        <v>0</v>
      </c>
      <c r="L286" s="93">
        <f t="shared" si="111"/>
        <v>0</v>
      </c>
      <c r="M286" s="93">
        <f t="shared" si="111"/>
        <v>0</v>
      </c>
      <c r="N286" s="93">
        <f t="shared" si="111"/>
        <v>0</v>
      </c>
      <c r="O286" s="93">
        <f t="shared" si="111"/>
        <v>0</v>
      </c>
      <c r="P286" s="93">
        <f t="shared" si="111"/>
        <v>0</v>
      </c>
      <c r="Q286" s="93">
        <f t="shared" si="111"/>
        <v>0</v>
      </c>
      <c r="R286" s="93">
        <f t="shared" si="111"/>
        <v>0</v>
      </c>
      <c r="S286" s="93">
        <f t="shared" si="111"/>
        <v>0</v>
      </c>
      <c r="T286" s="93">
        <f t="shared" si="111"/>
        <v>0.42802601892776693</v>
      </c>
      <c r="U286" s="93">
        <f t="shared" si="111"/>
        <v>0</v>
      </c>
      <c r="V286" s="93">
        <f t="shared" si="111"/>
        <v>0</v>
      </c>
      <c r="W286" s="93">
        <f t="shared" si="111"/>
        <v>0</v>
      </c>
    </row>
    <row r="287" spans="1:23" s="173" customFormat="1" ht="12.75" customHeight="1" outlineLevel="1">
      <c r="A287" s="88"/>
      <c r="B287" s="88"/>
      <c r="C287" s="89"/>
      <c r="D287" s="290"/>
      <c r="E287" s="292" t="s">
        <v>365</v>
      </c>
      <c r="F287" s="292"/>
      <c r="G287" s="292" t="s">
        <v>77</v>
      </c>
      <c r="H287" s="184">
        <f xml:space="preserve"> SUM(J287:W287)</f>
        <v>-19.419137969593148</v>
      </c>
      <c r="I287" s="184"/>
      <c r="J287" s="184">
        <f xml:space="preserve"> J285 + J286</f>
        <v>0</v>
      </c>
      <c r="K287" s="184">
        <f t="shared" ref="K287:W287" si="112" xml:space="preserve"> K285 + K286</f>
        <v>0</v>
      </c>
      <c r="L287" s="184">
        <f t="shared" si="112"/>
        <v>0</v>
      </c>
      <c r="M287" s="184">
        <f t="shared" si="112"/>
        <v>0</v>
      </c>
      <c r="N287" s="184">
        <f t="shared" si="112"/>
        <v>0</v>
      </c>
      <c r="O287" s="184">
        <f t="shared" si="112"/>
        <v>0</v>
      </c>
      <c r="P287" s="184">
        <f t="shared" si="112"/>
        <v>0</v>
      </c>
      <c r="Q287" s="184">
        <f t="shared" si="112"/>
        <v>0</v>
      </c>
      <c r="R287" s="184">
        <f t="shared" si="112"/>
        <v>0</v>
      </c>
      <c r="S287" s="184">
        <f t="shared" si="112"/>
        <v>0</v>
      </c>
      <c r="T287" s="184">
        <f t="shared" si="112"/>
        <v>-19.419137969593148</v>
      </c>
      <c r="U287" s="184">
        <f t="shared" si="112"/>
        <v>0</v>
      </c>
      <c r="V287" s="184">
        <f t="shared" si="112"/>
        <v>0</v>
      </c>
      <c r="W287" s="184">
        <f t="shared" si="112"/>
        <v>0</v>
      </c>
    </row>
    <row r="288" spans="1:23" s="173" customFormat="1" ht="12.75" customHeight="1" outlineLevel="1">
      <c r="A288" s="88"/>
      <c r="B288" s="88"/>
      <c r="C288" s="89"/>
      <c r="D288" s="290"/>
      <c r="E288" s="292"/>
      <c r="F288" s="292"/>
      <c r="G288" s="292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</row>
    <row r="289" spans="1:23" s="173" customFormat="1" ht="12.75" customHeight="1" outlineLevel="1">
      <c r="A289" s="88"/>
      <c r="B289" s="88"/>
      <c r="C289" s="89"/>
      <c r="D289" s="290"/>
      <c r="E289" s="151" t="str">
        <f xml:space="preserve"> E$266</f>
        <v>Value of year 4 RFI adjustments at the end of AMP7 - Water Res</v>
      </c>
      <c r="F289" s="151">
        <f t="shared" ref="F289:W289" si="113" xml:space="preserve"> F$266</f>
        <v>0</v>
      </c>
      <c r="G289" s="151" t="str">
        <f t="shared" si="113"/>
        <v>£m</v>
      </c>
      <c r="H289" s="273">
        <f t="shared" si="113"/>
        <v>-14.237439186345085</v>
      </c>
      <c r="I289" s="273">
        <f t="shared" si="113"/>
        <v>0</v>
      </c>
      <c r="J289" s="273">
        <f t="shared" si="113"/>
        <v>0</v>
      </c>
      <c r="K289" s="273">
        <f t="shared" si="113"/>
        <v>0</v>
      </c>
      <c r="L289" s="273">
        <f t="shared" si="113"/>
        <v>0</v>
      </c>
      <c r="M289" s="273">
        <f t="shared" si="113"/>
        <v>0</v>
      </c>
      <c r="N289" s="273">
        <f t="shared" si="113"/>
        <v>0</v>
      </c>
      <c r="O289" s="273">
        <f t="shared" si="113"/>
        <v>0</v>
      </c>
      <c r="P289" s="273">
        <f t="shared" si="113"/>
        <v>0</v>
      </c>
      <c r="Q289" s="273">
        <f t="shared" si="113"/>
        <v>0</v>
      </c>
      <c r="R289" s="273">
        <f t="shared" si="113"/>
        <v>0</v>
      </c>
      <c r="S289" s="273">
        <f t="shared" si="113"/>
        <v>0</v>
      </c>
      <c r="T289" s="273">
        <f t="shared" si="113"/>
        <v>-14.237439186345085</v>
      </c>
      <c r="U289" s="273">
        <f t="shared" si="113"/>
        <v>0</v>
      </c>
      <c r="V289" s="273">
        <f t="shared" si="113"/>
        <v>0</v>
      </c>
      <c r="W289" s="273">
        <f t="shared" si="113"/>
        <v>0</v>
      </c>
    </row>
    <row r="290" spans="1:23" s="173" customFormat="1" ht="12.75" customHeight="1" outlineLevel="1">
      <c r="A290" s="88"/>
      <c r="B290" s="88"/>
      <c r="C290" s="89"/>
      <c r="D290" s="290"/>
      <c r="E290" s="151" t="str">
        <f xml:space="preserve"> E$281</f>
        <v>Value of year 5 RFI adjustments at the end of AMP7 - Water Res</v>
      </c>
      <c r="F290" s="151">
        <f t="shared" ref="F290:W290" si="114" xml:space="preserve"> F$281</f>
        <v>0</v>
      </c>
      <c r="G290" s="151" t="str">
        <f t="shared" si="114"/>
        <v>£m</v>
      </c>
      <c r="H290" s="273">
        <f t="shared" si="114"/>
        <v>-1.5589564328166716E-4</v>
      </c>
      <c r="I290" s="273">
        <f t="shared" si="114"/>
        <v>0</v>
      </c>
      <c r="J290" s="273">
        <f t="shared" si="114"/>
        <v>0</v>
      </c>
      <c r="K290" s="273">
        <f t="shared" si="114"/>
        <v>0</v>
      </c>
      <c r="L290" s="273">
        <f t="shared" si="114"/>
        <v>0</v>
      </c>
      <c r="M290" s="273">
        <f t="shared" si="114"/>
        <v>0</v>
      </c>
      <c r="N290" s="273">
        <f t="shared" si="114"/>
        <v>0</v>
      </c>
      <c r="O290" s="273">
        <f t="shared" si="114"/>
        <v>0</v>
      </c>
      <c r="P290" s="273">
        <f t="shared" si="114"/>
        <v>0</v>
      </c>
      <c r="Q290" s="273">
        <f t="shared" si="114"/>
        <v>0</v>
      </c>
      <c r="R290" s="273">
        <f t="shared" si="114"/>
        <v>0</v>
      </c>
      <c r="S290" s="273">
        <f t="shared" si="114"/>
        <v>0</v>
      </c>
      <c r="T290" s="273">
        <f t="shared" si="114"/>
        <v>-1.5589564328166716E-4</v>
      </c>
      <c r="U290" s="273">
        <f t="shared" si="114"/>
        <v>0</v>
      </c>
      <c r="V290" s="273">
        <f t="shared" si="114"/>
        <v>0</v>
      </c>
      <c r="W290" s="273">
        <f t="shared" si="114"/>
        <v>0</v>
      </c>
    </row>
    <row r="291" spans="1:23" s="173" customFormat="1" ht="12.75" customHeight="1" outlineLevel="1">
      <c r="A291" s="88"/>
      <c r="B291" s="88"/>
      <c r="C291" s="89"/>
      <c r="D291" s="290"/>
      <c r="E291" s="292" t="s">
        <v>366</v>
      </c>
      <c r="F291" s="292"/>
      <c r="G291" s="292" t="s">
        <v>77</v>
      </c>
      <c r="H291" s="184">
        <f xml:space="preserve"> SUM(J291:W291)</f>
        <v>-14.237595081988367</v>
      </c>
      <c r="I291" s="184"/>
      <c r="J291" s="184">
        <f xml:space="preserve"> J289 + J290</f>
        <v>0</v>
      </c>
      <c r="K291" s="184">
        <f t="shared" ref="K291:W291" si="115" xml:space="preserve"> K289 + K290</f>
        <v>0</v>
      </c>
      <c r="L291" s="184">
        <f t="shared" si="115"/>
        <v>0</v>
      </c>
      <c r="M291" s="184">
        <f t="shared" si="115"/>
        <v>0</v>
      </c>
      <c r="N291" s="184">
        <f t="shared" si="115"/>
        <v>0</v>
      </c>
      <c r="O291" s="184">
        <f t="shared" si="115"/>
        <v>0</v>
      </c>
      <c r="P291" s="184">
        <f t="shared" si="115"/>
        <v>0</v>
      </c>
      <c r="Q291" s="184">
        <f t="shared" si="115"/>
        <v>0</v>
      </c>
      <c r="R291" s="184">
        <f t="shared" si="115"/>
        <v>0</v>
      </c>
      <c r="S291" s="184">
        <f t="shared" si="115"/>
        <v>0</v>
      </c>
      <c r="T291" s="184">
        <f t="shared" si="115"/>
        <v>-14.237595081988367</v>
      </c>
      <c r="U291" s="184">
        <f t="shared" si="115"/>
        <v>0</v>
      </c>
      <c r="V291" s="184">
        <f t="shared" si="115"/>
        <v>0</v>
      </c>
      <c r="W291" s="184">
        <f t="shared" si="115"/>
        <v>0</v>
      </c>
    </row>
    <row r="292" spans="1:23" ht="12.75" customHeight="1">
      <c r="A292" s="61"/>
      <c r="C292" s="108"/>
      <c r="E292" s="72"/>
    </row>
    <row r="293" spans="1:23" s="116" customFormat="1" ht="13.15">
      <c r="A293" s="116" t="s">
        <v>219</v>
      </c>
      <c r="C293" s="117"/>
      <c r="D293" s="118"/>
      <c r="E293" s="117"/>
      <c r="F293" s="119"/>
    </row>
    <row r="294" spans="1:23" ht="13.15"/>
    <row r="295" spans="1:23" ht="12.75" hidden="1" customHeight="1"/>
    <row r="296" spans="1:23" ht="12.75" hidden="1" customHeight="1"/>
    <row r="297" spans="1:23" ht="12.75" hidden="1" customHeight="1"/>
    <row r="298" spans="1:23" ht="12.75" hidden="1" customHeight="1"/>
    <row r="299" spans="1:23" ht="12.75" hidden="1" customHeight="1"/>
    <row r="300" spans="1:23" ht="12.75" hidden="1" customHeight="1"/>
    <row r="301" spans="1:23" ht="12.75" hidden="1" customHeight="1"/>
    <row r="302" spans="1:23" ht="12.75" hidden="1" customHeight="1"/>
    <row r="303" spans="1:23" ht="12.75" hidden="1" customHeight="1"/>
    <row r="304" spans="1:23" ht="12.75" hidden="1" customHeight="1"/>
    <row r="305" ht="12.75" hidden="1" customHeight="1"/>
    <row r="306" ht="12.75" hidden="1" customHeight="1"/>
    <row r="307" ht="12.75" hidden="1" customHeight="1"/>
    <row r="308" ht="12.75" hidden="1" customHeight="1"/>
    <row r="309" ht="12.75" hidden="1" customHeight="1"/>
    <row r="310" ht="12.75" hidden="1" customHeight="1"/>
    <row r="311" ht="12.75" hidden="1" customHeight="1"/>
    <row r="312" ht="12.75" hidden="1" customHeight="1"/>
    <row r="313" ht="12.75" hidden="1" customHeight="1"/>
    <row r="314" ht="12.75" hidden="1" customHeight="1"/>
    <row r="315" ht="12.75" hidden="1" customHeight="1"/>
    <row r="316" ht="12.75" hidden="1" customHeight="1"/>
    <row r="317" ht="12.75" hidden="1" customHeight="1"/>
    <row r="318" ht="12.75" hidden="1" customHeight="1"/>
    <row r="319" ht="12.75" hidden="1" customHeight="1"/>
    <row r="320" ht="12.75" hidden="1" customHeight="1"/>
    <row r="321" ht="12.75" hidden="1" customHeight="1"/>
    <row r="322" ht="12.75" hidden="1" customHeight="1"/>
    <row r="323" ht="12.75" hidden="1" customHeight="1"/>
    <row r="324" ht="12.75" hidden="1" customHeight="1"/>
    <row r="325" ht="12.75" hidden="1" customHeight="1"/>
    <row r="326" ht="12.75" hidden="1" customHeight="1"/>
    <row r="327" ht="12.75" hidden="1" customHeight="1"/>
    <row r="328" ht="12.75" hidden="1" customHeight="1"/>
    <row r="329" ht="12.75" hidden="1" customHeight="1"/>
    <row r="330" ht="12.75" hidden="1" customHeight="1"/>
    <row r="331" ht="12.75" hidden="1" customHeight="1"/>
    <row r="332" ht="12.75" hidden="1" customHeight="1"/>
    <row r="333" ht="12.75" hidden="1" customHeight="1"/>
    <row r="334" ht="12.75" hidden="1" customHeight="1"/>
    <row r="335" ht="12.75" hidden="1" customHeight="1"/>
    <row r="336" ht="12.75" hidden="1" customHeight="1"/>
    <row r="337" ht="12.75" hidden="1" customHeight="1"/>
    <row r="338" ht="12.75" hidden="1" customHeight="1"/>
    <row r="339" ht="12.75" hidden="1" customHeight="1"/>
    <row r="340" ht="12.75" hidden="1" customHeight="1"/>
    <row r="341" ht="12.75" hidden="1" customHeight="1"/>
    <row r="342" ht="12.75" hidden="1" customHeight="1"/>
    <row r="343" ht="12.75" hidden="1" customHeight="1"/>
    <row r="344" ht="12.75" hidden="1" customHeight="1"/>
    <row r="345" ht="12.75" hidden="1" customHeight="1"/>
    <row r="346" ht="12.75" hidden="1" customHeight="1"/>
    <row r="347" ht="12.75" hidden="1" customHeight="1"/>
    <row r="348" ht="12.75" hidden="1" customHeight="1"/>
    <row r="349" ht="12.75" hidden="1" customHeight="1"/>
    <row r="350" ht="12.75" hidden="1" customHeight="1"/>
    <row r="351" ht="12.75" hidden="1" customHeight="1"/>
    <row r="352" ht="12.75" hidden="1" customHeight="1"/>
    <row r="353" ht="12.75" hidden="1" customHeight="1"/>
    <row r="354" ht="12.75" hidden="1" customHeight="1"/>
    <row r="355" ht="12.75" hidden="1" customHeight="1"/>
    <row r="356" ht="12.75" hidden="1" customHeight="1"/>
    <row r="357" ht="12.75" hidden="1" customHeight="1"/>
    <row r="358" ht="12.75" hidden="1" customHeight="1"/>
    <row r="359" ht="12.75" hidden="1" customHeight="1"/>
    <row r="360" ht="12.75" hidden="1" customHeight="1"/>
    <row r="361" ht="12.75" hidden="1" customHeight="1"/>
    <row r="362" ht="12.75" hidden="1" customHeight="1"/>
    <row r="363" ht="12.75" hidden="1" customHeight="1"/>
    <row r="364" ht="12.75" hidden="1" customHeight="1"/>
    <row r="365" ht="12.75" hidden="1" customHeight="1"/>
    <row r="366" ht="12.75" hidden="1" customHeight="1"/>
    <row r="367" ht="12.75" hidden="1" customHeight="1"/>
    <row r="368" ht="12.75" hidden="1" customHeight="1"/>
    <row r="369" ht="12.75" hidden="1" customHeight="1"/>
    <row r="370" ht="12.75" hidden="1" customHeight="1"/>
    <row r="371" ht="12.75" hidden="1" customHeight="1"/>
    <row r="372" ht="12.75" hidden="1" customHeight="1"/>
    <row r="373" ht="12.75" hidden="1" customHeight="1"/>
    <row r="374" ht="12.75" hidden="1" customHeight="1"/>
    <row r="375" ht="12.75" hidden="1" customHeight="1"/>
    <row r="376" ht="12.75" hidden="1" customHeight="1"/>
    <row r="377" ht="12.75" hidden="1" customHeight="1"/>
    <row r="378" ht="12.75" hidden="1" customHeight="1"/>
    <row r="379" ht="12.75" hidden="1" customHeight="1"/>
    <row r="380" ht="12.75" hidden="1" customHeight="1"/>
    <row r="381" ht="12.75" hidden="1" customHeight="1"/>
    <row r="382" ht="12.75" hidden="1" customHeight="1"/>
    <row r="383" ht="12.75" hidden="1" customHeight="1"/>
    <row r="384" ht="12.75" hidden="1" customHeight="1"/>
    <row r="385" ht="12.75" hidden="1" customHeight="1"/>
    <row r="386" ht="12.75" hidden="1" customHeight="1"/>
    <row r="387" ht="12.75" hidden="1" customHeight="1"/>
    <row r="388" ht="12.75" hidden="1" customHeight="1"/>
    <row r="389" ht="12.75" hidden="1" customHeight="1"/>
    <row r="390" ht="12.75" hidden="1" customHeight="1"/>
    <row r="391" ht="12.75" hidden="1" customHeight="1"/>
    <row r="392" ht="12.75" hidden="1" customHeight="1"/>
    <row r="393" ht="12.75" hidden="1" customHeight="1"/>
    <row r="394" ht="12.75" hidden="1" customHeight="1"/>
    <row r="395" ht="12.75" hidden="1" customHeight="1"/>
    <row r="396" ht="12.75" hidden="1" customHeight="1"/>
    <row r="397" ht="12.75" hidden="1" customHeight="1"/>
    <row r="398" ht="12.75" hidden="1" customHeight="1"/>
    <row r="399" ht="12.75" hidden="1" customHeight="1"/>
    <row r="400" ht="12.75" hidden="1" customHeight="1"/>
    <row r="401" ht="12.75" hidden="1" customHeight="1"/>
    <row r="402" ht="12.75" hidden="1" customHeight="1"/>
    <row r="403" ht="12.75" hidden="1" customHeight="1"/>
    <row r="404" ht="12.75" hidden="1" customHeight="1"/>
    <row r="405" ht="12.75" hidden="1" customHeight="1"/>
    <row r="406" ht="12.75" hidden="1" customHeight="1"/>
    <row r="407" ht="12.75" hidden="1" customHeight="1"/>
    <row r="408" ht="12.75" hidden="1" customHeight="1"/>
    <row r="409" ht="12.75" hidden="1" customHeight="1"/>
    <row r="410" ht="12.75" hidden="1" customHeight="1"/>
    <row r="411" ht="12.75" hidden="1" customHeight="1"/>
    <row r="412" ht="12.75" hidden="1" customHeight="1"/>
    <row r="413" ht="12.75" hidden="1" customHeight="1"/>
    <row r="414" ht="12.75" hidden="1" customHeight="1"/>
    <row r="415" ht="12.75" hidden="1" customHeight="1"/>
    <row r="416" ht="12.75" hidden="1" customHeight="1"/>
    <row r="417" ht="12.75" hidden="1" customHeight="1"/>
    <row r="418" ht="12.75" hidden="1" customHeight="1"/>
    <row r="419" ht="12.75" hidden="1" customHeight="1"/>
    <row r="420" ht="12.75" hidden="1" customHeight="1"/>
    <row r="421" ht="12.75" hidden="1" customHeight="1"/>
    <row r="422" ht="12.75" hidden="1" customHeight="1"/>
    <row r="423" ht="12.75" hidden="1" customHeight="1"/>
    <row r="424" ht="12.75" hidden="1" customHeight="1"/>
    <row r="425" ht="12.75" hidden="1" customHeight="1"/>
    <row r="426" ht="12.75" hidden="1" customHeight="1"/>
    <row r="427" ht="12.75" hidden="1" customHeight="1"/>
    <row r="428" ht="12.75" hidden="1" customHeight="1"/>
    <row r="429" ht="12.75" hidden="1" customHeight="1"/>
    <row r="430" ht="12.75" hidden="1" customHeight="1"/>
    <row r="431" ht="12.75" hidden="1" customHeight="1"/>
    <row r="432" ht="12.75" hidden="1" customHeight="1"/>
    <row r="433" ht="12.75" hidden="1" customHeight="1"/>
    <row r="434" ht="12.75" hidden="1" customHeight="1"/>
    <row r="435" ht="12.75" hidden="1" customHeight="1"/>
    <row r="436" ht="12.75" hidden="1" customHeight="1"/>
    <row r="437" ht="12.75" hidden="1" customHeight="1"/>
    <row r="438" ht="12.75" hidden="1" customHeight="1"/>
    <row r="439" ht="12.75" hidden="1" customHeight="1"/>
    <row r="440" ht="12.75" hidden="1" customHeight="1"/>
    <row r="441" ht="12.75" hidden="1" customHeight="1"/>
    <row r="442" ht="12.75" hidden="1" customHeight="1"/>
    <row r="443" ht="12.75" hidden="1" customHeight="1"/>
    <row r="444" ht="12.75" hidden="1" customHeight="1"/>
    <row r="445" ht="12.75" hidden="1" customHeight="1"/>
    <row r="446" ht="12.75" hidden="1" customHeight="1"/>
    <row r="447" ht="12.75" hidden="1" customHeight="1"/>
    <row r="448" ht="12.75" hidden="1" customHeight="1"/>
    <row r="449" ht="12.75" hidden="1" customHeight="1"/>
    <row r="450" ht="12.75" hidden="1" customHeight="1"/>
    <row r="451" ht="12.75" hidden="1" customHeight="1"/>
    <row r="452" ht="12.75" hidden="1" customHeight="1"/>
    <row r="453" ht="12.75" hidden="1" customHeight="1"/>
    <row r="454" ht="12.75" hidden="1" customHeight="1"/>
    <row r="455" ht="12.75" hidden="1" customHeight="1"/>
    <row r="456" ht="12.75" hidden="1" customHeight="1"/>
    <row r="457" ht="12.75" hidden="1" customHeight="1"/>
    <row r="458" ht="12.75" hidden="1" customHeight="1"/>
    <row r="459" ht="12.75" hidden="1" customHeight="1"/>
    <row r="460" ht="12.75" hidden="1" customHeight="1"/>
    <row r="461" ht="12.75" hidden="1" customHeight="1"/>
    <row r="462" ht="12.75" hidden="1" customHeight="1"/>
    <row r="463" ht="12.75" hidden="1" customHeight="1"/>
    <row r="464" ht="12.75" hidden="1" customHeight="1"/>
    <row r="465" ht="12.75" hidden="1" customHeight="1"/>
    <row r="466" ht="12.75" hidden="1" customHeight="1"/>
    <row r="467" ht="12.75" hidden="1" customHeight="1"/>
    <row r="468" ht="12.75" hidden="1" customHeight="1"/>
    <row r="469" ht="12.75" hidden="1" customHeight="1"/>
    <row r="470" ht="12.75" hidden="1" customHeight="1"/>
    <row r="471" ht="12.75" hidden="1" customHeight="1"/>
    <row r="472" ht="12.75" hidden="1" customHeight="1"/>
    <row r="473" ht="12.75" hidden="1" customHeight="1"/>
    <row r="474" ht="12.75" hidden="1" customHeight="1"/>
    <row r="475" ht="12.75" hidden="1" customHeight="1"/>
    <row r="476" ht="12.75" hidden="1" customHeight="1"/>
    <row r="477" ht="12.75" hidden="1" customHeight="1"/>
    <row r="478" ht="12.75" hidden="1" customHeight="1"/>
    <row r="479" ht="12.75" hidden="1" customHeight="1"/>
    <row r="480" ht="12.75" hidden="1" customHeight="1"/>
    <row r="481" ht="12.75" hidden="1" customHeight="1"/>
    <row r="482" ht="12.75" hidden="1" customHeight="1"/>
    <row r="483" ht="12.75" hidden="1" customHeight="1"/>
    <row r="484" ht="12.75" hidden="1" customHeight="1"/>
  </sheetData>
  <dataConsolidate/>
  <conditionalFormatting sqref="F2">
    <cfRule type="cellIs" dxfId="71" priority="13" stopIfTrue="1" operator="notEqual">
      <formula>0</formula>
    </cfRule>
    <cfRule type="cellIs" dxfId="70" priority="14" stopIfTrue="1" operator="equal">
      <formula>""</formula>
    </cfRule>
  </conditionalFormatting>
  <conditionalFormatting sqref="F3">
    <cfRule type="cellIs" dxfId="69" priority="11" stopIfTrue="1" operator="notEqual">
      <formula>0</formula>
    </cfRule>
    <cfRule type="cellIs" dxfId="68" priority="12" stopIfTrue="1" operator="equal">
      <formula>""</formula>
    </cfRule>
  </conditionalFormatting>
  <conditionalFormatting sqref="F166">
    <cfRule type="cellIs" dxfId="67" priority="5" stopIfTrue="1" operator="notEqual">
      <formula>0</formula>
    </cfRule>
    <cfRule type="cellIs" dxfId="66" priority="6" stopIfTrue="1" operator="equal">
      <formula>""</formula>
    </cfRule>
  </conditionalFormatting>
  <conditionalFormatting sqref="F181">
    <cfRule type="cellIs" dxfId="65" priority="15" stopIfTrue="1" operator="notEqual">
      <formula>0</formula>
    </cfRule>
    <cfRule type="cellIs" dxfId="64" priority="16" stopIfTrue="1" operator="equal">
      <formula>""</formula>
    </cfRule>
  </conditionalFormatting>
  <conditionalFormatting sqref="J166:W166">
    <cfRule type="cellIs" dxfId="61" priority="1" stopIfTrue="1" operator="notEqual">
      <formula>0</formula>
    </cfRule>
    <cfRule type="cellIs" dxfId="60" priority="2" stopIfTrue="1" operator="equal">
      <formula>""</formula>
    </cfRule>
  </conditionalFormatting>
  <conditionalFormatting sqref="J181:W181">
    <cfRule type="cellIs" dxfId="59" priority="25" stopIfTrue="1" operator="notEqual">
      <formula>0</formula>
    </cfRule>
    <cfRule type="cellIs" dxfId="58" priority="26" stopIfTrue="1" operator="equal">
      <formula>""</formula>
    </cfRule>
  </conditionalFormatting>
  <conditionalFormatting sqref="V3:W3">
    <cfRule type="cellIs" dxfId="56" priority="40" operator="equal">
      <formula>#REF!</formula>
    </cfRule>
    <cfRule type="cellIs" dxfId="55" priority="43" stopIfTrue="1" operator="equal">
      <formula>#REF!</formula>
    </cfRule>
    <cfRule type="cellIs" dxfId="54" priority="44" stopIfTrue="1" operator="equal">
      <formula>#REF!</formula>
    </cfRule>
  </conditionalFormatting>
  <pageMargins left="0.7" right="0.7" top="0.75" bottom="0.75" header="0.3" footer="0.3"/>
  <pageSetup paperSize="9" scale="28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stopIfTrue="1" operator="equal" id="{7092DFC0-82AF-4858-ACE6-0B6603049FA4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37" stopIfTrue="1" operator="equal" id="{B6C5F008-E939-4B2C-B147-F82DC7A00153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35" operator="equal" id="{10D3ECC9-9502-4916-B665-F1523F8D176B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37DC-15E4-48E8-A09F-8E33CEC6198E}">
  <sheetPr codeName="Sheet21">
    <outlinePr summaryBelow="0" summaryRight="0"/>
    <pageSetUpPr fitToPage="1"/>
  </sheetPr>
  <dimension ref="A1:W250"/>
  <sheetViews>
    <sheetView showGridLines="0" zoomScale="70" zoomScaleNormal="70" workbookViewId="0">
      <pane xSplit="9" ySplit="5" topLeftCell="J15" activePane="bottomRight" state="frozen"/>
      <selection pane="topRight" activeCell="C22" sqref="C22"/>
      <selection pane="bottomLeft" activeCell="C22" sqref="C22"/>
      <selection pane="bottomRight" activeCell="R44" sqref="R44"/>
    </sheetView>
  </sheetViews>
  <sheetFormatPr defaultColWidth="0" defaultRowHeight="13.15" zeroHeight="1" outlineLevelRow="1"/>
  <cols>
    <col min="1" max="1" width="1.3984375" style="62" customWidth="1"/>
    <col min="2" max="2" width="1.3984375" style="61" customWidth="1"/>
    <col min="3" max="3" width="1.3984375" style="60" customWidth="1"/>
    <col min="4" max="4" width="1.3984375" style="59" customWidth="1"/>
    <col min="5" max="5" width="76.3984375" style="55" bestFit="1" customWidth="1"/>
    <col min="6" max="6" width="12.59765625" style="55" customWidth="1"/>
    <col min="7" max="7" width="11.59765625" style="55" customWidth="1"/>
    <col min="8" max="8" width="15.59765625" style="55" customWidth="1"/>
    <col min="9" max="9" width="2.59765625" style="99" customWidth="1"/>
    <col min="10" max="21" width="12.59765625" style="55" customWidth="1"/>
    <col min="22" max="23" width="12.59765625" customWidth="1"/>
    <col min="24" max="16384" width="9" style="5" hidden="1"/>
  </cols>
  <sheetData>
    <row r="1" spans="1:23" ht="29.65">
      <c r="A1" s="211" t="str">
        <f ca="1" xml:space="preserve"> RIGHT(CELL("filename", $A$1), LEN(CELL("filename", $A$1)) - SEARCH("]", CELL("filename", $A$1)))</f>
        <v>Wastewater Network-Plus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2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>
      <c r="A5" s="88"/>
      <c r="B5" s="88"/>
      <c r="C5" s="89"/>
      <c r="D5" s="56"/>
      <c r="E5" s="56" t="str">
        <f xml:space="preserve"> Time!E$10</f>
        <v>Model column counter</v>
      </c>
      <c r="F5" s="48" t="s">
        <v>116</v>
      </c>
      <c r="G5" s="158" t="s">
        <v>117</v>
      </c>
      <c r="H5" s="48" t="s">
        <v>118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>
      <c r="A6" s="88"/>
      <c r="B6" s="88"/>
      <c r="C6" s="89"/>
      <c r="D6" s="159"/>
      <c r="E6" s="107"/>
      <c r="F6" s="54"/>
      <c r="G6" s="109"/>
      <c r="H6" s="54"/>
      <c r="I6" s="5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>
      <c r="A7" s="113" t="s">
        <v>284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A8" s="61"/>
      <c r="C8" s="108"/>
      <c r="E8" s="111"/>
      <c r="V8" s="55"/>
      <c r="W8" s="55"/>
    </row>
    <row r="9" spans="1:23" s="127" customFormat="1" outlineLevel="1">
      <c r="A9" s="64"/>
      <c r="B9" s="64" t="s">
        <v>367</v>
      </c>
      <c r="C9" s="71"/>
      <c r="D9" s="69"/>
      <c r="E9" s="72"/>
      <c r="F9" s="72"/>
      <c r="G9" s="72"/>
      <c r="H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7" customFormat="1" outlineLevel="1">
      <c r="A10" s="64"/>
      <c r="B10" s="64"/>
      <c r="C10" s="71"/>
      <c r="D10" s="69"/>
      <c r="E10" s="72"/>
      <c r="F10" s="72"/>
      <c r="G10" s="72"/>
      <c r="H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7" customFormat="1" outlineLevel="1">
      <c r="A11" s="64"/>
      <c r="B11" s="64"/>
      <c r="C11" s="71"/>
      <c r="D11" s="69"/>
      <c r="E11" s="110" t="str">
        <f xml:space="preserve"> Inputs!E$120</f>
        <v>Allowed revenue - WW-N+ (base year 2019/2020)</v>
      </c>
      <c r="F11" s="110">
        <f xml:space="preserve"> Inputs!F$120</f>
        <v>391.91500000000002</v>
      </c>
      <c r="G11" s="110" t="str">
        <f xml:space="preserve"> Inputs!G$120</f>
        <v>£m</v>
      </c>
      <c r="H11" s="110">
        <f xml:space="preserve"> Inputs!H$120</f>
        <v>0</v>
      </c>
      <c r="I11" s="110">
        <f xml:space="preserve"> Inputs!I$120</f>
        <v>0</v>
      </c>
      <c r="J11" s="110">
        <f xml:space="preserve"> Inputs!J$120</f>
        <v>0</v>
      </c>
      <c r="K11" s="110">
        <f xml:space="preserve"> Inputs!K$120</f>
        <v>0</v>
      </c>
      <c r="L11" s="110">
        <f xml:space="preserve"> Inputs!L$120</f>
        <v>0</v>
      </c>
      <c r="M11" s="110">
        <f xml:space="preserve"> Inputs!M$120</f>
        <v>0</v>
      </c>
      <c r="N11" s="110">
        <f xml:space="preserve"> Inputs!N$120</f>
        <v>0</v>
      </c>
      <c r="O11" s="110">
        <f xml:space="preserve"> Inputs!O$120</f>
        <v>0</v>
      </c>
      <c r="P11" s="110">
        <f xml:space="preserve"> Inputs!P$120</f>
        <v>0</v>
      </c>
      <c r="Q11" s="110">
        <f xml:space="preserve"> Inputs!Q$120</f>
        <v>0</v>
      </c>
      <c r="R11" s="110">
        <f xml:space="preserve"> Inputs!R$120</f>
        <v>0</v>
      </c>
      <c r="S11" s="110">
        <f xml:space="preserve"> Inputs!S$120</f>
        <v>0</v>
      </c>
      <c r="T11" s="110">
        <f xml:space="preserve"> Inputs!T$120</f>
        <v>0</v>
      </c>
      <c r="U11" s="110">
        <f xml:space="preserve"> Inputs!U$120</f>
        <v>0</v>
      </c>
      <c r="V11" s="110">
        <f xml:space="preserve"> Inputs!V$120</f>
        <v>0</v>
      </c>
      <c r="W11" s="110">
        <f xml:space="preserve"> Inputs!W$120</f>
        <v>0</v>
      </c>
    </row>
    <row r="12" spans="1:23" s="83" customFormat="1" outlineLevel="1">
      <c r="A12" s="299"/>
      <c r="B12" s="299"/>
      <c r="C12" s="300"/>
      <c r="D12" s="301"/>
      <c r="E12" s="79" t="str">
        <f xml:space="preserve"> 'Indices and K factor'!E$64</f>
        <v>Revenue indexation - WW-N+</v>
      </c>
      <c r="F12" s="79">
        <f xml:space="preserve"> 'Indices and K factor'!F$64</f>
        <v>0</v>
      </c>
      <c r="G12" s="79" t="str">
        <f xml:space="preserve"> 'Indices and K factor'!G$64</f>
        <v>factor</v>
      </c>
      <c r="H12" s="79">
        <f xml:space="preserve"> 'Indices and K factor'!H$64</f>
        <v>0</v>
      </c>
      <c r="I12" s="79">
        <f xml:space="preserve"> 'Indices and K factor'!I$64</f>
        <v>0</v>
      </c>
      <c r="J12" s="225">
        <f xml:space="preserve"> 'Indices and K factor'!J$64</f>
        <v>0</v>
      </c>
      <c r="K12" s="225">
        <f xml:space="preserve"> 'Indices and K factor'!K$64</f>
        <v>0</v>
      </c>
      <c r="L12" s="225">
        <f xml:space="preserve"> 'Indices and K factor'!L$64</f>
        <v>0</v>
      </c>
      <c r="M12" s="225">
        <f xml:space="preserve"> 'Indices and K factor'!M$64</f>
        <v>0</v>
      </c>
      <c r="N12" s="225">
        <f xml:space="preserve"> 'Indices and K factor'!N$64</f>
        <v>0</v>
      </c>
      <c r="O12" s="225">
        <f xml:space="preserve"> 'Indices and K factor'!O$64</f>
        <v>0</v>
      </c>
      <c r="P12" s="225">
        <f xml:space="preserve"> 'Indices and K factor'!P$64</f>
        <v>1.0149672591206735</v>
      </c>
      <c r="Q12" s="225">
        <f xml:space="preserve"> 'Indices and K factor'!Q$64</f>
        <v>1.0025299539170507</v>
      </c>
      <c r="R12" s="225">
        <f xml:space="preserve"> 'Indices and K factor'!R$64</f>
        <v>1.0327295142071495</v>
      </c>
      <c r="S12" s="225">
        <f xml:space="preserve"> 'Indices and K factor'!S$64</f>
        <v>1.0832773882559159</v>
      </c>
      <c r="T12" s="225">
        <f xml:space="preserve"> 'Indices and K factor'!T$64</f>
        <v>1.0279666666666667</v>
      </c>
      <c r="U12" s="225">
        <f xml:space="preserve"> 'Indices and K factor'!U$64</f>
        <v>0</v>
      </c>
      <c r="V12" s="225">
        <f xml:space="preserve"> 'Indices and K factor'!V$64</f>
        <v>0</v>
      </c>
      <c r="W12" s="225">
        <f xml:space="preserve"> 'Indices and K factor'!W$64</f>
        <v>0</v>
      </c>
    </row>
    <row r="13" spans="1:23" s="121" customFormat="1" ht="12.75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outlineLevel="1">
      <c r="A14" s="302"/>
      <c r="B14" s="302"/>
      <c r="C14" s="303"/>
      <c r="E14" s="203" t="s">
        <v>198</v>
      </c>
      <c r="F14" s="304"/>
      <c r="G14" s="304" t="s">
        <v>77</v>
      </c>
      <c r="H14" s="208">
        <f xml:space="preserve"> SUM(J14:W14)</f>
        <v>2113.1570356182865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t="shared" si="0"/>
        <v>397.78089335827877</v>
      </c>
      <c r="Q14" s="208">
        <f t="shared" si="0"/>
        <v>398.7872606875585</v>
      </c>
      <c r="R14" s="208">
        <f t="shared" si="0"/>
        <v>411.83937400186221</v>
      </c>
      <c r="S14" s="208">
        <f t="shared" si="0"/>
        <v>446.13628144968862</v>
      </c>
      <c r="T14" s="208">
        <f t="shared" si="0"/>
        <v>458.61322612089828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outlineLevel="1">
      <c r="A15" s="61"/>
      <c r="C15" s="108"/>
      <c r="E15" s="111"/>
      <c r="V15" s="55"/>
      <c r="W15" s="55"/>
    </row>
    <row r="16" spans="1:23">
      <c r="A16" s="113" t="s">
        <v>293</v>
      </c>
      <c r="B16" s="113"/>
      <c r="C16" s="112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pans="1:23">
      <c r="A17" s="61"/>
      <c r="C17" s="108"/>
      <c r="E17" s="111"/>
      <c r="V17" s="55"/>
      <c r="W17" s="55"/>
    </row>
    <row r="18" spans="1:23" s="127" customFormat="1" outlineLevel="1">
      <c r="A18" s="64"/>
      <c r="B18" s="64" t="s">
        <v>184</v>
      </c>
      <c r="C18" s="71"/>
      <c r="D18" s="69"/>
      <c r="E18" s="72"/>
      <c r="F18" s="72"/>
      <c r="G18" s="72"/>
      <c r="H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127" customFormat="1" outlineLevel="1">
      <c r="A19" s="64"/>
      <c r="B19" s="64"/>
      <c r="C19" s="71"/>
      <c r="D19" s="69"/>
      <c r="E19" s="72"/>
      <c r="F19" s="72"/>
      <c r="G19" s="72"/>
      <c r="H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127" customFormat="1" outlineLevel="1">
      <c r="A20" s="64"/>
      <c r="B20" s="64"/>
      <c r="C20" s="71"/>
      <c r="D20" s="69"/>
      <c r="E20" s="110" t="str">
        <f xml:space="preserve"> Inputs!E$128</f>
        <v>Total blind year adjustment - WW-N+ (base year 2019/2020)</v>
      </c>
      <c r="F20" s="110">
        <f xml:space="preserve"> Inputs!F$128</f>
        <v>-0.67540250747777653</v>
      </c>
      <c r="G20" s="110" t="str">
        <f xml:space="preserve"> Inputs!G$128</f>
        <v>£m</v>
      </c>
      <c r="H20" s="110">
        <f xml:space="preserve"> Inputs!H$128</f>
        <v>0</v>
      </c>
      <c r="I20" s="110">
        <f xml:space="preserve"> Inputs!I$128</f>
        <v>0</v>
      </c>
      <c r="J20" s="110">
        <f xml:space="preserve"> Inputs!J$128</f>
        <v>0</v>
      </c>
      <c r="K20" s="110">
        <f xml:space="preserve"> Inputs!K$128</f>
        <v>0</v>
      </c>
      <c r="L20" s="110">
        <f xml:space="preserve"> Inputs!L$128</f>
        <v>0</v>
      </c>
      <c r="M20" s="110">
        <f xml:space="preserve"> Inputs!M$128</f>
        <v>0</v>
      </c>
      <c r="N20" s="110">
        <f xml:space="preserve"> Inputs!N$128</f>
        <v>0</v>
      </c>
      <c r="O20" s="110">
        <f xml:space="preserve"> Inputs!O$128</f>
        <v>0</v>
      </c>
      <c r="P20" s="110">
        <f xml:space="preserve"> Inputs!P$128</f>
        <v>0</v>
      </c>
      <c r="Q20" s="110">
        <f xml:space="preserve"> Inputs!Q$128</f>
        <v>0</v>
      </c>
      <c r="R20" s="110">
        <f xml:space="preserve"> Inputs!R$128</f>
        <v>0</v>
      </c>
      <c r="S20" s="110">
        <f xml:space="preserve"> Inputs!S$128</f>
        <v>0</v>
      </c>
      <c r="T20" s="110">
        <f xml:space="preserve"> Inputs!T$128</f>
        <v>0</v>
      </c>
      <c r="U20" s="110">
        <f xml:space="preserve"> Inputs!U$128</f>
        <v>0</v>
      </c>
      <c r="V20" s="110">
        <f xml:space="preserve"> Inputs!V$128</f>
        <v>0</v>
      </c>
      <c r="W20" s="110">
        <f xml:space="preserve"> Inputs!W$128</f>
        <v>0</v>
      </c>
    </row>
    <row r="21" spans="1:23" s="127" customFormat="1" outlineLevel="1">
      <c r="A21" s="64"/>
      <c r="B21" s="64"/>
      <c r="C21" s="71"/>
      <c r="D21" s="69"/>
      <c r="E21" s="110" t="str">
        <f xml:space="preserve"> Inputs!E$130</f>
        <v xml:space="preserve">Blind year profiling factor - WW-N+ </v>
      </c>
      <c r="F21" s="110">
        <f xml:space="preserve"> Inputs!F$130</f>
        <v>0</v>
      </c>
      <c r="G21" s="110" t="str">
        <f xml:space="preserve"> Inputs!G$130</f>
        <v>%</v>
      </c>
      <c r="H21" s="34">
        <f xml:space="preserve"> Inputs!H$130</f>
        <v>1</v>
      </c>
      <c r="I21" s="34">
        <f xml:space="preserve"> Inputs!I$130</f>
        <v>0</v>
      </c>
      <c r="J21" s="34">
        <f xml:space="preserve"> Inputs!J$130</f>
        <v>0</v>
      </c>
      <c r="K21" s="34">
        <f xml:space="preserve"> Inputs!K$130</f>
        <v>0</v>
      </c>
      <c r="L21" s="34">
        <f xml:space="preserve"> Inputs!L$130</f>
        <v>0</v>
      </c>
      <c r="M21" s="34">
        <f xml:space="preserve"> Inputs!M$130</f>
        <v>0</v>
      </c>
      <c r="N21" s="34">
        <f xml:space="preserve"> Inputs!N$130</f>
        <v>0</v>
      </c>
      <c r="O21" s="34">
        <f xml:space="preserve"> Inputs!O$130</f>
        <v>0</v>
      </c>
      <c r="P21" s="34">
        <f xml:space="preserve"> Inputs!P$130</f>
        <v>0</v>
      </c>
      <c r="Q21" s="34">
        <f xml:space="preserve"> Inputs!Q$130</f>
        <v>0.25</v>
      </c>
      <c r="R21" s="34">
        <f xml:space="preserve"> Inputs!R$130</f>
        <v>0.25</v>
      </c>
      <c r="S21" s="34">
        <f xml:space="preserve"> Inputs!S$130</f>
        <v>0.25</v>
      </c>
      <c r="T21" s="34">
        <f xml:space="preserve"> Inputs!T$130</f>
        <v>0.25</v>
      </c>
      <c r="U21" s="34">
        <f xml:space="preserve"> Inputs!U$130</f>
        <v>0</v>
      </c>
      <c r="V21" s="34">
        <f xml:space="preserve"> Inputs!V$130</f>
        <v>0</v>
      </c>
      <c r="W21" s="34">
        <f xml:space="preserve"> Inputs!W$130</f>
        <v>0</v>
      </c>
    </row>
    <row r="22" spans="1:23" s="127" customFormat="1" outlineLevel="1">
      <c r="A22" s="64"/>
      <c r="B22" s="64"/>
      <c r="C22" s="341" t="s">
        <v>26</v>
      </c>
      <c r="D22" s="69"/>
      <c r="E22" s="127" t="s">
        <v>368</v>
      </c>
      <c r="F22" s="110"/>
      <c r="G22" s="68" t="s">
        <v>77</v>
      </c>
      <c r="H22" s="81">
        <f xml:space="preserve"> SUM(J22:W22)</f>
        <v>-0.67540250747777653</v>
      </c>
      <c r="I22" s="84"/>
      <c r="J22" s="81">
        <f xml:space="preserve"> J21 * $F$20</f>
        <v>0</v>
      </c>
      <c r="K22" s="81">
        <f t="shared" ref="K22:W22" si="1" xml:space="preserve"> K21 * $F$20</f>
        <v>0</v>
      </c>
      <c r="L22" s="81">
        <f t="shared" si="1"/>
        <v>0</v>
      </c>
      <c r="M22" s="81">
        <f t="shared" si="1"/>
        <v>0</v>
      </c>
      <c r="N22" s="81">
        <f t="shared" si="1"/>
        <v>0</v>
      </c>
      <c r="O22" s="81">
        <f t="shared" si="1"/>
        <v>0</v>
      </c>
      <c r="P22" s="81">
        <f t="shared" si="1"/>
        <v>0</v>
      </c>
      <c r="Q22" s="81">
        <f t="shared" si="1"/>
        <v>-0.16885062686944413</v>
      </c>
      <c r="R22" s="81">
        <f t="shared" si="1"/>
        <v>-0.16885062686944413</v>
      </c>
      <c r="S22" s="81">
        <f t="shared" si="1"/>
        <v>-0.16885062686944413</v>
      </c>
      <c r="T22" s="81">
        <f t="shared" si="1"/>
        <v>-0.16885062686944413</v>
      </c>
      <c r="U22" s="81">
        <f t="shared" si="1"/>
        <v>0</v>
      </c>
      <c r="V22" s="81">
        <f t="shared" si="1"/>
        <v>0</v>
      </c>
      <c r="W22" s="81">
        <f t="shared" si="1"/>
        <v>0</v>
      </c>
    </row>
    <row r="23" spans="1:23" s="127" customFormat="1" outlineLevel="1">
      <c r="A23" s="64"/>
      <c r="B23" s="64"/>
      <c r="C23" s="71"/>
      <c r="D23" s="69"/>
      <c r="F23" s="110"/>
      <c r="G23" s="110"/>
      <c r="H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s="127" customFormat="1" outlineLevel="1">
      <c r="A24" s="64"/>
      <c r="B24" s="64"/>
      <c r="C24" s="71"/>
      <c r="D24" s="69"/>
      <c r="E24" s="34" t="str">
        <f xml:space="preserve"> Inputs!E$63</f>
        <v>Discount rate</v>
      </c>
      <c r="F24" s="34">
        <f xml:space="preserve"> Inputs!F$63</f>
        <v>2.92E-2</v>
      </c>
      <c r="G24" s="34" t="str">
        <f xml:space="preserve"> Inputs!G$63</f>
        <v>%</v>
      </c>
      <c r="H24" s="34">
        <f xml:space="preserve"> Inputs!H$63</f>
        <v>0</v>
      </c>
      <c r="I24" s="34">
        <f xml:space="preserve"> Inputs!I$63</f>
        <v>0</v>
      </c>
      <c r="J24" s="34">
        <f xml:space="preserve"> Inputs!J$63</f>
        <v>0</v>
      </c>
      <c r="K24" s="34">
        <f xml:space="preserve"> Inputs!K$63</f>
        <v>0</v>
      </c>
      <c r="L24" s="34">
        <f xml:space="preserve"> Inputs!L$63</f>
        <v>0</v>
      </c>
      <c r="M24" s="34">
        <f xml:space="preserve"> Inputs!M$63</f>
        <v>0</v>
      </c>
      <c r="N24" s="34">
        <f xml:space="preserve"> Inputs!N$63</f>
        <v>0</v>
      </c>
      <c r="O24" s="34">
        <f xml:space="preserve"> Inputs!O$63</f>
        <v>0</v>
      </c>
      <c r="P24" s="34">
        <f xml:space="preserve"> Inputs!P$63</f>
        <v>0</v>
      </c>
      <c r="Q24" s="34">
        <f xml:space="preserve"> Inputs!Q$63</f>
        <v>0</v>
      </c>
      <c r="R24" s="34">
        <f xml:space="preserve"> Inputs!R$63</f>
        <v>0</v>
      </c>
      <c r="S24" s="34">
        <f xml:space="preserve"> Inputs!S$63</f>
        <v>0</v>
      </c>
      <c r="T24" s="34">
        <f xml:space="preserve"> Inputs!T$63</f>
        <v>0</v>
      </c>
      <c r="U24" s="34">
        <f xml:space="preserve"> Inputs!U$63</f>
        <v>0</v>
      </c>
      <c r="V24" s="34">
        <f xml:space="preserve"> Inputs!V$63</f>
        <v>0</v>
      </c>
      <c r="W24" s="34">
        <f xml:space="preserve"> Inputs!W$63</f>
        <v>0</v>
      </c>
    </row>
    <row r="25" spans="1:23" s="127" customFormat="1" outlineLevel="1">
      <c r="A25" s="64"/>
      <c r="B25" s="64"/>
      <c r="C25" s="71"/>
      <c r="D25" s="69"/>
      <c r="E25" s="127" t="str">
        <f xml:space="preserve"> E$22</f>
        <v>Blind year adjustment (profiled) - WW-N+ (base year 2019/20)</v>
      </c>
      <c r="F25" s="127">
        <f t="shared" ref="F25:W25" si="2" xml:space="preserve"> F$22</f>
        <v>0</v>
      </c>
      <c r="G25" s="127" t="str">
        <f t="shared" si="2"/>
        <v>£m</v>
      </c>
      <c r="H25" s="146">
        <f t="shared" si="2"/>
        <v>-0.67540250747777653</v>
      </c>
      <c r="I25" s="146">
        <f t="shared" si="2"/>
        <v>0</v>
      </c>
      <c r="J25" s="146">
        <f t="shared" si="2"/>
        <v>0</v>
      </c>
      <c r="K25" s="146">
        <f t="shared" si="2"/>
        <v>0</v>
      </c>
      <c r="L25" s="146">
        <f t="shared" si="2"/>
        <v>0</v>
      </c>
      <c r="M25" s="146">
        <f t="shared" si="2"/>
        <v>0</v>
      </c>
      <c r="N25" s="146">
        <f t="shared" si="2"/>
        <v>0</v>
      </c>
      <c r="O25" s="146">
        <f t="shared" si="2"/>
        <v>0</v>
      </c>
      <c r="P25" s="146">
        <f t="shared" si="2"/>
        <v>0</v>
      </c>
      <c r="Q25" s="146">
        <f t="shared" si="2"/>
        <v>-0.16885062686944413</v>
      </c>
      <c r="R25" s="146">
        <f t="shared" si="2"/>
        <v>-0.16885062686944413</v>
      </c>
      <c r="S25" s="146">
        <f t="shared" si="2"/>
        <v>-0.16885062686944413</v>
      </c>
      <c r="T25" s="146">
        <f t="shared" si="2"/>
        <v>-0.16885062686944413</v>
      </c>
      <c r="U25" s="146">
        <f t="shared" si="2"/>
        <v>0</v>
      </c>
      <c r="V25" s="146">
        <f t="shared" si="2"/>
        <v>0</v>
      </c>
      <c r="W25" s="146">
        <f t="shared" si="2"/>
        <v>0</v>
      </c>
    </row>
    <row r="26" spans="1:23" customFormat="1" ht="12.75" customHeight="1" outlineLevel="1">
      <c r="A26" s="62"/>
      <c r="B26" s="61"/>
      <c r="C26" s="60"/>
      <c r="D26" s="59"/>
      <c r="E26" s="43" t="str">
        <f xml:space="preserve"> Time!E$63</f>
        <v>Forecast period counter</v>
      </c>
      <c r="F26" s="43">
        <f xml:space="preserve"> Time!F$63</f>
        <v>0</v>
      </c>
      <c r="G26" s="43" t="str">
        <f xml:space="preserve"> Time!G$63</f>
        <v>counter</v>
      </c>
      <c r="H26" s="43">
        <f xml:space="preserve"> Time!H$63</f>
        <v>0</v>
      </c>
      <c r="I26" s="43">
        <f xml:space="preserve"> Time!I$63</f>
        <v>0</v>
      </c>
      <c r="J26" s="43">
        <f xml:space="preserve"> Time!J$63</f>
        <v>0</v>
      </c>
      <c r="K26" s="43">
        <f xml:space="preserve"> Time!K$63</f>
        <v>0</v>
      </c>
      <c r="L26" s="43">
        <f xml:space="preserve"> Time!L$63</f>
        <v>0</v>
      </c>
      <c r="M26" s="43">
        <f xml:space="preserve"> Time!M$63</f>
        <v>0</v>
      </c>
      <c r="N26" s="43">
        <f xml:space="preserve"> Time!N$63</f>
        <v>0</v>
      </c>
      <c r="O26" s="43">
        <f xml:space="preserve"> Time!O$63</f>
        <v>0</v>
      </c>
      <c r="P26" s="43">
        <f xml:space="preserve"> Time!P$63</f>
        <v>1</v>
      </c>
      <c r="Q26" s="43">
        <f xml:space="preserve"> Time!Q$63</f>
        <v>2</v>
      </c>
      <c r="R26" s="43">
        <f xml:space="preserve"> Time!R$63</f>
        <v>3</v>
      </c>
      <c r="S26" s="43">
        <f xml:space="preserve"> Time!S$63</f>
        <v>4</v>
      </c>
      <c r="T26" s="43">
        <f xml:space="preserve"> Time!T$63</f>
        <v>5</v>
      </c>
      <c r="U26" s="43">
        <f xml:space="preserve"> Time!U$63</f>
        <v>0</v>
      </c>
      <c r="V26" s="43">
        <f xml:space="preserve"> Time!V$63</f>
        <v>0</v>
      </c>
      <c r="W26" s="43">
        <f xml:space="preserve"> Time!W$63</f>
        <v>0</v>
      </c>
    </row>
    <row r="27" spans="1:23" customFormat="1" ht="12.75" customHeight="1" outlineLevel="1">
      <c r="A27" s="62"/>
      <c r="B27" s="62"/>
      <c r="C27" s="60"/>
      <c r="D27" s="59"/>
      <c r="E27" s="127" t="s">
        <v>369</v>
      </c>
      <c r="F27" s="17"/>
      <c r="G27" s="72" t="s">
        <v>77</v>
      </c>
      <c r="H27" s="68">
        <f xml:space="preserve"> SUM( J27:W27 )</f>
        <v>-0.74737181815136655</v>
      </c>
      <c r="I27" s="202"/>
      <c r="J27" s="68">
        <f xml:space="preserve"> J25 * ( 1 + $F$24 ) ^ J26</f>
        <v>0</v>
      </c>
      <c r="K27" s="68">
        <f t="shared" ref="K27:W27" si="3" xml:space="preserve"> K25 * ( 1 + $F$24 ) ^ K26</f>
        <v>0</v>
      </c>
      <c r="L27" s="68">
        <f t="shared" si="3"/>
        <v>0</v>
      </c>
      <c r="M27" s="68">
        <f t="shared" si="3"/>
        <v>0</v>
      </c>
      <c r="N27" s="68">
        <f t="shared" si="3"/>
        <v>0</v>
      </c>
      <c r="O27" s="68">
        <f t="shared" si="3"/>
        <v>0</v>
      </c>
      <c r="P27" s="68">
        <f t="shared" si="3"/>
        <v>0</v>
      </c>
      <c r="Q27" s="68">
        <f t="shared" si="3"/>
        <v>-0.1788554722771136</v>
      </c>
      <c r="R27" s="68">
        <f t="shared" si="3"/>
        <v>-0.1840780520676053</v>
      </c>
      <c r="S27" s="68">
        <f t="shared" si="3"/>
        <v>-0.18945313118797932</v>
      </c>
      <c r="T27" s="68">
        <f t="shared" si="3"/>
        <v>-0.1949851626186683</v>
      </c>
      <c r="U27" s="68">
        <f t="shared" si="3"/>
        <v>0</v>
      </c>
      <c r="V27" s="68">
        <f t="shared" si="3"/>
        <v>0</v>
      </c>
      <c r="W27" s="68">
        <f t="shared" si="3"/>
        <v>0</v>
      </c>
    </row>
    <row r="28" spans="1:23" customFormat="1" ht="12.75" customHeight="1" outlineLevel="1">
      <c r="A28" s="62"/>
      <c r="B28" s="62"/>
      <c r="C28" s="60"/>
      <c r="D28" s="59"/>
      <c r="E28" s="127"/>
      <c r="F28" s="17"/>
      <c r="G28" s="72"/>
      <c r="H28" s="17"/>
      <c r="I28" s="202"/>
      <c r="J28" s="17"/>
      <c r="K28" s="17"/>
      <c r="L28" s="17"/>
      <c r="M28" s="110"/>
      <c r="N28" s="110"/>
      <c r="O28" s="110"/>
      <c r="P28" s="110"/>
      <c r="Q28" s="110"/>
      <c r="R28" s="110"/>
      <c r="S28" s="110"/>
      <c r="T28" s="110"/>
      <c r="U28" s="110"/>
      <c r="V28" s="17"/>
      <c r="W28" s="17"/>
    </row>
    <row r="29" spans="1:23" outlineLevel="1">
      <c r="B29" s="62"/>
      <c r="E29" s="41" t="str">
        <f xml:space="preserve"> 'Indices and K factor'!E$22</f>
        <v>CPIH: Nov - Nov index (prior year) inflating from 2019/20</v>
      </c>
      <c r="F29" s="41">
        <f xml:space="preserve"> 'Indices and K factor'!F$22</f>
        <v>0</v>
      </c>
      <c r="G29" s="41" t="str">
        <f xml:space="preserve"> 'Indices and K factor'!G$22</f>
        <v>index</v>
      </c>
      <c r="H29" s="41">
        <f xml:space="preserve"> 'Indices and K factor'!H$22</f>
        <v>0</v>
      </c>
      <c r="I29" s="41">
        <f xml:space="preserve"> 'Indices and K factor'!I$22</f>
        <v>0</v>
      </c>
      <c r="J29" s="41">
        <f xml:space="preserve"> 'Indices and K factor'!J$22</f>
        <v>0</v>
      </c>
      <c r="K29" s="41">
        <f xml:space="preserve"> 'Indices and K factor'!K$22</f>
        <v>0</v>
      </c>
      <c r="L29" s="41">
        <f xml:space="preserve"> 'Indices and K factor'!L$22</f>
        <v>0</v>
      </c>
      <c r="M29" s="41">
        <f xml:space="preserve"> 'Indices and K factor'!M$22</f>
        <v>0</v>
      </c>
      <c r="N29" s="41">
        <f xml:space="preserve"> 'Indices and K factor'!N$22</f>
        <v>0</v>
      </c>
      <c r="O29" s="41">
        <f xml:space="preserve"> 'Indices and K factor'!O$22</f>
        <v>0</v>
      </c>
      <c r="P29" s="41">
        <f xml:space="preserve"> 'Indices and K factor'!P$22</f>
        <v>1.0149672591206735</v>
      </c>
      <c r="Q29" s="41">
        <f xml:space="preserve"> 'Indices and K factor'!Q$22</f>
        <v>1.020579981290926</v>
      </c>
      <c r="R29" s="41">
        <f xml:space="preserve"> 'Indices and K factor'!R$22</f>
        <v>1.0673526660430308</v>
      </c>
      <c r="S29" s="41">
        <f xml:space="preserve"> 'Indices and K factor'!S$22</f>
        <v>1.167446211412535</v>
      </c>
      <c r="T29" s="41">
        <f xml:space="preserve"> 'Indices and K factor'!T$22</f>
        <v>1.2160898035547241</v>
      </c>
      <c r="U29" s="41">
        <f xml:space="preserve"> 'Indices and K factor'!U$22</f>
        <v>0</v>
      </c>
      <c r="V29" s="41">
        <f xml:space="preserve"> 'Indices and K factor'!V$22</f>
        <v>0</v>
      </c>
      <c r="W29" s="41">
        <f xml:space="preserve"> 'Indices and K factor'!W$22</f>
        <v>0</v>
      </c>
    </row>
    <row r="30" spans="1:23" s="32" customFormat="1" outlineLevel="1">
      <c r="A30" s="52"/>
      <c r="B30" s="52"/>
      <c r="C30" s="50"/>
      <c r="D30" s="92"/>
      <c r="E30" s="99" t="str">
        <f xml:space="preserve"> E$27</f>
        <v>Blind year adjustment inc. financing rate adjustment - WW-N+ (base year 2019/2020)</v>
      </c>
      <c r="F30" s="99">
        <f t="shared" ref="F30:W30" si="4" xml:space="preserve"> F$27</f>
        <v>0</v>
      </c>
      <c r="G30" s="99" t="str">
        <f t="shared" si="4"/>
        <v>£m</v>
      </c>
      <c r="H30" s="91">
        <f t="shared" si="4"/>
        <v>-0.74737181815136655</v>
      </c>
      <c r="I30" s="91">
        <f t="shared" si="4"/>
        <v>0</v>
      </c>
      <c r="J30" s="91">
        <f t="shared" si="4"/>
        <v>0</v>
      </c>
      <c r="K30" s="91">
        <f t="shared" si="4"/>
        <v>0</v>
      </c>
      <c r="L30" s="91">
        <f t="shared" si="4"/>
        <v>0</v>
      </c>
      <c r="M30" s="91">
        <f t="shared" si="4"/>
        <v>0</v>
      </c>
      <c r="N30" s="91">
        <f t="shared" si="4"/>
        <v>0</v>
      </c>
      <c r="O30" s="91">
        <f t="shared" si="4"/>
        <v>0</v>
      </c>
      <c r="P30" s="91">
        <f t="shared" si="4"/>
        <v>0</v>
      </c>
      <c r="Q30" s="91">
        <f t="shared" si="4"/>
        <v>-0.1788554722771136</v>
      </c>
      <c r="R30" s="91">
        <f t="shared" si="4"/>
        <v>-0.1840780520676053</v>
      </c>
      <c r="S30" s="91">
        <f t="shared" si="4"/>
        <v>-0.18945313118797932</v>
      </c>
      <c r="T30" s="91">
        <f t="shared" si="4"/>
        <v>-0.1949851626186683</v>
      </c>
      <c r="U30" s="91">
        <f t="shared" si="4"/>
        <v>0</v>
      </c>
      <c r="V30" s="91">
        <f t="shared" si="4"/>
        <v>0</v>
      </c>
      <c r="W30" s="91">
        <f t="shared" si="4"/>
        <v>0</v>
      </c>
    </row>
    <row r="31" spans="1:23" s="127" customFormat="1" outlineLevel="1">
      <c r="A31" s="164"/>
      <c r="B31" s="164"/>
      <c r="C31" s="165"/>
      <c r="D31" s="73"/>
      <c r="E31" s="151" t="s">
        <v>370</v>
      </c>
      <c r="F31" s="151"/>
      <c r="G31" s="151" t="s">
        <v>77</v>
      </c>
      <c r="H31" s="273">
        <f xml:space="preserve"> SUM( J31:W31 )</f>
        <v>-0.83730832253539345</v>
      </c>
      <c r="I31" s="151"/>
      <c r="J31" s="273">
        <f xml:space="preserve"> J29 * J30</f>
        <v>0</v>
      </c>
      <c r="K31" s="273">
        <f t="shared" ref="K31:T31" si="5" xml:space="preserve"> K29 * K30</f>
        <v>0</v>
      </c>
      <c r="L31" s="273">
        <f xml:space="preserve"> L29 * L30</f>
        <v>0</v>
      </c>
      <c r="M31" s="273">
        <f t="shared" si="5"/>
        <v>0</v>
      </c>
      <c r="N31" s="273">
        <f t="shared" si="5"/>
        <v>0</v>
      </c>
      <c r="O31" s="273">
        <f t="shared" si="5"/>
        <v>0</v>
      </c>
      <c r="P31" s="273">
        <f xml:space="preserve"> P29 * P30</f>
        <v>0</v>
      </c>
      <c r="Q31" s="273">
        <f t="shared" si="5"/>
        <v>-0.18253631455035632</v>
      </c>
      <c r="R31" s="273">
        <f t="shared" si="5"/>
        <v>-0.19647619963436636</v>
      </c>
      <c r="S31" s="273">
        <f t="shared" si="5"/>
        <v>-0.22117634024564845</v>
      </c>
      <c r="T31" s="273">
        <f t="shared" si="5"/>
        <v>-0.23711946810502227</v>
      </c>
      <c r="U31" s="273">
        <f xml:space="preserve"> U29 * U30</f>
        <v>0</v>
      </c>
      <c r="V31" s="273">
        <f xml:space="preserve"> V29 * V30</f>
        <v>0</v>
      </c>
      <c r="W31" s="273">
        <f xml:space="preserve"> W29 * W30</f>
        <v>0</v>
      </c>
    </row>
    <row r="32" spans="1:23" s="127" customFormat="1" outlineLevel="1">
      <c r="A32" s="164"/>
      <c r="B32" s="64"/>
      <c r="C32" s="165"/>
      <c r="D32" s="69"/>
      <c r="E32" s="72"/>
      <c r="F32" s="72"/>
      <c r="G32" s="72"/>
      <c r="H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3" customFormat="1" ht="12.75" customHeight="1">
      <c r="A33" s="113" t="s">
        <v>302</v>
      </c>
      <c r="B33" s="113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</row>
    <row r="34" spans="1:23"/>
    <row r="35" spans="1:23" s="127" customFormat="1" outlineLevel="1">
      <c r="A35" s="64"/>
      <c r="B35" s="64" t="s">
        <v>371</v>
      </c>
      <c r="C35" s="71"/>
      <c r="D35" s="69"/>
      <c r="E35" s="72"/>
      <c r="F35" s="72"/>
      <c r="G35" s="72"/>
      <c r="H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s="127" customFormat="1" outlineLevel="1">
      <c r="A36" s="64"/>
      <c r="B36" s="64"/>
      <c r="C36" s="71"/>
      <c r="D36" s="69"/>
      <c r="E36" s="72"/>
      <c r="F36" s="72"/>
      <c r="G36" s="72"/>
      <c r="H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s="127" customFormat="1" outlineLevel="1">
      <c r="A37" s="64"/>
      <c r="B37" s="64"/>
      <c r="C37" s="71"/>
      <c r="D37" s="69"/>
      <c r="E37" s="126" t="str">
        <f t="shared" ref="E37:W37" si="6" xml:space="preserve"> E$14</f>
        <v>Allowed revenue - WW-N+ (base year 2019/2020)</v>
      </c>
      <c r="F37" s="126">
        <f t="shared" si="6"/>
        <v>0</v>
      </c>
      <c r="G37" s="126" t="str">
        <f t="shared" si="6"/>
        <v>£m</v>
      </c>
      <c r="H37" s="33">
        <f t="shared" si="6"/>
        <v>2113.1570356182865</v>
      </c>
      <c r="I37" s="33">
        <f t="shared" si="6"/>
        <v>0</v>
      </c>
      <c r="J37" s="33">
        <f t="shared" si="6"/>
        <v>0</v>
      </c>
      <c r="K37" s="33">
        <f t="shared" si="6"/>
        <v>0</v>
      </c>
      <c r="L37" s="33">
        <f t="shared" si="6"/>
        <v>0</v>
      </c>
      <c r="M37" s="33">
        <f t="shared" si="6"/>
        <v>0</v>
      </c>
      <c r="N37" s="33">
        <f t="shared" si="6"/>
        <v>0</v>
      </c>
      <c r="O37" s="33">
        <f t="shared" si="6"/>
        <v>0</v>
      </c>
      <c r="P37" s="33">
        <f t="shared" si="6"/>
        <v>397.78089335827877</v>
      </c>
      <c r="Q37" s="33">
        <f t="shared" si="6"/>
        <v>398.7872606875585</v>
      </c>
      <c r="R37" s="33">
        <f t="shared" si="6"/>
        <v>411.83937400186221</v>
      </c>
      <c r="S37" s="33">
        <f t="shared" si="6"/>
        <v>446.13628144968862</v>
      </c>
      <c r="T37" s="33">
        <f t="shared" si="6"/>
        <v>458.61322612089828</v>
      </c>
      <c r="U37" s="33">
        <f t="shared" si="6"/>
        <v>0</v>
      </c>
      <c r="V37" s="33">
        <f t="shared" si="6"/>
        <v>0</v>
      </c>
      <c r="W37" s="33">
        <f t="shared" si="6"/>
        <v>0</v>
      </c>
    </row>
    <row r="38" spans="1:23" s="127" customFormat="1" outlineLevel="1">
      <c r="A38" s="64"/>
      <c r="B38" s="64"/>
      <c r="C38" s="71"/>
      <c r="D38" s="69"/>
      <c r="E38" s="33" t="str">
        <f t="shared" ref="E38:W38" si="7" xml:space="preserve"> E$31</f>
        <v>Blind year adjustment inc. financing rate and inflation adjustment (BYA) - WW-N+</v>
      </c>
      <c r="F38" s="33">
        <f t="shared" si="7"/>
        <v>0</v>
      </c>
      <c r="G38" s="33" t="str">
        <f t="shared" si="7"/>
        <v>£m</v>
      </c>
      <c r="H38" s="33">
        <f t="shared" si="7"/>
        <v>-0.83730832253539345</v>
      </c>
      <c r="I38" s="33">
        <f t="shared" si="7"/>
        <v>0</v>
      </c>
      <c r="J38" s="33">
        <f xml:space="preserve"> J$31</f>
        <v>0</v>
      </c>
      <c r="K38" s="33">
        <f t="shared" si="7"/>
        <v>0</v>
      </c>
      <c r="L38" s="33">
        <f t="shared" si="7"/>
        <v>0</v>
      </c>
      <c r="M38" s="33">
        <f t="shared" si="7"/>
        <v>0</v>
      </c>
      <c r="N38" s="33">
        <f t="shared" si="7"/>
        <v>0</v>
      </c>
      <c r="O38" s="33">
        <f t="shared" si="7"/>
        <v>0</v>
      </c>
      <c r="P38" s="33">
        <f t="shared" si="7"/>
        <v>0</v>
      </c>
      <c r="Q38" s="33">
        <f t="shared" si="7"/>
        <v>-0.18253631455035632</v>
      </c>
      <c r="R38" s="33">
        <f t="shared" si="7"/>
        <v>-0.19647619963436636</v>
      </c>
      <c r="S38" s="33">
        <f t="shared" si="7"/>
        <v>-0.22117634024564845</v>
      </c>
      <c r="T38" s="33">
        <f t="shared" si="7"/>
        <v>-0.23711946810502227</v>
      </c>
      <c r="U38" s="33">
        <f t="shared" si="7"/>
        <v>0</v>
      </c>
      <c r="V38" s="33">
        <f t="shared" si="7"/>
        <v>0</v>
      </c>
      <c r="W38" s="33">
        <f t="shared" si="7"/>
        <v>0</v>
      </c>
    </row>
    <row r="39" spans="1:23" s="127" customFormat="1" outlineLevel="1">
      <c r="A39" s="164"/>
      <c r="B39" s="164"/>
      <c r="C39" s="165"/>
      <c r="D39" s="73"/>
      <c r="E39" s="63" t="str">
        <f t="shared" ref="E39:W39" si="8" xml:space="preserve"> E$111</f>
        <v>RFI - WW-N+</v>
      </c>
      <c r="F39" s="63" t="str">
        <f xml:space="preserve"> F$111</f>
        <v>2 PD LK BCK</v>
      </c>
      <c r="G39" s="63" t="str">
        <f t="shared" si="8"/>
        <v>£m</v>
      </c>
      <c r="H39" s="63">
        <f t="shared" si="8"/>
        <v>50.441900122587889</v>
      </c>
      <c r="I39" s="63">
        <f t="shared" si="8"/>
        <v>0</v>
      </c>
      <c r="J39" s="63">
        <f t="shared" si="8"/>
        <v>0</v>
      </c>
      <c r="K39" s="63">
        <f t="shared" si="8"/>
        <v>0</v>
      </c>
      <c r="L39" s="63">
        <f t="shared" si="8"/>
        <v>0</v>
      </c>
      <c r="M39" s="63">
        <f t="shared" si="8"/>
        <v>0</v>
      </c>
      <c r="N39" s="63">
        <f t="shared" si="8"/>
        <v>0</v>
      </c>
      <c r="O39" s="63">
        <f t="shared" si="8"/>
        <v>0</v>
      </c>
      <c r="P39" s="63">
        <f t="shared" si="8"/>
        <v>0</v>
      </c>
      <c r="Q39" s="63">
        <f t="shared" si="8"/>
        <v>0</v>
      </c>
      <c r="R39" s="63">
        <f t="shared" si="8"/>
        <v>26.347351982140708</v>
      </c>
      <c r="S39" s="63">
        <f t="shared" si="8"/>
        <v>6.2495323389638058</v>
      </c>
      <c r="T39" s="63">
        <f t="shared" si="8"/>
        <v>17.845015801483378</v>
      </c>
      <c r="U39" s="63">
        <f t="shared" si="8"/>
        <v>0</v>
      </c>
      <c r="V39" s="63">
        <f t="shared" si="8"/>
        <v>0</v>
      </c>
      <c r="W39" s="63">
        <f t="shared" si="8"/>
        <v>0</v>
      </c>
    </row>
    <row r="40" spans="1:23" s="151" customFormat="1" outlineLevel="1" thickBot="1">
      <c r="A40" s="80"/>
      <c r="B40" s="80"/>
      <c r="C40" s="178"/>
      <c r="D40" s="179"/>
      <c r="E40" s="214" t="s">
        <v>372</v>
      </c>
      <c r="F40" s="214"/>
      <c r="G40" s="214" t="s">
        <v>77</v>
      </c>
      <c r="H40" s="215">
        <f xml:space="preserve"> SUM(J40:W40)</f>
        <v>2162.7616274183388</v>
      </c>
      <c r="I40" s="215"/>
      <c r="J40" s="216">
        <f xml:space="preserve"> SUM(J37:J39)</f>
        <v>0</v>
      </c>
      <c r="K40" s="216">
        <f xml:space="preserve"> SUM(K37:K39)</f>
        <v>0</v>
      </c>
      <c r="L40" s="216">
        <f t="shared" ref="L40:W40" si="9" xml:space="preserve"> SUM(L37:L39)</f>
        <v>0</v>
      </c>
      <c r="M40" s="216">
        <f t="shared" si="9"/>
        <v>0</v>
      </c>
      <c r="N40" s="216">
        <f t="shared" si="9"/>
        <v>0</v>
      </c>
      <c r="O40" s="216">
        <f t="shared" si="9"/>
        <v>0</v>
      </c>
      <c r="P40" s="216">
        <f t="shared" si="9"/>
        <v>397.78089335827877</v>
      </c>
      <c r="Q40" s="216">
        <f t="shared" si="9"/>
        <v>398.60472437300814</v>
      </c>
      <c r="R40" s="216">
        <f t="shared" si="9"/>
        <v>437.99024978436853</v>
      </c>
      <c r="S40" s="216">
        <f t="shared" si="9"/>
        <v>452.16463744840678</v>
      </c>
      <c r="T40" s="216">
        <f t="shared" si="9"/>
        <v>476.22112245427661</v>
      </c>
      <c r="U40" s="216">
        <f t="shared" si="9"/>
        <v>0</v>
      </c>
      <c r="V40" s="216">
        <f t="shared" si="9"/>
        <v>0</v>
      </c>
      <c r="W40" s="216">
        <f t="shared" si="9"/>
        <v>0</v>
      </c>
    </row>
    <row r="41" spans="1:23" ht="13.5" outlineLevel="1" thickTop="1"/>
    <row r="42" spans="1:23" outlineLevel="1">
      <c r="E42" s="126" t="str">
        <f t="shared" ref="E42:J42" si="10" xml:space="preserve"> E$40</f>
        <v>Adjusted allowed revenue - WW-N+</v>
      </c>
      <c r="F42" s="126">
        <f t="shared" si="10"/>
        <v>0</v>
      </c>
      <c r="G42" s="126" t="str">
        <f t="shared" si="10"/>
        <v>£m</v>
      </c>
      <c r="H42" s="126">
        <f t="shared" si="10"/>
        <v>2162.7616274183388</v>
      </c>
      <c r="I42" s="126">
        <f t="shared" si="10"/>
        <v>0</v>
      </c>
      <c r="J42" s="126">
        <f t="shared" si="10"/>
        <v>0</v>
      </c>
      <c r="K42" s="126">
        <f t="shared" ref="K42:W42" si="11" xml:space="preserve"> K$40</f>
        <v>0</v>
      </c>
      <c r="L42" s="126">
        <f t="shared" si="11"/>
        <v>0</v>
      </c>
      <c r="M42" s="126">
        <f t="shared" si="11"/>
        <v>0</v>
      </c>
      <c r="N42" s="126">
        <f t="shared" si="11"/>
        <v>0</v>
      </c>
      <c r="O42" s="126">
        <f t="shared" si="11"/>
        <v>0</v>
      </c>
      <c r="P42" s="126">
        <f t="shared" si="11"/>
        <v>397.78089335827877</v>
      </c>
      <c r="Q42" s="126">
        <f t="shared" si="11"/>
        <v>398.60472437300814</v>
      </c>
      <c r="R42" s="126">
        <f t="shared" si="11"/>
        <v>437.99024978436853</v>
      </c>
      <c r="S42" s="126">
        <f t="shared" si="11"/>
        <v>452.16463744840678</v>
      </c>
      <c r="T42" s="126">
        <f t="shared" si="11"/>
        <v>476.22112245427661</v>
      </c>
      <c r="U42" s="126">
        <f t="shared" si="11"/>
        <v>0</v>
      </c>
      <c r="V42" s="126">
        <f t="shared" si="11"/>
        <v>0</v>
      </c>
      <c r="W42" s="126">
        <f t="shared" si="11"/>
        <v>0</v>
      </c>
    </row>
    <row r="43" spans="1:23" outlineLevel="1">
      <c r="A43" s="61"/>
      <c r="C43" s="108"/>
      <c r="D43" s="59" t="s">
        <v>305</v>
      </c>
      <c r="E43" s="94" t="str">
        <f xml:space="preserve"> Inputs!E$124</f>
        <v xml:space="preserve">Actual Revenue  - WW-N+ </v>
      </c>
      <c r="F43" s="94">
        <f xml:space="preserve"> Inputs!F$124</f>
        <v>0</v>
      </c>
      <c r="G43" s="94" t="str">
        <f xml:space="preserve"> Inputs!G$124</f>
        <v>£m</v>
      </c>
      <c r="H43" s="94">
        <f xml:space="preserve"> Inputs!H$124</f>
        <v>2119.4942935739541</v>
      </c>
      <c r="I43" s="94">
        <f xml:space="preserve"> Inputs!I$124</f>
        <v>0</v>
      </c>
      <c r="J43" s="94">
        <f xml:space="preserve"> Inputs!J$124</f>
        <v>0</v>
      </c>
      <c r="K43" s="94">
        <f xml:space="preserve"> Inputs!K$124</f>
        <v>0</v>
      </c>
      <c r="L43" s="94">
        <f xml:space="preserve"> Inputs!L$124</f>
        <v>0</v>
      </c>
      <c r="M43" s="94">
        <f xml:space="preserve"> Inputs!M$124</f>
        <v>0</v>
      </c>
      <c r="N43" s="94">
        <f xml:space="preserve"> Inputs!N$124</f>
        <v>0</v>
      </c>
      <c r="O43" s="94">
        <f xml:space="preserve"> Inputs!O$124</f>
        <v>0</v>
      </c>
      <c r="P43" s="465">
        <f xml:space="preserve"> Inputs!P$124</f>
        <v>373.41799999999995</v>
      </c>
      <c r="Q43" s="465">
        <f xml:space="preserve"> Inputs!Q$124</f>
        <v>393.447</v>
      </c>
      <c r="R43" s="465">
        <f xml:space="preserve"> Inputs!R$124</f>
        <v>422.76</v>
      </c>
      <c r="S43" s="465">
        <f xml:space="preserve"> Inputs!S$124</f>
        <v>454.89399999999995</v>
      </c>
      <c r="T43" s="465">
        <f xml:space="preserve"> Inputs!T$124</f>
        <v>474.97529357395405</v>
      </c>
      <c r="U43" s="94">
        <f xml:space="preserve"> Inputs!U$124</f>
        <v>0</v>
      </c>
      <c r="V43" s="94">
        <f xml:space="preserve"> Inputs!V$124</f>
        <v>0</v>
      </c>
      <c r="W43" s="94">
        <f xml:space="preserve"> Inputs!W$124</f>
        <v>0</v>
      </c>
    </row>
    <row r="44" spans="1:23" s="153" customFormat="1" ht="13.5" outlineLevel="1" thickBot="1">
      <c r="A44" s="166"/>
      <c r="B44" s="166"/>
      <c r="C44" s="160"/>
      <c r="D44" s="161"/>
      <c r="E44" s="218" t="s">
        <v>373</v>
      </c>
      <c r="F44" s="214"/>
      <c r="G44" s="214" t="s">
        <v>77</v>
      </c>
      <c r="H44" s="216">
        <f xml:space="preserve"> SUM(J44:W44)</f>
        <v>43.267333844384893</v>
      </c>
      <c r="I44" s="220"/>
      <c r="J44" s="219">
        <f>J42-J43</f>
        <v>0</v>
      </c>
      <c r="K44" s="219">
        <f t="shared" ref="K44:W44" si="12">K42-K43</f>
        <v>0</v>
      </c>
      <c r="L44" s="219">
        <f t="shared" si="12"/>
        <v>0</v>
      </c>
      <c r="M44" s="219">
        <f t="shared" si="12"/>
        <v>0</v>
      </c>
      <c r="N44" s="219">
        <f t="shared" si="12"/>
        <v>0</v>
      </c>
      <c r="O44" s="219">
        <f t="shared" si="12"/>
        <v>0</v>
      </c>
      <c r="P44" s="464">
        <f t="shared" si="12"/>
        <v>24.362893358278825</v>
      </c>
      <c r="Q44" s="464">
        <f t="shared" si="12"/>
        <v>5.1577243730081364</v>
      </c>
      <c r="R44" s="464">
        <f t="shared" si="12"/>
        <v>15.230249784368539</v>
      </c>
      <c r="S44" s="464">
        <f t="shared" si="12"/>
        <v>-2.7293625515931694</v>
      </c>
      <c r="T44" s="464">
        <f t="shared" si="12"/>
        <v>1.2458288803225628</v>
      </c>
      <c r="U44" s="219">
        <f t="shared" si="12"/>
        <v>0</v>
      </c>
      <c r="V44" s="219">
        <f t="shared" si="12"/>
        <v>0</v>
      </c>
      <c r="W44" s="219">
        <f t="shared" si="12"/>
        <v>0</v>
      </c>
    </row>
    <row r="45" spans="1:23" ht="13.5" outlineLevel="1" thickTop="1">
      <c r="A45" s="61"/>
      <c r="C45" s="108"/>
      <c r="E45" s="7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outlineLevel="1">
      <c r="A46" s="61"/>
      <c r="B46" s="61" t="s">
        <v>374</v>
      </c>
      <c r="C46" s="108"/>
      <c r="E46" s="72"/>
      <c r="V46" s="55"/>
      <c r="W46" s="55"/>
    </row>
    <row r="47" spans="1:23" outlineLevel="1">
      <c r="A47" s="61"/>
      <c r="C47" s="108"/>
      <c r="E47" s="72"/>
      <c r="V47" s="55"/>
      <c r="W47" s="55"/>
    </row>
    <row r="48" spans="1:23" outlineLevel="1">
      <c r="E48" s="111" t="str">
        <f xml:space="preserve"> Inputs!E$69</f>
        <v>Timing delay</v>
      </c>
      <c r="F48" s="111">
        <f xml:space="preserve"> Inputs!F$69</f>
        <v>2</v>
      </c>
      <c r="G48" s="111" t="str">
        <f xml:space="preserve"> Inputs!G$69</f>
        <v>years</v>
      </c>
      <c r="H48" s="111">
        <f xml:space="preserve"> Inputs!H$69</f>
        <v>0</v>
      </c>
      <c r="I48" s="111">
        <f xml:space="preserve"> Inputs!I$69</f>
        <v>0</v>
      </c>
      <c r="J48" s="111">
        <f xml:space="preserve"> Inputs!J$69</f>
        <v>0</v>
      </c>
      <c r="K48" s="111">
        <f xml:space="preserve"> Inputs!K$69</f>
        <v>0</v>
      </c>
      <c r="L48" s="111">
        <f xml:space="preserve"> Inputs!L$69</f>
        <v>0</v>
      </c>
      <c r="M48" s="111">
        <f xml:space="preserve"> Inputs!M$69</f>
        <v>0</v>
      </c>
      <c r="N48" s="111">
        <f xml:space="preserve"> Inputs!N$69</f>
        <v>0</v>
      </c>
      <c r="O48" s="111">
        <f xml:space="preserve"> Inputs!O$69</f>
        <v>0</v>
      </c>
      <c r="P48" s="111">
        <f xml:space="preserve"> Inputs!P$69</f>
        <v>0</v>
      </c>
      <c r="Q48" s="111">
        <f xml:space="preserve"> Inputs!Q$69</f>
        <v>0</v>
      </c>
      <c r="R48" s="111">
        <f xml:space="preserve"> Inputs!R$69</f>
        <v>0</v>
      </c>
      <c r="S48" s="111">
        <f xml:space="preserve"> Inputs!S$69</f>
        <v>0</v>
      </c>
      <c r="T48" s="111">
        <f xml:space="preserve"> Inputs!T$69</f>
        <v>0</v>
      </c>
      <c r="U48" s="111">
        <f xml:space="preserve"> Inputs!U$69</f>
        <v>0</v>
      </c>
      <c r="V48" s="111">
        <f xml:space="preserve"> Inputs!V$69</f>
        <v>0</v>
      </c>
      <c r="W48" s="111">
        <f xml:space="preserve"> Inputs!W$69</f>
        <v>0</v>
      </c>
    </row>
    <row r="49" spans="1:23" outlineLevel="1">
      <c r="E49" s="34" t="str">
        <f xml:space="preserve"> Inputs!E$63</f>
        <v>Discount rate</v>
      </c>
      <c r="F49" s="34">
        <f xml:space="preserve"> Inputs!F$63</f>
        <v>2.92E-2</v>
      </c>
      <c r="G49" s="34" t="str">
        <f xml:space="preserve"> Inputs!G$63</f>
        <v>%</v>
      </c>
      <c r="H49" s="34">
        <f xml:space="preserve"> Inputs!H$63</f>
        <v>0</v>
      </c>
      <c r="I49" s="34">
        <f xml:space="preserve"> Inputs!I$63</f>
        <v>0</v>
      </c>
      <c r="J49" s="34">
        <f xml:space="preserve"> Inputs!J$63</f>
        <v>0</v>
      </c>
      <c r="K49" s="34">
        <f xml:space="preserve"> Inputs!K$63</f>
        <v>0</v>
      </c>
      <c r="L49" s="34">
        <f xml:space="preserve"> Inputs!L$63</f>
        <v>0</v>
      </c>
      <c r="M49" s="34">
        <f xml:space="preserve"> Inputs!M$63</f>
        <v>0</v>
      </c>
      <c r="N49" s="34">
        <f xml:space="preserve"> Inputs!N$63</f>
        <v>0</v>
      </c>
      <c r="O49" s="34">
        <f xml:space="preserve"> Inputs!O$63</f>
        <v>0</v>
      </c>
      <c r="P49" s="34">
        <f xml:space="preserve"> Inputs!P$63</f>
        <v>0</v>
      </c>
      <c r="Q49" s="34">
        <f xml:space="preserve"> Inputs!Q$63</f>
        <v>0</v>
      </c>
      <c r="R49" s="34">
        <f xml:space="preserve"> Inputs!R$63</f>
        <v>0</v>
      </c>
      <c r="S49" s="34">
        <f xml:space="preserve"> Inputs!S$63</f>
        <v>0</v>
      </c>
      <c r="T49" s="34">
        <f xml:space="preserve"> Inputs!T$63</f>
        <v>0</v>
      </c>
      <c r="U49" s="34">
        <f xml:space="preserve"> Inputs!U$63</f>
        <v>0</v>
      </c>
      <c r="V49" s="34">
        <f xml:space="preserve"> Inputs!V$63</f>
        <v>0</v>
      </c>
      <c r="W49" s="34">
        <f xml:space="preserve"> Inputs!W$63</f>
        <v>0</v>
      </c>
    </row>
    <row r="50" spans="1:23" s="170" customFormat="1" outlineLevel="1">
      <c r="A50" s="124"/>
      <c r="B50" s="124"/>
      <c r="C50" s="125"/>
      <c r="D50" s="126"/>
      <c r="E50" s="204" t="str">
        <f>E$44</f>
        <v xml:space="preserve">Revenue Imbalance  - WW-N+ </v>
      </c>
      <c r="F50" s="204">
        <f t="shared" ref="F50:W50" si="13">F$44</f>
        <v>0</v>
      </c>
      <c r="G50" s="204" t="str">
        <f t="shared" si="13"/>
        <v>£m</v>
      </c>
      <c r="H50" s="204">
        <f t="shared" si="13"/>
        <v>43.267333844384893</v>
      </c>
      <c r="I50" s="204">
        <f t="shared" si="13"/>
        <v>0</v>
      </c>
      <c r="J50" s="204">
        <f>J$44</f>
        <v>0</v>
      </c>
      <c r="K50" s="204">
        <f t="shared" si="13"/>
        <v>0</v>
      </c>
      <c r="L50" s="204">
        <f t="shared" si="13"/>
        <v>0</v>
      </c>
      <c r="M50" s="204">
        <f t="shared" si="13"/>
        <v>0</v>
      </c>
      <c r="N50" s="204">
        <f t="shared" si="13"/>
        <v>0</v>
      </c>
      <c r="O50" s="204">
        <f t="shared" si="13"/>
        <v>0</v>
      </c>
      <c r="P50" s="204">
        <f t="shared" si="13"/>
        <v>24.362893358278825</v>
      </c>
      <c r="Q50" s="204">
        <f>Q$44</f>
        <v>5.1577243730081364</v>
      </c>
      <c r="R50" s="204">
        <f t="shared" si="13"/>
        <v>15.230249784368539</v>
      </c>
      <c r="S50" s="204">
        <f t="shared" si="13"/>
        <v>-2.7293625515931694</v>
      </c>
      <c r="T50" s="204">
        <f t="shared" si="13"/>
        <v>1.2458288803225628</v>
      </c>
      <c r="U50" s="204">
        <f t="shared" si="13"/>
        <v>0</v>
      </c>
      <c r="V50" s="204">
        <f t="shared" si="13"/>
        <v>0</v>
      </c>
      <c r="W50" s="204">
        <f t="shared" si="13"/>
        <v>0</v>
      </c>
    </row>
    <row r="51" spans="1:23" s="170" customFormat="1" outlineLevel="1">
      <c r="A51" s="123"/>
      <c r="B51" s="124"/>
      <c r="C51" s="125"/>
      <c r="D51" s="126"/>
      <c r="E51" s="96" t="str">
        <f xml:space="preserve"> Time!E$63</f>
        <v>Forecast period counter</v>
      </c>
      <c r="F51" s="96">
        <f xml:space="preserve"> Time!F$63</f>
        <v>0</v>
      </c>
      <c r="G51" s="96" t="str">
        <f xml:space="preserve"> Time!G$63</f>
        <v>counter</v>
      </c>
      <c r="H51" s="96">
        <f xml:space="preserve"> Time!H$63</f>
        <v>0</v>
      </c>
      <c r="I51" s="96">
        <f xml:space="preserve"> Time!I$63</f>
        <v>0</v>
      </c>
      <c r="J51" s="96">
        <f xml:space="preserve"> Time!J$63</f>
        <v>0</v>
      </c>
      <c r="K51" s="96">
        <f xml:space="preserve"> Time!K$63</f>
        <v>0</v>
      </c>
      <c r="L51" s="96">
        <f xml:space="preserve"> Time!L$63</f>
        <v>0</v>
      </c>
      <c r="M51" s="96">
        <f xml:space="preserve"> Time!M$63</f>
        <v>0</v>
      </c>
      <c r="N51" s="96">
        <f xml:space="preserve"> Time!N$63</f>
        <v>0</v>
      </c>
      <c r="O51" s="96">
        <f xml:space="preserve"> Time!O$63</f>
        <v>0</v>
      </c>
      <c r="P51" s="96">
        <f xml:space="preserve"> Time!P$63</f>
        <v>1</v>
      </c>
      <c r="Q51" s="96">
        <f xml:space="preserve"> Time!Q$63</f>
        <v>2</v>
      </c>
      <c r="R51" s="96">
        <f xml:space="preserve"> Time!R$63</f>
        <v>3</v>
      </c>
      <c r="S51" s="96">
        <f xml:space="preserve"> Time!S$63</f>
        <v>4</v>
      </c>
      <c r="T51" s="96">
        <f xml:space="preserve"> Time!T$63</f>
        <v>5</v>
      </c>
      <c r="U51" s="96">
        <f xml:space="preserve"> Time!U$63</f>
        <v>0</v>
      </c>
      <c r="V51" s="96">
        <f xml:space="preserve"> Time!V$63</f>
        <v>0</v>
      </c>
      <c r="W51" s="96">
        <f xml:space="preserve"> Time!W$63</f>
        <v>0</v>
      </c>
    </row>
    <row r="52" spans="1:23" outlineLevel="1">
      <c r="A52" s="61"/>
      <c r="E52" s="72" t="s">
        <v>375</v>
      </c>
      <c r="G52" s="55" t="s">
        <v>77</v>
      </c>
      <c r="H52" s="92">
        <f xml:space="preserve"> SUM(J52:W52)</f>
        <v>47.402474558248322</v>
      </c>
      <c r="J52" s="92">
        <f xml:space="preserve"> IF( J51 &lt;= $F$48 + 1,  J50 * (1 + $F49) * (1 + $F49), 0 )</f>
        <v>0</v>
      </c>
      <c r="K52" s="92">
        <f t="shared" ref="K52:W52" si="14" xml:space="preserve"> IF( K51 &lt;= $F$48 + 1,  K50 * (1 + $F49) * (1 + $F49), 0 )</f>
        <v>0</v>
      </c>
      <c r="L52" s="92">
        <f t="shared" si="14"/>
        <v>0</v>
      </c>
      <c r="M52" s="92">
        <f t="shared" si="14"/>
        <v>0</v>
      </c>
      <c r="N52" s="92">
        <f t="shared" si="14"/>
        <v>0</v>
      </c>
      <c r="O52" s="92">
        <f t="shared" si="14"/>
        <v>0</v>
      </c>
      <c r="P52" s="92">
        <f t="shared" si="14"/>
        <v>25.806459107795309</v>
      </c>
      <c r="Q52" s="92">
        <f t="shared" si="14"/>
        <v>5.4633331585012117</v>
      </c>
      <c r="R52" s="92">
        <f t="shared" si="14"/>
        <v>16.132682291951802</v>
      </c>
      <c r="S52" s="92">
        <f t="shared" si="14"/>
        <v>0</v>
      </c>
      <c r="T52" s="92">
        <f t="shared" si="14"/>
        <v>0</v>
      </c>
      <c r="U52" s="92">
        <f t="shared" si="14"/>
        <v>0</v>
      </c>
      <c r="V52" s="92">
        <f t="shared" si="14"/>
        <v>0</v>
      </c>
      <c r="W52" s="92">
        <f t="shared" si="14"/>
        <v>0</v>
      </c>
    </row>
    <row r="53" spans="1:23" outlineLevel="1">
      <c r="A53" s="61"/>
      <c r="C53" s="108"/>
      <c r="E53" s="72"/>
      <c r="V53" s="55"/>
      <c r="W53" s="55"/>
    </row>
    <row r="54" spans="1:23" outlineLevel="1">
      <c r="B54" s="62"/>
      <c r="D54" s="157"/>
      <c r="E54" s="34" t="str">
        <f xml:space="preserve"> 'Indices and K factor'!E$11</f>
        <v>CPIH: Nov % increase (prior year) - CALC</v>
      </c>
      <c r="F54" s="34">
        <f xml:space="preserve"> 'Indices and K factor'!F$11</f>
        <v>0</v>
      </c>
      <c r="G54" s="34" t="str">
        <f xml:space="preserve"> 'Indices and K factor'!G$11</f>
        <v>%</v>
      </c>
      <c r="H54" s="34">
        <f xml:space="preserve"> 'Indices and K factor'!H$11</f>
        <v>0</v>
      </c>
      <c r="I54" s="34">
        <f xml:space="preserve"> 'Indices and K factor'!I$11</f>
        <v>0</v>
      </c>
      <c r="J54" s="34">
        <f xml:space="preserve"> 'Indices and K factor'!J$11</f>
        <v>0</v>
      </c>
      <c r="K54" s="34">
        <f xml:space="preserve"> 'Indices and K factor'!K$11</f>
        <v>0</v>
      </c>
      <c r="L54" s="34">
        <f xml:space="preserve"> 'Indices and K factor'!L$11</f>
        <v>1.0040040040040039</v>
      </c>
      <c r="M54" s="34">
        <f xml:space="preserve"> 'Indices and K factor'!M$11</f>
        <v>1.0149551345962113</v>
      </c>
      <c r="N54" s="34">
        <f xml:space="preserve"> 'Indices and K factor'!N$11</f>
        <v>1.0284872298624754</v>
      </c>
      <c r="O54" s="34">
        <f xml:space="preserve"> 'Indices and K factor'!O$11</f>
        <v>1.0210124164278893</v>
      </c>
      <c r="P54" s="34">
        <f xml:space="preserve"> 'Indices and K factor'!P$11</f>
        <v>1.0149672591206735</v>
      </c>
      <c r="Q54" s="34">
        <f xml:space="preserve"> 'Indices and K factor'!Q$11</f>
        <v>1.0055299539170506</v>
      </c>
      <c r="R54" s="34">
        <f xml:space="preserve"> 'Indices and K factor'!R$11</f>
        <v>1.0458295142071494</v>
      </c>
      <c r="S54" s="34">
        <f xml:space="preserve"> 'Indices and K factor'!S$11</f>
        <v>1.0937773882559159</v>
      </c>
      <c r="T54" s="34">
        <f xml:space="preserve"> 'Indices and K factor'!T$11</f>
        <v>1.0416666666666667</v>
      </c>
      <c r="U54" s="34">
        <f xml:space="preserve"> 'Indices and K factor'!U$11</f>
        <v>1.0253846153846156</v>
      </c>
      <c r="V54" s="34">
        <f xml:space="preserve"> 'Indices and K factor'!V$11</f>
        <v>1.02</v>
      </c>
      <c r="W54" s="34">
        <f xml:space="preserve"> 'Indices and K factor'!W$11</f>
        <v>1.02</v>
      </c>
    </row>
    <row r="55" spans="1:23" outlineLevel="1">
      <c r="B55" s="62"/>
      <c r="D55" s="157"/>
      <c r="E55" s="33" t="str">
        <f xml:space="preserve"> E$52</f>
        <v>Main revenue adjustment - with financing adjustment - WW-N+</v>
      </c>
      <c r="F55" s="33">
        <f xml:space="preserve"> F$52</f>
        <v>0</v>
      </c>
      <c r="G55" s="33" t="str">
        <f xml:space="preserve"> G$52</f>
        <v>£m</v>
      </c>
      <c r="H55" s="33">
        <f xml:space="preserve"> H$52</f>
        <v>47.402474558248322</v>
      </c>
      <c r="I55" s="33">
        <f xml:space="preserve"> I$52</f>
        <v>0</v>
      </c>
      <c r="J55" s="33">
        <f t="shared" ref="J55:W55" si="15" xml:space="preserve"> J$52</f>
        <v>0</v>
      </c>
      <c r="K55" s="33">
        <f t="shared" si="15"/>
        <v>0</v>
      </c>
      <c r="L55" s="33">
        <f t="shared" si="15"/>
        <v>0</v>
      </c>
      <c r="M55" s="33">
        <f t="shared" si="15"/>
        <v>0</v>
      </c>
      <c r="N55" s="33">
        <f t="shared" si="15"/>
        <v>0</v>
      </c>
      <c r="O55" s="33">
        <f t="shared" si="15"/>
        <v>0</v>
      </c>
      <c r="P55" s="33">
        <f t="shared" si="15"/>
        <v>25.806459107795309</v>
      </c>
      <c r="Q55" s="33">
        <f t="shared" si="15"/>
        <v>5.4633331585012117</v>
      </c>
      <c r="R55" s="33">
        <f t="shared" si="15"/>
        <v>16.132682291951802</v>
      </c>
      <c r="S55" s="33">
        <f t="shared" si="15"/>
        <v>0</v>
      </c>
      <c r="T55" s="33">
        <f t="shared" si="15"/>
        <v>0</v>
      </c>
      <c r="U55" s="33">
        <f t="shared" si="15"/>
        <v>0</v>
      </c>
      <c r="V55" s="33">
        <f t="shared" si="15"/>
        <v>0</v>
      </c>
      <c r="W55" s="33">
        <f t="shared" si="15"/>
        <v>0</v>
      </c>
    </row>
    <row r="56" spans="1:23" ht="13.5" outlineLevel="1" thickBot="1">
      <c r="B56" s="62"/>
      <c r="D56" s="157"/>
      <c r="E56" s="218" t="s">
        <v>376</v>
      </c>
      <c r="F56" s="214"/>
      <c r="G56" s="214" t="s">
        <v>77</v>
      </c>
      <c r="H56" s="216">
        <f xml:space="preserve"> SUM(J56:W56)</f>
        <v>51.768732622096223</v>
      </c>
      <c r="I56" s="220"/>
      <c r="J56" s="219">
        <f t="shared" ref="J56:T56" si="16" xml:space="preserve"> J55 * K54 * L54</f>
        <v>0</v>
      </c>
      <c r="K56" s="219">
        <f t="shared" si="16"/>
        <v>0</v>
      </c>
      <c r="L56" s="219">
        <f t="shared" si="16"/>
        <v>0</v>
      </c>
      <c r="M56" s="219">
        <f xml:space="preserve"> M55 * N54 * O54</f>
        <v>0</v>
      </c>
      <c r="N56" s="219">
        <f t="shared" si="16"/>
        <v>0</v>
      </c>
      <c r="O56" s="219">
        <f t="shared" si="16"/>
        <v>0</v>
      </c>
      <c r="P56" s="219">
        <f xml:space="preserve"> P55 * Q54 * R54</f>
        <v>27.138405384326678</v>
      </c>
      <c r="Q56" s="219">
        <f xml:space="preserve"> Q55 * R54 * S54</f>
        <v>6.2495323389638058</v>
      </c>
      <c r="R56" s="219">
        <f t="shared" si="16"/>
        <v>18.380794898805735</v>
      </c>
      <c r="S56" s="219">
        <f t="shared" si="16"/>
        <v>0</v>
      </c>
      <c r="T56" s="219">
        <f t="shared" si="16"/>
        <v>0</v>
      </c>
      <c r="U56" s="219">
        <f xml:space="preserve"> U55 * V54 * W54</f>
        <v>0</v>
      </c>
      <c r="V56" s="425"/>
      <c r="W56" s="425"/>
    </row>
    <row r="57" spans="1:23" ht="13.5" outlineLevel="1" thickTop="1">
      <c r="B57" s="62"/>
      <c r="D57" s="157"/>
      <c r="E57" s="142"/>
      <c r="V57" s="55"/>
      <c r="W57" s="55"/>
    </row>
    <row r="58" spans="1:23" customFormat="1" ht="12.75" customHeight="1">
      <c r="A58" s="113" t="s">
        <v>321</v>
      </c>
      <c r="B58" s="113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</row>
    <row r="59" spans="1:23">
      <c r="A59" s="61"/>
      <c r="C59" s="108"/>
      <c r="E59" s="72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outlineLevel="1">
      <c r="A60" s="61"/>
      <c r="B60" s="61" t="s">
        <v>322</v>
      </c>
      <c r="C60" s="108"/>
      <c r="E60" s="128"/>
      <c r="V60" s="55"/>
      <c r="W60" s="55"/>
    </row>
    <row r="61" spans="1:23" outlineLevel="1">
      <c r="A61" s="61"/>
      <c r="C61" s="108"/>
      <c r="E61" s="128"/>
      <c r="V61" s="55"/>
      <c r="W61" s="55"/>
    </row>
    <row r="62" spans="1:23" outlineLevel="1">
      <c r="B62" s="62"/>
      <c r="D62" s="157"/>
      <c r="E62" s="91" t="str">
        <f xml:space="preserve"> E$44</f>
        <v xml:space="preserve">Revenue Imbalance  - WW-N+ </v>
      </c>
      <c r="F62" s="91">
        <f t="shared" ref="F62:W62" si="17" xml:space="preserve"> F$44</f>
        <v>0</v>
      </c>
      <c r="G62" s="91" t="str">
        <f t="shared" si="17"/>
        <v>£m</v>
      </c>
      <c r="H62" s="91">
        <f t="shared" si="17"/>
        <v>43.267333844384893</v>
      </c>
      <c r="I62" s="91">
        <f t="shared" si="17"/>
        <v>0</v>
      </c>
      <c r="J62" s="91">
        <f t="shared" si="17"/>
        <v>0</v>
      </c>
      <c r="K62" s="91">
        <f t="shared" si="17"/>
        <v>0</v>
      </c>
      <c r="L62" s="91">
        <f t="shared" si="17"/>
        <v>0</v>
      </c>
      <c r="M62" s="91">
        <f t="shared" si="17"/>
        <v>0</v>
      </c>
      <c r="N62" s="91">
        <f t="shared" si="17"/>
        <v>0</v>
      </c>
      <c r="O62" s="91">
        <f t="shared" si="17"/>
        <v>0</v>
      </c>
      <c r="P62" s="91">
        <f t="shared" si="17"/>
        <v>24.362893358278825</v>
      </c>
      <c r="Q62" s="91">
        <f t="shared" si="17"/>
        <v>5.1577243730081364</v>
      </c>
      <c r="R62" s="91">
        <f t="shared" si="17"/>
        <v>15.230249784368539</v>
      </c>
      <c r="S62" s="91">
        <f t="shared" si="17"/>
        <v>-2.7293625515931694</v>
      </c>
      <c r="T62" s="91">
        <f t="shared" si="17"/>
        <v>1.2458288803225628</v>
      </c>
      <c r="U62" s="91">
        <f t="shared" si="17"/>
        <v>0</v>
      </c>
      <c r="V62" s="91">
        <f t="shared" si="17"/>
        <v>0</v>
      </c>
      <c r="W62" s="91">
        <f t="shared" si="17"/>
        <v>0</v>
      </c>
    </row>
    <row r="63" spans="1:23" s="127" customFormat="1" outlineLevel="1">
      <c r="A63" s="164"/>
      <c r="B63" s="164"/>
      <c r="C63" s="165"/>
      <c r="D63" s="73"/>
      <c r="E63" s="203" t="str">
        <f xml:space="preserve"> E$40</f>
        <v>Adjusted allowed revenue - WW-N+</v>
      </c>
      <c r="F63" s="203">
        <f t="shared" ref="F63:W63" si="18" xml:space="preserve"> F$40</f>
        <v>0</v>
      </c>
      <c r="G63" s="203" t="str">
        <f t="shared" si="18"/>
        <v>£m</v>
      </c>
      <c r="H63" s="42">
        <f t="shared" si="18"/>
        <v>2162.7616274183388</v>
      </c>
      <c r="I63" s="42">
        <f t="shared" si="18"/>
        <v>0</v>
      </c>
      <c r="J63" s="42">
        <f t="shared" si="18"/>
        <v>0</v>
      </c>
      <c r="K63" s="42">
        <f t="shared" si="18"/>
        <v>0</v>
      </c>
      <c r="L63" s="42">
        <f t="shared" si="18"/>
        <v>0</v>
      </c>
      <c r="M63" s="42">
        <f t="shared" si="18"/>
        <v>0</v>
      </c>
      <c r="N63" s="42">
        <f t="shared" si="18"/>
        <v>0</v>
      </c>
      <c r="O63" s="42">
        <f t="shared" si="18"/>
        <v>0</v>
      </c>
      <c r="P63" s="42">
        <f t="shared" si="18"/>
        <v>397.78089335827877</v>
      </c>
      <c r="Q63" s="42">
        <f t="shared" si="18"/>
        <v>398.60472437300814</v>
      </c>
      <c r="R63" s="42">
        <f t="shared" si="18"/>
        <v>437.99024978436853</v>
      </c>
      <c r="S63" s="42">
        <f t="shared" si="18"/>
        <v>452.16463744840678</v>
      </c>
      <c r="T63" s="42">
        <f t="shared" si="18"/>
        <v>476.22112245427661</v>
      </c>
      <c r="U63" s="42">
        <f t="shared" si="18"/>
        <v>0</v>
      </c>
      <c r="V63" s="42">
        <f t="shared" si="18"/>
        <v>0</v>
      </c>
      <c r="W63" s="42">
        <f t="shared" si="18"/>
        <v>0</v>
      </c>
    </row>
    <row r="64" spans="1:23" outlineLevel="1">
      <c r="B64" s="62"/>
      <c r="D64" s="157"/>
      <c r="E64" s="99" t="s">
        <v>377</v>
      </c>
      <c r="F64" s="99"/>
      <c r="G64" s="99" t="s">
        <v>153</v>
      </c>
      <c r="H64" s="37"/>
      <c r="J64" s="37">
        <f xml:space="preserve"> IF(J63 = 0, 0, ABS( J62 / J63 ) )</f>
        <v>0</v>
      </c>
      <c r="K64" s="37">
        <f t="shared" ref="K64:W64" si="19" xml:space="preserve"> IF(K63 = 0, 0, ABS( K62 / K63 ) )</f>
        <v>0</v>
      </c>
      <c r="L64" s="37">
        <f t="shared" si="19"/>
        <v>0</v>
      </c>
      <c r="M64" s="37">
        <f t="shared" si="19"/>
        <v>0</v>
      </c>
      <c r="N64" s="37">
        <f t="shared" si="19"/>
        <v>0</v>
      </c>
      <c r="O64" s="37">
        <f t="shared" si="19"/>
        <v>0</v>
      </c>
      <c r="P64" s="37">
        <f t="shared" si="19"/>
        <v>6.1247017554297963E-2</v>
      </c>
      <c r="Q64" s="37">
        <f t="shared" si="19"/>
        <v>1.2939446167179939E-2</v>
      </c>
      <c r="R64" s="37">
        <f t="shared" si="19"/>
        <v>3.4773033856042912E-2</v>
      </c>
      <c r="S64" s="37">
        <f t="shared" si="19"/>
        <v>6.0362140812141619E-3</v>
      </c>
      <c r="T64" s="37">
        <f t="shared" si="19"/>
        <v>2.6160722857104654E-3</v>
      </c>
      <c r="U64" s="37">
        <f t="shared" si="19"/>
        <v>0</v>
      </c>
      <c r="V64" s="37">
        <f t="shared" si="19"/>
        <v>0</v>
      </c>
      <c r="W64" s="37">
        <f t="shared" si="19"/>
        <v>0</v>
      </c>
    </row>
    <row r="65" spans="1:23" outlineLevel="1">
      <c r="A65" s="61"/>
      <c r="C65" s="108"/>
      <c r="E65" s="72"/>
    </row>
    <row r="66" spans="1:23" outlineLevel="1">
      <c r="A66" s="61"/>
      <c r="C66" s="108"/>
      <c r="E66" s="34" t="str">
        <f xml:space="preserve"> Inputs!E$57</f>
        <v>Minimum threshold</v>
      </c>
      <c r="F66" s="34">
        <f xml:space="preserve"> Inputs!F$57</f>
        <v>0.02</v>
      </c>
      <c r="G66" s="34" t="str">
        <f xml:space="preserve"> Inputs!G$57</f>
        <v>%</v>
      </c>
      <c r="H66" s="34">
        <f xml:space="preserve"> Inputs!H$57</f>
        <v>0</v>
      </c>
      <c r="I66" s="34">
        <f xml:space="preserve"> Inputs!I$57</f>
        <v>0</v>
      </c>
      <c r="J66" s="34">
        <f xml:space="preserve"> Inputs!J$57</f>
        <v>0</v>
      </c>
      <c r="K66" s="34">
        <f xml:space="preserve"> Inputs!K$57</f>
        <v>0</v>
      </c>
      <c r="L66" s="34">
        <f xml:space="preserve"> Inputs!L$57</f>
        <v>0</v>
      </c>
      <c r="M66" s="34">
        <f xml:space="preserve"> Inputs!M$57</f>
        <v>0</v>
      </c>
      <c r="N66" s="34">
        <f xml:space="preserve"> Inputs!N$57</f>
        <v>0</v>
      </c>
      <c r="O66" s="34">
        <f xml:space="preserve"> Inputs!O$57</f>
        <v>0</v>
      </c>
      <c r="P66" s="34">
        <f xml:space="preserve"> Inputs!P$57</f>
        <v>0</v>
      </c>
      <c r="Q66" s="34">
        <f xml:space="preserve"> Inputs!Q$57</f>
        <v>0</v>
      </c>
      <c r="R66" s="34">
        <f xml:space="preserve"> Inputs!R$57</f>
        <v>0</v>
      </c>
      <c r="S66" s="34">
        <f xml:space="preserve"> Inputs!S$57</f>
        <v>0</v>
      </c>
      <c r="T66" s="34">
        <f xml:space="preserve"> Inputs!T$57</f>
        <v>0</v>
      </c>
      <c r="U66" s="34">
        <f xml:space="preserve"> Inputs!U$57</f>
        <v>0</v>
      </c>
      <c r="V66" s="34">
        <f xml:space="preserve"> Inputs!V$57</f>
        <v>0</v>
      </c>
      <c r="W66" s="34">
        <f xml:space="preserve"> Inputs!W$57</f>
        <v>0</v>
      </c>
    </row>
    <row r="67" spans="1:23" outlineLevel="1">
      <c r="E67" s="36" t="str">
        <f xml:space="preserve"> E$64</f>
        <v>Forecast error - WW-N+</v>
      </c>
      <c r="F67" s="36">
        <f t="shared" ref="F67:T67" si="20" xml:space="preserve"> F$64</f>
        <v>0</v>
      </c>
      <c r="G67" s="36" t="str">
        <f t="shared" si="20"/>
        <v>%</v>
      </c>
      <c r="H67" s="36">
        <f t="shared" si="20"/>
        <v>0</v>
      </c>
      <c r="I67" s="36">
        <f t="shared" si="20"/>
        <v>0</v>
      </c>
      <c r="J67" s="36">
        <f t="shared" si="20"/>
        <v>0</v>
      </c>
      <c r="K67" s="36">
        <f t="shared" si="20"/>
        <v>0</v>
      </c>
      <c r="L67" s="36">
        <f t="shared" si="20"/>
        <v>0</v>
      </c>
      <c r="M67" s="36">
        <f t="shared" si="20"/>
        <v>0</v>
      </c>
      <c r="N67" s="36">
        <f t="shared" si="20"/>
        <v>0</v>
      </c>
      <c r="O67" s="36">
        <f t="shared" si="20"/>
        <v>0</v>
      </c>
      <c r="P67" s="36">
        <f t="shared" si="20"/>
        <v>6.1247017554297963E-2</v>
      </c>
      <c r="Q67" s="36">
        <f t="shared" si="20"/>
        <v>1.2939446167179939E-2</v>
      </c>
      <c r="R67" s="36">
        <f t="shared" si="20"/>
        <v>3.4773033856042912E-2</v>
      </c>
      <c r="S67" s="36">
        <f t="shared" si="20"/>
        <v>6.0362140812141619E-3</v>
      </c>
      <c r="T67" s="36">
        <f t="shared" si="20"/>
        <v>2.6160722857104654E-3</v>
      </c>
      <c r="U67" s="36">
        <f xml:space="preserve"> U$64</f>
        <v>0</v>
      </c>
      <c r="V67" s="36">
        <f xml:space="preserve"> V$64</f>
        <v>0</v>
      </c>
      <c r="W67" s="36">
        <f xml:space="preserve"> W$64</f>
        <v>0</v>
      </c>
    </row>
    <row r="68" spans="1:23" outlineLevel="1">
      <c r="A68" s="61"/>
      <c r="C68" s="108"/>
      <c r="E68" s="72" t="s">
        <v>378</v>
      </c>
      <c r="G68" s="55" t="s">
        <v>227</v>
      </c>
      <c r="J68" s="55">
        <f xml:space="preserve"> IF(J67 &gt; $F66, 1, 0)</f>
        <v>0</v>
      </c>
      <c r="K68" s="55">
        <f t="shared" ref="K68:T68" si="21" xml:space="preserve"> IF(K67 &gt; $F66, 1, 0)</f>
        <v>0</v>
      </c>
      <c r="L68" s="55">
        <f t="shared" si="21"/>
        <v>0</v>
      </c>
      <c r="M68" s="55">
        <f t="shared" si="21"/>
        <v>0</v>
      </c>
      <c r="N68" s="55">
        <f t="shared" si="21"/>
        <v>0</v>
      </c>
      <c r="O68" s="55">
        <f t="shared" si="21"/>
        <v>0</v>
      </c>
      <c r="P68" s="55">
        <f t="shared" si="21"/>
        <v>1</v>
      </c>
      <c r="Q68" s="55">
        <f t="shared" si="21"/>
        <v>0</v>
      </c>
      <c r="R68" s="55">
        <f t="shared" si="21"/>
        <v>1</v>
      </c>
      <c r="S68" s="55">
        <f t="shared" si="21"/>
        <v>0</v>
      </c>
      <c r="T68" s="55">
        <f t="shared" si="21"/>
        <v>0</v>
      </c>
      <c r="U68" s="55">
        <f xml:space="preserve"> IF(U67 &gt; $F66, 1, 0)</f>
        <v>0</v>
      </c>
      <c r="V68" s="55">
        <f xml:space="preserve"> IF(V67 &gt; $F66, 1, 0)</f>
        <v>0</v>
      </c>
      <c r="W68" s="55">
        <f xml:space="preserve"> IF(W67 &gt; $F66, 1, 0)</f>
        <v>0</v>
      </c>
    </row>
    <row r="69" spans="1:23" outlineLevel="1">
      <c r="A69" s="61"/>
      <c r="C69" s="108"/>
      <c r="E69" s="72"/>
      <c r="V69" s="55"/>
      <c r="W69" s="55"/>
    </row>
    <row r="70" spans="1:23" outlineLevel="1">
      <c r="A70" s="61"/>
      <c r="C70" s="108"/>
      <c r="E70" s="34" t="str">
        <f xml:space="preserve"> Inputs!E$57</f>
        <v>Minimum threshold</v>
      </c>
      <c r="F70" s="34">
        <f xml:space="preserve"> Inputs!F$57</f>
        <v>0.02</v>
      </c>
      <c r="G70" s="34" t="str">
        <f xml:space="preserve"> Inputs!G$57</f>
        <v>%</v>
      </c>
      <c r="H70" s="34">
        <f xml:space="preserve"> Inputs!H$57</f>
        <v>0</v>
      </c>
      <c r="I70" s="34">
        <f xml:space="preserve"> Inputs!I$57</f>
        <v>0</v>
      </c>
      <c r="J70" s="34">
        <f xml:space="preserve"> Inputs!J$57</f>
        <v>0</v>
      </c>
      <c r="K70" s="34">
        <f xml:space="preserve"> Inputs!K$57</f>
        <v>0</v>
      </c>
      <c r="L70" s="34">
        <f xml:space="preserve"> Inputs!L$57</f>
        <v>0</v>
      </c>
      <c r="M70" s="34">
        <f xml:space="preserve"> Inputs!M$57</f>
        <v>0</v>
      </c>
      <c r="N70" s="34">
        <f xml:space="preserve"> Inputs!N$57</f>
        <v>0</v>
      </c>
      <c r="O70" s="34">
        <f xml:space="preserve"> Inputs!O$57</f>
        <v>0</v>
      </c>
      <c r="P70" s="34">
        <f xml:space="preserve"> Inputs!P$57</f>
        <v>0</v>
      </c>
      <c r="Q70" s="34">
        <f xml:space="preserve"> Inputs!Q$57</f>
        <v>0</v>
      </c>
      <c r="R70" s="34">
        <f xml:space="preserve"> Inputs!R$57</f>
        <v>0</v>
      </c>
      <c r="S70" s="34">
        <f xml:space="preserve"> Inputs!S$57</f>
        <v>0</v>
      </c>
      <c r="T70" s="34">
        <f xml:space="preserve"> Inputs!T$57</f>
        <v>0</v>
      </c>
      <c r="U70" s="34">
        <f xml:space="preserve"> Inputs!U$57</f>
        <v>0</v>
      </c>
      <c r="V70" s="34">
        <f xml:space="preserve"> Inputs!V$57</f>
        <v>0</v>
      </c>
      <c r="W70" s="34">
        <f xml:space="preserve"> Inputs!W$57</f>
        <v>0</v>
      </c>
    </row>
    <row r="71" spans="1:23" outlineLevel="1">
      <c r="A71" s="61"/>
      <c r="C71" s="108"/>
      <c r="E71" s="34" t="str">
        <f xml:space="preserve"> Inputs!E$59</f>
        <v>Maximum threshold</v>
      </c>
      <c r="F71" s="34">
        <f xml:space="preserve"> Inputs!F$59</f>
        <v>0.03</v>
      </c>
      <c r="G71" s="34" t="str">
        <f xml:space="preserve"> Inputs!G$59</f>
        <v>%</v>
      </c>
      <c r="H71" s="34">
        <f xml:space="preserve"> Inputs!H$59</f>
        <v>0</v>
      </c>
      <c r="I71" s="34">
        <f xml:space="preserve"> Inputs!I$59</f>
        <v>0</v>
      </c>
      <c r="J71" s="34">
        <f xml:space="preserve"> Inputs!J$59</f>
        <v>0</v>
      </c>
      <c r="K71" s="34">
        <f xml:space="preserve"> Inputs!K$59</f>
        <v>0</v>
      </c>
      <c r="L71" s="34">
        <f xml:space="preserve"> Inputs!L$59</f>
        <v>0</v>
      </c>
      <c r="M71" s="34">
        <f xml:space="preserve"> Inputs!M$59</f>
        <v>0</v>
      </c>
      <c r="N71" s="34">
        <f xml:space="preserve"> Inputs!N$59</f>
        <v>0</v>
      </c>
      <c r="O71" s="34">
        <f xml:space="preserve"> Inputs!O$59</f>
        <v>0</v>
      </c>
      <c r="P71" s="34">
        <f xml:space="preserve"> Inputs!P$59</f>
        <v>0</v>
      </c>
      <c r="Q71" s="34">
        <f xml:space="preserve"> Inputs!Q$59</f>
        <v>0</v>
      </c>
      <c r="R71" s="34">
        <f xml:space="preserve"> Inputs!R$59</f>
        <v>0</v>
      </c>
      <c r="S71" s="34">
        <f xml:space="preserve"> Inputs!S$59</f>
        <v>0</v>
      </c>
      <c r="T71" s="34">
        <f xml:space="preserve"> Inputs!T$59</f>
        <v>0</v>
      </c>
      <c r="U71" s="34">
        <f xml:space="preserve"> Inputs!U$59</f>
        <v>0</v>
      </c>
      <c r="V71" s="34">
        <f xml:space="preserve"> Inputs!V$59</f>
        <v>0</v>
      </c>
      <c r="W71" s="34">
        <f xml:space="preserve"> Inputs!W$59</f>
        <v>0</v>
      </c>
    </row>
    <row r="72" spans="1:23" outlineLevel="1">
      <c r="E72" s="36" t="str">
        <f t="shared" ref="E72:T72" si="22" xml:space="preserve"> E$64</f>
        <v>Forecast error - WW-N+</v>
      </c>
      <c r="F72" s="36">
        <f t="shared" si="22"/>
        <v>0</v>
      </c>
      <c r="G72" s="36" t="str">
        <f t="shared" si="22"/>
        <v>%</v>
      </c>
      <c r="H72" s="36">
        <f t="shared" si="22"/>
        <v>0</v>
      </c>
      <c r="I72" s="36">
        <f t="shared" si="22"/>
        <v>0</v>
      </c>
      <c r="J72" s="36">
        <f xml:space="preserve"> J$64</f>
        <v>0</v>
      </c>
      <c r="K72" s="36">
        <f t="shared" si="22"/>
        <v>0</v>
      </c>
      <c r="L72" s="36">
        <f t="shared" si="22"/>
        <v>0</v>
      </c>
      <c r="M72" s="36">
        <f t="shared" si="22"/>
        <v>0</v>
      </c>
      <c r="N72" s="36">
        <f t="shared" si="22"/>
        <v>0</v>
      </c>
      <c r="O72" s="36">
        <f t="shared" si="22"/>
        <v>0</v>
      </c>
      <c r="P72" s="36">
        <f t="shared" si="22"/>
        <v>6.1247017554297963E-2</v>
      </c>
      <c r="Q72" s="36">
        <f t="shared" si="22"/>
        <v>1.2939446167179939E-2</v>
      </c>
      <c r="R72" s="36">
        <f t="shared" si="22"/>
        <v>3.4773033856042912E-2</v>
      </c>
      <c r="S72" s="36">
        <f t="shared" si="22"/>
        <v>6.0362140812141619E-3</v>
      </c>
      <c r="T72" s="36">
        <f t="shared" si="22"/>
        <v>2.6160722857104654E-3</v>
      </c>
      <c r="U72" s="36">
        <f xml:space="preserve"> U$64</f>
        <v>0</v>
      </c>
      <c r="V72" s="36">
        <f xml:space="preserve"> V$64</f>
        <v>0</v>
      </c>
      <c r="W72" s="36">
        <f xml:space="preserve"> W$64</f>
        <v>0</v>
      </c>
    </row>
    <row r="73" spans="1:23" outlineLevel="1">
      <c r="A73" s="61"/>
      <c r="C73" s="108"/>
      <c r="E73" s="55" t="str">
        <f t="shared" ref="E73:T73" si="23" xml:space="preserve"> E$68</f>
        <v>Penalty applicable - WW-N+</v>
      </c>
      <c r="F73" s="55">
        <f t="shared" si="23"/>
        <v>0</v>
      </c>
      <c r="G73" s="55" t="str">
        <f t="shared" si="23"/>
        <v>flag</v>
      </c>
      <c r="H73" s="55">
        <f t="shared" si="23"/>
        <v>0</v>
      </c>
      <c r="I73" s="55">
        <f t="shared" si="23"/>
        <v>0</v>
      </c>
      <c r="J73" s="55">
        <f xml:space="preserve"> J$68</f>
        <v>0</v>
      </c>
      <c r="K73" s="55">
        <f t="shared" si="23"/>
        <v>0</v>
      </c>
      <c r="L73" s="55">
        <f t="shared" si="23"/>
        <v>0</v>
      </c>
      <c r="M73" s="55">
        <f t="shared" si="23"/>
        <v>0</v>
      </c>
      <c r="N73" s="55">
        <f t="shared" si="23"/>
        <v>0</v>
      </c>
      <c r="O73" s="55">
        <f t="shared" si="23"/>
        <v>0</v>
      </c>
      <c r="P73" s="55">
        <f t="shared" si="23"/>
        <v>1</v>
      </c>
      <c r="Q73" s="55">
        <f t="shared" si="23"/>
        <v>0</v>
      </c>
      <c r="R73" s="55">
        <f t="shared" si="23"/>
        <v>1</v>
      </c>
      <c r="S73" s="55">
        <f t="shared" si="23"/>
        <v>0</v>
      </c>
      <c r="T73" s="55">
        <f t="shared" si="23"/>
        <v>0</v>
      </c>
      <c r="U73" s="55">
        <f xml:space="preserve"> U$68</f>
        <v>0</v>
      </c>
      <c r="V73" s="55">
        <f xml:space="preserve"> V$68</f>
        <v>0</v>
      </c>
      <c r="W73" s="55">
        <f xml:space="preserve"> W$68</f>
        <v>0</v>
      </c>
    </row>
    <row r="74" spans="1:23" outlineLevel="1">
      <c r="A74" s="61"/>
      <c r="C74" s="108"/>
      <c r="E74" s="55" t="s">
        <v>379</v>
      </c>
      <c r="G74" s="55" t="s">
        <v>274</v>
      </c>
      <c r="J74" s="3">
        <f t="shared" ref="J74:T74" si="24" xml:space="preserve"> IF(J73 = 1, (J72 - $F70) / ($F71 - $F70), 0)</f>
        <v>0</v>
      </c>
      <c r="K74" s="3">
        <f xml:space="preserve"> IF(K73 = 1, (K72 - $F70) / ($F71 - $F70), 0)</f>
        <v>0</v>
      </c>
      <c r="L74" s="3">
        <f t="shared" si="24"/>
        <v>0</v>
      </c>
      <c r="M74" s="3">
        <f t="shared" si="24"/>
        <v>0</v>
      </c>
      <c r="N74" s="3">
        <f t="shared" si="24"/>
        <v>0</v>
      </c>
      <c r="O74" s="3">
        <f t="shared" si="24"/>
        <v>0</v>
      </c>
      <c r="P74" s="3">
        <f t="shared" si="24"/>
        <v>4.1247017554297969</v>
      </c>
      <c r="Q74" s="3">
        <f t="shared" si="24"/>
        <v>0</v>
      </c>
      <c r="R74" s="3">
        <f t="shared" si="24"/>
        <v>1.4773033856042914</v>
      </c>
      <c r="S74" s="3">
        <f t="shared" si="24"/>
        <v>0</v>
      </c>
      <c r="T74" s="3">
        <f t="shared" si="24"/>
        <v>0</v>
      </c>
      <c r="U74" s="3">
        <f xml:space="preserve"> IF(U73 = 1, (U72 - $F70) / ($F71 - $F70), 0)</f>
        <v>0</v>
      </c>
      <c r="V74" s="3">
        <f xml:space="preserve"> IF(V73 = 1, (V72 - $F70) / ($F71 - $F70), 0)</f>
        <v>0</v>
      </c>
      <c r="W74" s="3">
        <f xml:space="preserve"> IF(W73 = 1, (W72 - $F70) / ($F71 - $F70), 0)</f>
        <v>0</v>
      </c>
    </row>
    <row r="75" spans="1:23" outlineLevel="1">
      <c r="A75" s="61"/>
      <c r="C75" s="108"/>
      <c r="E75" s="72"/>
      <c r="V75" s="55"/>
      <c r="W75" s="55"/>
    </row>
    <row r="76" spans="1:23" outlineLevel="1">
      <c r="A76" s="61"/>
      <c r="C76" s="108"/>
      <c r="E76" s="34" t="str">
        <f xml:space="preserve"> Inputs!E$61</f>
        <v>Penalty level</v>
      </c>
      <c r="F76" s="34">
        <f xml:space="preserve"> Inputs!F$61</f>
        <v>0.03</v>
      </c>
      <c r="G76" s="34" t="str">
        <f xml:space="preserve"> Inputs!G$61</f>
        <v>%</v>
      </c>
      <c r="H76" s="34">
        <f xml:space="preserve"> Inputs!H$61</f>
        <v>0</v>
      </c>
      <c r="I76" s="34">
        <f xml:space="preserve"> Inputs!I$61</f>
        <v>0</v>
      </c>
      <c r="J76" s="34">
        <f xml:space="preserve"> Inputs!J$61</f>
        <v>0</v>
      </c>
      <c r="K76" s="34">
        <f xml:space="preserve"> Inputs!K$61</f>
        <v>0</v>
      </c>
      <c r="L76" s="34">
        <f xml:space="preserve"> Inputs!L$61</f>
        <v>0</v>
      </c>
      <c r="M76" s="34">
        <f xml:space="preserve"> Inputs!M$61</f>
        <v>0</v>
      </c>
      <c r="N76" s="34">
        <f xml:space="preserve"> Inputs!N$61</f>
        <v>0</v>
      </c>
      <c r="O76" s="34">
        <f xml:space="preserve"> Inputs!O$61</f>
        <v>0</v>
      </c>
      <c r="P76" s="34">
        <f xml:space="preserve"> Inputs!P$61</f>
        <v>0</v>
      </c>
      <c r="Q76" s="34">
        <f xml:space="preserve"> Inputs!Q$61</f>
        <v>0</v>
      </c>
      <c r="R76" s="34">
        <f xml:space="preserve"> Inputs!R$61</f>
        <v>0</v>
      </c>
      <c r="S76" s="34">
        <f xml:space="preserve"> Inputs!S$61</f>
        <v>0</v>
      </c>
      <c r="T76" s="34">
        <f xml:space="preserve"> Inputs!T$61</f>
        <v>0</v>
      </c>
      <c r="U76" s="34">
        <f xml:space="preserve"> Inputs!U$61</f>
        <v>0</v>
      </c>
      <c r="V76" s="34">
        <f xml:space="preserve"> Inputs!V$61</f>
        <v>0</v>
      </c>
      <c r="W76" s="34">
        <f xml:space="preserve"> Inputs!W$61</f>
        <v>0</v>
      </c>
    </row>
    <row r="77" spans="1:23" outlineLevel="1">
      <c r="A77" s="61"/>
      <c r="C77" s="108"/>
      <c r="E77" s="3" t="str">
        <f t="shared" ref="E77:T77" si="25" xml:space="preserve"> E$74</f>
        <v>Error magnitude - WW-N+</v>
      </c>
      <c r="F77" s="3">
        <f t="shared" si="25"/>
        <v>0</v>
      </c>
      <c r="G77" s="3" t="str">
        <f t="shared" si="25"/>
        <v>factor</v>
      </c>
      <c r="H77" s="3">
        <f t="shared" si="25"/>
        <v>0</v>
      </c>
      <c r="I77" s="3">
        <f t="shared" si="25"/>
        <v>0</v>
      </c>
      <c r="J77" s="3">
        <f t="shared" si="25"/>
        <v>0</v>
      </c>
      <c r="K77" s="3">
        <f t="shared" si="25"/>
        <v>0</v>
      </c>
      <c r="L77" s="3">
        <f t="shared" si="25"/>
        <v>0</v>
      </c>
      <c r="M77" s="3">
        <f t="shared" si="25"/>
        <v>0</v>
      </c>
      <c r="N77" s="3">
        <f t="shared" si="25"/>
        <v>0</v>
      </c>
      <c r="O77" s="3">
        <f t="shared" si="25"/>
        <v>0</v>
      </c>
      <c r="P77" s="3">
        <f t="shared" si="25"/>
        <v>4.1247017554297969</v>
      </c>
      <c r="Q77" s="3">
        <f t="shared" si="25"/>
        <v>0</v>
      </c>
      <c r="R77" s="3">
        <f t="shared" si="25"/>
        <v>1.4773033856042914</v>
      </c>
      <c r="S77" s="3">
        <f t="shared" si="25"/>
        <v>0</v>
      </c>
      <c r="T77" s="3">
        <f t="shared" si="25"/>
        <v>0</v>
      </c>
      <c r="U77" s="3">
        <f xml:space="preserve"> U$74</f>
        <v>0</v>
      </c>
      <c r="V77" s="3">
        <f xml:space="preserve"> V$74</f>
        <v>0</v>
      </c>
      <c r="W77" s="3">
        <f xml:space="preserve"> W$74</f>
        <v>0</v>
      </c>
    </row>
    <row r="78" spans="1:23" outlineLevel="1">
      <c r="A78" s="61"/>
      <c r="C78" s="108"/>
      <c r="E78" s="80" t="s">
        <v>380</v>
      </c>
      <c r="F78" s="107"/>
      <c r="G78" s="107" t="s">
        <v>153</v>
      </c>
      <c r="H78" s="107"/>
      <c r="I78" s="56"/>
      <c r="J78" s="233">
        <f xml:space="preserve"> $F76 * MIN(1, J77)</f>
        <v>0</v>
      </c>
      <c r="K78" s="233">
        <f xml:space="preserve"> $F76 * MIN(1, K77)</f>
        <v>0</v>
      </c>
      <c r="L78" s="233">
        <f t="shared" ref="L78:T78" si="26" xml:space="preserve"> $F76 * MIN(1, L77)</f>
        <v>0</v>
      </c>
      <c r="M78" s="233">
        <f t="shared" si="26"/>
        <v>0</v>
      </c>
      <c r="N78" s="233">
        <f t="shared" si="26"/>
        <v>0</v>
      </c>
      <c r="O78" s="233">
        <f t="shared" si="26"/>
        <v>0</v>
      </c>
      <c r="P78" s="233">
        <f t="shared" si="26"/>
        <v>0.03</v>
      </c>
      <c r="Q78" s="233">
        <f t="shared" si="26"/>
        <v>0</v>
      </c>
      <c r="R78" s="233">
        <f t="shared" si="26"/>
        <v>0.03</v>
      </c>
      <c r="S78" s="233">
        <f t="shared" si="26"/>
        <v>0</v>
      </c>
      <c r="T78" s="233">
        <f t="shared" si="26"/>
        <v>0</v>
      </c>
      <c r="U78" s="233">
        <f xml:space="preserve"> $F76 * MIN(1, U77)</f>
        <v>0</v>
      </c>
      <c r="V78" s="233">
        <f xml:space="preserve"> $F76 * MIN(1, V77)</f>
        <v>0</v>
      </c>
      <c r="W78" s="233">
        <f xml:space="preserve"> $F76 * MIN(1, W77)</f>
        <v>0</v>
      </c>
    </row>
    <row r="79" spans="1:23" outlineLevel="1">
      <c r="A79" s="61"/>
      <c r="C79" s="108"/>
      <c r="E79" s="72"/>
      <c r="V79" s="55"/>
      <c r="W79" s="55"/>
    </row>
    <row r="80" spans="1:23" s="127" customFormat="1" outlineLevel="1">
      <c r="A80" s="164"/>
      <c r="B80" s="164"/>
      <c r="C80" s="165"/>
      <c r="D80" s="73"/>
      <c r="E80" s="203" t="str">
        <f xml:space="preserve"> E$44</f>
        <v xml:space="preserve">Revenue Imbalance  - WW-N+ </v>
      </c>
      <c r="F80" s="203">
        <f t="shared" ref="F80:W80" si="27" xml:space="preserve"> F$44</f>
        <v>0</v>
      </c>
      <c r="G80" s="203" t="str">
        <f t="shared" si="27"/>
        <v>£m</v>
      </c>
      <c r="H80" s="42">
        <f t="shared" si="27"/>
        <v>43.267333844384893</v>
      </c>
      <c r="I80" s="42">
        <f t="shared" si="27"/>
        <v>0</v>
      </c>
      <c r="J80" s="42">
        <f t="shared" si="27"/>
        <v>0</v>
      </c>
      <c r="K80" s="42">
        <f t="shared" si="27"/>
        <v>0</v>
      </c>
      <c r="L80" s="42">
        <f t="shared" si="27"/>
        <v>0</v>
      </c>
      <c r="M80" s="42">
        <f t="shared" si="27"/>
        <v>0</v>
      </c>
      <c r="N80" s="42">
        <f t="shared" si="27"/>
        <v>0</v>
      </c>
      <c r="O80" s="42">
        <f t="shared" si="27"/>
        <v>0</v>
      </c>
      <c r="P80" s="42">
        <f t="shared" si="27"/>
        <v>24.362893358278825</v>
      </c>
      <c r="Q80" s="42">
        <f t="shared" si="27"/>
        <v>5.1577243730081364</v>
      </c>
      <c r="R80" s="42">
        <f t="shared" si="27"/>
        <v>15.230249784368539</v>
      </c>
      <c r="S80" s="42">
        <f t="shared" si="27"/>
        <v>-2.7293625515931694</v>
      </c>
      <c r="T80" s="42">
        <f t="shared" si="27"/>
        <v>1.2458288803225628</v>
      </c>
      <c r="U80" s="42">
        <f t="shared" si="27"/>
        <v>0</v>
      </c>
      <c r="V80" s="42">
        <f t="shared" si="27"/>
        <v>0</v>
      </c>
      <c r="W80" s="42">
        <f t="shared" si="27"/>
        <v>0</v>
      </c>
    </row>
    <row r="81" spans="1:23" outlineLevel="1">
      <c r="B81" s="62"/>
      <c r="D81" s="157"/>
      <c r="E81" s="37" t="str">
        <f t="shared" ref="E81:T81" si="28" xml:space="preserve"> E$78</f>
        <v>Penalty rate (PR) - WW-N+</v>
      </c>
      <c r="F81" s="37">
        <f t="shared" si="28"/>
        <v>0</v>
      </c>
      <c r="G81" s="37" t="str">
        <f t="shared" si="28"/>
        <v>%</v>
      </c>
      <c r="H81" s="37">
        <f t="shared" si="28"/>
        <v>0</v>
      </c>
      <c r="I81" s="37">
        <f t="shared" si="28"/>
        <v>0</v>
      </c>
      <c r="J81" s="37">
        <f t="shared" si="28"/>
        <v>0</v>
      </c>
      <c r="K81" s="37">
        <f t="shared" si="28"/>
        <v>0</v>
      </c>
      <c r="L81" s="37">
        <f t="shared" si="28"/>
        <v>0</v>
      </c>
      <c r="M81" s="37">
        <f t="shared" si="28"/>
        <v>0</v>
      </c>
      <c r="N81" s="37">
        <f t="shared" si="28"/>
        <v>0</v>
      </c>
      <c r="O81" s="37">
        <f t="shared" si="28"/>
        <v>0</v>
      </c>
      <c r="P81" s="37">
        <f t="shared" si="28"/>
        <v>0.03</v>
      </c>
      <c r="Q81" s="37">
        <f t="shared" si="28"/>
        <v>0</v>
      </c>
      <c r="R81" s="37">
        <f t="shared" si="28"/>
        <v>0.03</v>
      </c>
      <c r="S81" s="37">
        <f t="shared" si="28"/>
        <v>0</v>
      </c>
      <c r="T81" s="37">
        <f t="shared" si="28"/>
        <v>0</v>
      </c>
      <c r="U81" s="37">
        <f xml:space="preserve"> U$78</f>
        <v>0</v>
      </c>
      <c r="V81" s="37">
        <f xml:space="preserve"> V$78</f>
        <v>0</v>
      </c>
      <c r="W81" s="37">
        <f xml:space="preserve"> W$78</f>
        <v>0</v>
      </c>
    </row>
    <row r="82" spans="1:23" outlineLevel="1">
      <c r="B82" s="62"/>
      <c r="D82" s="157"/>
      <c r="E82" s="289" t="str">
        <f xml:space="preserve"> Time!E$56</f>
        <v>Forecast period flag</v>
      </c>
      <c r="F82" s="289">
        <f xml:space="preserve"> Time!F$56</f>
        <v>0</v>
      </c>
      <c r="G82" s="289" t="str">
        <f xml:space="preserve"> Time!G$56</f>
        <v>flag</v>
      </c>
      <c r="H82" s="289">
        <f xml:space="preserve"> Time!H$56</f>
        <v>5</v>
      </c>
      <c r="I82" s="289">
        <f xml:space="preserve"> Time!I$56</f>
        <v>0</v>
      </c>
      <c r="J82" s="289">
        <f xml:space="preserve"> Time!J$56</f>
        <v>0</v>
      </c>
      <c r="K82" s="289">
        <f xml:space="preserve"> Time!K$56</f>
        <v>0</v>
      </c>
      <c r="L82" s="289">
        <f xml:space="preserve"> Time!L$56</f>
        <v>0</v>
      </c>
      <c r="M82" s="289">
        <f xml:space="preserve"> Time!M$56</f>
        <v>0</v>
      </c>
      <c r="N82" s="289">
        <f xml:space="preserve"> Time!N$56</f>
        <v>0</v>
      </c>
      <c r="O82" s="289">
        <f xml:space="preserve"> Time!O$56</f>
        <v>0</v>
      </c>
      <c r="P82" s="289">
        <f xml:space="preserve"> Time!P$56</f>
        <v>1</v>
      </c>
      <c r="Q82" s="289">
        <f xml:space="preserve"> Time!Q$56</f>
        <v>1</v>
      </c>
      <c r="R82" s="289">
        <f xml:space="preserve"> Time!R$56</f>
        <v>1</v>
      </c>
      <c r="S82" s="289">
        <f xml:space="preserve"> Time!S$56</f>
        <v>1</v>
      </c>
      <c r="T82" s="289">
        <f xml:space="preserve"> Time!T$56</f>
        <v>1</v>
      </c>
      <c r="U82" s="289">
        <f xml:space="preserve"> Time!U$56</f>
        <v>0</v>
      </c>
      <c r="V82" s="289">
        <f xml:space="preserve"> Time!V$56</f>
        <v>0</v>
      </c>
      <c r="W82" s="289">
        <f xml:space="preserve"> Time!W$56</f>
        <v>0</v>
      </c>
    </row>
    <row r="83" spans="1:23" outlineLevel="1">
      <c r="B83" s="62"/>
      <c r="D83" s="157"/>
      <c r="E83" s="127" t="s">
        <v>381</v>
      </c>
      <c r="F83" s="99"/>
      <c r="G83" s="99" t="s">
        <v>77</v>
      </c>
      <c r="H83" s="91">
        <f xml:space="preserve"> SUM(J83:W83)</f>
        <v>1.1877942942794208</v>
      </c>
      <c r="J83" s="91">
        <f xml:space="preserve">  IF(J82=1, J81 * ABS(J80), 0 )</f>
        <v>0</v>
      </c>
      <c r="K83" s="91">
        <f t="shared" ref="K83:P83" si="29" xml:space="preserve">  IF(K82=1, K81 * ABS(K80), 0 )</f>
        <v>0</v>
      </c>
      <c r="L83" s="91">
        <f t="shared" si="29"/>
        <v>0</v>
      </c>
      <c r="M83" s="91">
        <f t="shared" si="29"/>
        <v>0</v>
      </c>
      <c r="N83" s="91">
        <f t="shared" si="29"/>
        <v>0</v>
      </c>
      <c r="O83" s="91">
        <f t="shared" si="29"/>
        <v>0</v>
      </c>
      <c r="P83" s="91">
        <f t="shared" si="29"/>
        <v>0.73088680074836476</v>
      </c>
      <c r="Q83" s="91">
        <f t="shared" ref="Q83:W83" si="30" xml:space="preserve">  IF(Q82=1, Q81 * ABS(Q80), 0 )</f>
        <v>0</v>
      </c>
      <c r="R83" s="91">
        <f t="shared" si="30"/>
        <v>0.45690749353105614</v>
      </c>
      <c r="S83" s="91">
        <f t="shared" si="30"/>
        <v>0</v>
      </c>
      <c r="T83" s="91">
        <f t="shared" si="30"/>
        <v>0</v>
      </c>
      <c r="U83" s="91">
        <f t="shared" si="30"/>
        <v>0</v>
      </c>
      <c r="V83" s="91">
        <f t="shared" si="30"/>
        <v>0</v>
      </c>
      <c r="W83" s="91">
        <f t="shared" si="30"/>
        <v>0</v>
      </c>
    </row>
    <row r="84" spans="1:23" outlineLevel="1">
      <c r="B84" s="62"/>
      <c r="D84" s="157"/>
      <c r="E84" s="127"/>
      <c r="F84" s="99"/>
      <c r="G84" s="99"/>
      <c r="H84" s="91"/>
      <c r="J84" s="91">
        <f xml:space="preserve"> IF( J51 &lt;= $F$48 + 1,  J50 * (1 + $F49) * (1 + $F49), 0 )</f>
        <v>0</v>
      </c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</row>
    <row r="85" spans="1:23" s="430" customFormat="1" ht="12.75" customHeight="1" outlineLevel="1">
      <c r="A85" s="82"/>
      <c r="B85" s="82"/>
      <c r="C85" s="428"/>
      <c r="D85" s="429"/>
      <c r="E85" s="96" t="s">
        <v>328</v>
      </c>
      <c r="F85" s="96" t="str">
        <f>Inputs!F74</f>
        <v>No waiver</v>
      </c>
      <c r="G85" s="96"/>
      <c r="I85" s="431"/>
      <c r="J85" s="430" cm="1">
        <f t="array" ref="J85">_xlfn.IFS($F85="Partial waiver",Inputs!J$74,$F85="No waiver",0,$F85="Full waiver",J83)</f>
        <v>0</v>
      </c>
      <c r="K85" s="430" cm="1">
        <f t="array" ref="K85">_xlfn.IFS($F85="Partial waiver",Inputs!K$74,$F85="No waiver",0,$F85="Full waiver",K83)</f>
        <v>0</v>
      </c>
      <c r="L85" s="430" cm="1">
        <f t="array" ref="L85">_xlfn.IFS($F85="Partial waiver",Inputs!L$74,$F85="No waiver",0,$F85="Full waiver",L83)</f>
        <v>0</v>
      </c>
      <c r="M85" s="430" cm="1">
        <f t="array" ref="M85">_xlfn.IFS($F85="Partial waiver",ABS(Inputs!M$74),$F85="No waiver",0,$F85="Full waiver",M83)</f>
        <v>0</v>
      </c>
      <c r="N85" s="430" cm="1">
        <f t="array" ref="N85">_xlfn.IFS($F85="Partial waiver",ABS(Inputs!N$74),$F85="No waiver",0,$F85="Full waiver",N83)</f>
        <v>0</v>
      </c>
      <c r="O85" s="430" cm="1">
        <f t="array" ref="O85">_xlfn.IFS($F85="Partial waiver",ABS(Inputs!O$74),$F85="No waiver",0,$F85="Full waiver",O83)</f>
        <v>0</v>
      </c>
      <c r="P85" s="430" cm="1">
        <f t="array" ref="P85">_xlfn.IFS($F85="Partial waiver",ABS(Inputs!P$74),$F85="No waiver",0,$F85="Full waiver",P83)</f>
        <v>0</v>
      </c>
      <c r="Q85" s="430" cm="1">
        <f t="array" ref="Q85">_xlfn.IFS($F85="Partial waiver",ABS(Inputs!Q$74),$F85="No waiver",0,$F85="Full waiver",Q83)</f>
        <v>0</v>
      </c>
      <c r="R85" s="430" cm="1">
        <f t="array" ref="R85">_xlfn.IFS($F85="Partial waiver",ABS(Inputs!R$74),$F85="No waiver",0,$F85="Full waiver",R83)</f>
        <v>0</v>
      </c>
      <c r="S85" s="430" cm="1">
        <f t="array" ref="S85">_xlfn.IFS($F85="Partial waiver",ABS(Inputs!S$74),$F85="No waiver",0,$F85="Full waiver",S83)</f>
        <v>0</v>
      </c>
      <c r="T85" s="430" cm="1">
        <f t="array" ref="T85">_xlfn.IFS($F85="Partial waiver",ABS(Inputs!T$74),$F85="No waiver",0,$F85="Full waiver",T83)</f>
        <v>0</v>
      </c>
      <c r="U85" s="430" cm="1">
        <f t="array" ref="U85">_xlfn.IFS($F85="Partial waiver",ABS(Inputs!U$74),$F85="No waiver",0,$F85="Full waiver",U83)</f>
        <v>0</v>
      </c>
      <c r="V85" s="430" cm="1">
        <f t="array" ref="V85">_xlfn.IFS($F85="Partial waiver",ABS(Inputs!V$74),$F85="No waiver",0,$F85="Full waiver",V83)</f>
        <v>0</v>
      </c>
      <c r="W85" s="430" cm="1">
        <f t="array" ref="W85">_xlfn.IFS($F85="Partial waiver",ABS(Inputs!W$74),$F85="No waiver",0,$F85="Full waiver",W83)</f>
        <v>0</v>
      </c>
    </row>
    <row r="86" spans="1:23" outlineLevel="1">
      <c r="B86" s="62"/>
      <c r="D86" s="157"/>
      <c r="E86" s="127"/>
      <c r="F86" s="99"/>
      <c r="G86" s="99"/>
      <c r="H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</row>
    <row r="87" spans="1:23" s="91" customFormat="1" outlineLevel="1">
      <c r="A87" s="62"/>
      <c r="B87" s="62"/>
      <c r="C87" s="60"/>
      <c r="D87" s="157"/>
      <c r="E87" s="99" t="str">
        <f xml:space="preserve"> E$83</f>
        <v>Penalty adjustment - WW-N+ POS</v>
      </c>
      <c r="F87" s="99">
        <f xml:space="preserve"> F$83</f>
        <v>0</v>
      </c>
      <c r="G87" s="99" t="str">
        <f xml:space="preserve"> G$83</f>
        <v>£m</v>
      </c>
      <c r="H87" s="163">
        <f xml:space="preserve"> SUM(J87:W87)</f>
        <v>1.1877942942794208</v>
      </c>
      <c r="I87" s="99"/>
      <c r="J87" s="91">
        <f t="shared" ref="J87:W87" si="31" xml:space="preserve"> J$83-J$85</f>
        <v>0</v>
      </c>
      <c r="K87" s="91">
        <f t="shared" si="31"/>
        <v>0</v>
      </c>
      <c r="L87" s="91">
        <f t="shared" si="31"/>
        <v>0</v>
      </c>
      <c r="M87" s="91">
        <f t="shared" si="31"/>
        <v>0</v>
      </c>
      <c r="N87" s="91">
        <f t="shared" si="31"/>
        <v>0</v>
      </c>
      <c r="O87" s="91">
        <f t="shared" si="31"/>
        <v>0</v>
      </c>
      <c r="P87" s="91">
        <f t="shared" si="31"/>
        <v>0.73088680074836476</v>
      </c>
      <c r="Q87" s="91">
        <f t="shared" si="31"/>
        <v>0</v>
      </c>
      <c r="R87" s="91">
        <f t="shared" si="31"/>
        <v>0.45690749353105614</v>
      </c>
      <c r="S87" s="91">
        <f t="shared" si="31"/>
        <v>0</v>
      </c>
      <c r="T87" s="91">
        <f t="shared" si="31"/>
        <v>0</v>
      </c>
      <c r="U87" s="91">
        <f t="shared" si="31"/>
        <v>0</v>
      </c>
      <c r="V87" s="91">
        <f t="shared" si="31"/>
        <v>0</v>
      </c>
      <c r="W87" s="91">
        <f t="shared" si="31"/>
        <v>0</v>
      </c>
    </row>
    <row r="88" spans="1:23" s="153" customFormat="1" outlineLevel="1">
      <c r="A88" s="166"/>
      <c r="B88" s="166"/>
      <c r="C88" s="160"/>
      <c r="D88" s="161"/>
      <c r="E88" s="162" t="s">
        <v>382</v>
      </c>
      <c r="F88" s="162"/>
      <c r="G88" s="162" t="s">
        <v>77</v>
      </c>
      <c r="H88" s="163">
        <f xml:space="preserve"> SUM(J88:W88)</f>
        <v>-1.1877942942794208</v>
      </c>
      <c r="I88" s="183"/>
      <c r="J88" s="163">
        <f xml:space="preserve"> - J87</f>
        <v>0</v>
      </c>
      <c r="K88" s="163">
        <f t="shared" ref="K88:W88" si="32" xml:space="preserve"> - K87</f>
        <v>0</v>
      </c>
      <c r="L88" s="163">
        <f t="shared" si="32"/>
        <v>0</v>
      </c>
      <c r="M88" s="163">
        <f t="shared" si="32"/>
        <v>0</v>
      </c>
      <c r="N88" s="163">
        <f t="shared" si="32"/>
        <v>0</v>
      </c>
      <c r="O88" s="163">
        <f t="shared" si="32"/>
        <v>0</v>
      </c>
      <c r="P88" s="163">
        <f t="shared" si="32"/>
        <v>-0.73088680074836476</v>
      </c>
      <c r="Q88" s="163">
        <f t="shared" si="32"/>
        <v>0</v>
      </c>
      <c r="R88" s="163">
        <f t="shared" si="32"/>
        <v>-0.45690749353105614</v>
      </c>
      <c r="S88" s="163">
        <f t="shared" si="32"/>
        <v>0</v>
      </c>
      <c r="T88" s="163">
        <f t="shared" si="32"/>
        <v>0</v>
      </c>
      <c r="U88" s="163">
        <f t="shared" si="32"/>
        <v>0</v>
      </c>
      <c r="V88" s="163">
        <f t="shared" si="32"/>
        <v>0</v>
      </c>
      <c r="W88" s="163">
        <f t="shared" si="32"/>
        <v>0</v>
      </c>
    </row>
    <row r="89" spans="1:23" s="437" customFormat="1" outlineLevel="1">
      <c r="A89" s="433"/>
      <c r="B89" s="433"/>
      <c r="C89" s="434"/>
      <c r="D89" s="435"/>
      <c r="E89" s="436" t="s">
        <v>383</v>
      </c>
      <c r="F89" s="156">
        <f>COUNTIF(J89:W89,1)</f>
        <v>0</v>
      </c>
      <c r="G89" s="55" t="s">
        <v>331</v>
      </c>
      <c r="H89" s="442"/>
      <c r="I89" s="432"/>
      <c r="J89" s="156">
        <f>IF(J87&lt;0,1,0)</f>
        <v>0</v>
      </c>
      <c r="K89" s="156">
        <f t="shared" ref="K89:W89" si="33">IF(K87&lt;0,1,0)</f>
        <v>0</v>
      </c>
      <c r="L89" s="156">
        <f t="shared" si="33"/>
        <v>0</v>
      </c>
      <c r="M89" s="156">
        <f t="shared" si="33"/>
        <v>0</v>
      </c>
      <c r="N89" s="156">
        <f t="shared" si="33"/>
        <v>0</v>
      </c>
      <c r="O89" s="156">
        <f t="shared" si="33"/>
        <v>0</v>
      </c>
      <c r="P89" s="156">
        <f>IF(P87&lt;0,1,0)</f>
        <v>0</v>
      </c>
      <c r="Q89" s="156">
        <f t="shared" si="33"/>
        <v>0</v>
      </c>
      <c r="R89" s="156">
        <f t="shared" si="33"/>
        <v>0</v>
      </c>
      <c r="S89" s="156">
        <f t="shared" si="33"/>
        <v>0</v>
      </c>
      <c r="T89" s="156">
        <f t="shared" si="33"/>
        <v>0</v>
      </c>
      <c r="U89" s="156">
        <f t="shared" si="33"/>
        <v>0</v>
      </c>
      <c r="V89" s="156">
        <f t="shared" si="33"/>
        <v>0</v>
      </c>
      <c r="W89" s="156">
        <f t="shared" si="33"/>
        <v>0</v>
      </c>
    </row>
    <row r="90" spans="1:23" s="437" customFormat="1" outlineLevel="1">
      <c r="A90" s="433"/>
      <c r="B90" s="433"/>
      <c r="C90" s="434"/>
      <c r="D90" s="435"/>
      <c r="E90" s="441"/>
      <c r="F90" s="443"/>
      <c r="G90" s="443"/>
      <c r="H90" s="442"/>
      <c r="I90" s="432"/>
      <c r="J90" s="444"/>
      <c r="K90" s="444"/>
      <c r="L90" s="444"/>
      <c r="M90" s="444"/>
      <c r="N90" s="444"/>
      <c r="O90" s="444"/>
      <c r="P90" s="444"/>
      <c r="Q90" s="444"/>
      <c r="R90" s="444"/>
      <c r="S90" s="444"/>
      <c r="T90" s="444"/>
      <c r="U90" s="444"/>
      <c r="V90" s="444"/>
      <c r="W90" s="444"/>
    </row>
    <row r="91" spans="1:23" outlineLevel="1">
      <c r="E91" s="34" t="str">
        <f xml:space="preserve"> Inputs!E$63</f>
        <v>Discount rate</v>
      </c>
      <c r="F91" s="34">
        <f xml:space="preserve"> Inputs!F$63</f>
        <v>2.92E-2</v>
      </c>
      <c r="G91" s="34" t="str">
        <f xml:space="preserve"> Inputs!G$63</f>
        <v>%</v>
      </c>
      <c r="H91" s="34">
        <f xml:space="preserve"> Inputs!H$63</f>
        <v>0</v>
      </c>
      <c r="I91" s="34">
        <f xml:space="preserve"> Inputs!I$63</f>
        <v>0</v>
      </c>
      <c r="J91" s="34">
        <f xml:space="preserve"> Inputs!J$63</f>
        <v>0</v>
      </c>
      <c r="K91" s="34">
        <f xml:space="preserve"> Inputs!K$63</f>
        <v>0</v>
      </c>
      <c r="L91" s="34">
        <f xml:space="preserve"> Inputs!L$63</f>
        <v>0</v>
      </c>
      <c r="M91" s="34">
        <f xml:space="preserve"> Inputs!M$63</f>
        <v>0</v>
      </c>
      <c r="N91" s="34">
        <f xml:space="preserve"> Inputs!N$63</f>
        <v>0</v>
      </c>
      <c r="O91" s="34">
        <f xml:space="preserve"> Inputs!O$63</f>
        <v>0</v>
      </c>
      <c r="P91" s="34">
        <f xml:space="preserve"> Inputs!P$63</f>
        <v>0</v>
      </c>
      <c r="Q91" s="34">
        <f xml:space="preserve"> Inputs!Q$63</f>
        <v>0</v>
      </c>
      <c r="R91" s="34">
        <f xml:space="preserve"> Inputs!R$63</f>
        <v>0</v>
      </c>
      <c r="S91" s="34">
        <f xml:space="preserve"> Inputs!S$63</f>
        <v>0</v>
      </c>
      <c r="T91" s="34">
        <f xml:space="preserve"> Inputs!T$63</f>
        <v>0</v>
      </c>
      <c r="U91" s="34">
        <f xml:space="preserve"> Inputs!U$63</f>
        <v>0</v>
      </c>
      <c r="V91" s="34">
        <f xml:space="preserve"> Inputs!V$63</f>
        <v>0</v>
      </c>
      <c r="W91" s="34">
        <f xml:space="preserve"> Inputs!W$63</f>
        <v>0</v>
      </c>
    </row>
    <row r="92" spans="1:23" outlineLevel="1">
      <c r="A92" s="61"/>
      <c r="C92" s="108"/>
      <c r="E92" s="154" t="str">
        <f xml:space="preserve"> E$88</f>
        <v>Penalty adjustment - WW-N+</v>
      </c>
      <c r="F92" s="154">
        <f xml:space="preserve"> F$88</f>
        <v>0</v>
      </c>
      <c r="G92" s="154" t="str">
        <f xml:space="preserve"> G$88</f>
        <v>£m</v>
      </c>
      <c r="H92" s="154">
        <f xml:space="preserve"> H$88</f>
        <v>-1.1877942942794208</v>
      </c>
      <c r="I92" s="154">
        <f xml:space="preserve"> I$88</f>
        <v>0</v>
      </c>
      <c r="J92" s="154">
        <f t="shared" ref="J92:T92" si="34" xml:space="preserve"> J$88</f>
        <v>0</v>
      </c>
      <c r="K92" s="154">
        <f t="shared" si="34"/>
        <v>0</v>
      </c>
      <c r="L92" s="154">
        <f t="shared" si="34"/>
        <v>0</v>
      </c>
      <c r="M92" s="154">
        <f t="shared" si="34"/>
        <v>0</v>
      </c>
      <c r="N92" s="154">
        <f t="shared" si="34"/>
        <v>0</v>
      </c>
      <c r="O92" s="154">
        <f t="shared" si="34"/>
        <v>0</v>
      </c>
      <c r="P92" s="154">
        <f t="shared" si="34"/>
        <v>-0.73088680074836476</v>
      </c>
      <c r="Q92" s="154">
        <f t="shared" si="34"/>
        <v>0</v>
      </c>
      <c r="R92" s="154">
        <f t="shared" si="34"/>
        <v>-0.45690749353105614</v>
      </c>
      <c r="S92" s="154">
        <f t="shared" si="34"/>
        <v>0</v>
      </c>
      <c r="T92" s="154">
        <f t="shared" si="34"/>
        <v>0</v>
      </c>
      <c r="U92" s="154">
        <f xml:space="preserve"> U$88</f>
        <v>0</v>
      </c>
      <c r="V92" s="154">
        <f xml:space="preserve"> V$88</f>
        <v>0</v>
      </c>
      <c r="W92" s="154">
        <f xml:space="preserve"> W$88</f>
        <v>0</v>
      </c>
    </row>
    <row r="93" spans="1:23" outlineLevel="1">
      <c r="B93" s="62"/>
      <c r="D93" s="157"/>
      <c r="E93" s="72" t="s">
        <v>384</v>
      </c>
      <c r="G93" s="55" t="s">
        <v>77</v>
      </c>
      <c r="H93" s="92">
        <f xml:space="preserve"> SUM(J93:W93)</f>
        <v>-1.2224778876723799</v>
      </c>
      <c r="J93" s="92">
        <f t="shared" ref="J93:T93" si="35" xml:space="preserve"> J92 * (1 + $F91)</f>
        <v>0</v>
      </c>
      <c r="K93" s="92">
        <f xml:space="preserve"> K92 * (1 + $F91)</f>
        <v>0</v>
      </c>
      <c r="L93" s="92">
        <f t="shared" si="35"/>
        <v>0</v>
      </c>
      <c r="M93" s="92">
        <f t="shared" si="35"/>
        <v>0</v>
      </c>
      <c r="N93" s="92">
        <f t="shared" si="35"/>
        <v>0</v>
      </c>
      <c r="O93" s="92">
        <f t="shared" si="35"/>
        <v>0</v>
      </c>
      <c r="P93" s="92">
        <f xml:space="preserve"> P92 * (1 + $F91)</f>
        <v>-0.75222869533021697</v>
      </c>
      <c r="Q93" s="92">
        <f t="shared" si="35"/>
        <v>0</v>
      </c>
      <c r="R93" s="92">
        <f t="shared" si="35"/>
        <v>-0.47024919234216295</v>
      </c>
      <c r="S93" s="92">
        <f t="shared" si="35"/>
        <v>0</v>
      </c>
      <c r="T93" s="92">
        <f t="shared" si="35"/>
        <v>0</v>
      </c>
      <c r="U93" s="92">
        <f xml:space="preserve"> U92 * (1 + $F91)</f>
        <v>0</v>
      </c>
      <c r="V93" s="92">
        <f xml:space="preserve"> V92 * (1 + $F91)</f>
        <v>0</v>
      </c>
      <c r="W93" s="92">
        <f xml:space="preserve"> W92 * (1 + $F91)</f>
        <v>0</v>
      </c>
    </row>
    <row r="94" spans="1:23" outlineLevel="1">
      <c r="B94" s="62"/>
      <c r="D94" s="157"/>
      <c r="V94" s="55"/>
      <c r="W94" s="55"/>
    </row>
    <row r="95" spans="1:23" outlineLevel="1">
      <c r="B95" s="62"/>
      <c r="D95" s="157"/>
      <c r="E95" s="34" t="str">
        <f xml:space="preserve"> 'Indices and K factor'!E$11</f>
        <v>CPIH: Nov % increase (prior year) - CALC</v>
      </c>
      <c r="F95" s="34">
        <f xml:space="preserve"> 'Indices and K factor'!F$11</f>
        <v>0</v>
      </c>
      <c r="G95" s="34" t="str">
        <f xml:space="preserve"> 'Indices and K factor'!G$11</f>
        <v>%</v>
      </c>
      <c r="H95" s="34">
        <f xml:space="preserve"> 'Indices and K factor'!H$11</f>
        <v>0</v>
      </c>
      <c r="I95" s="34">
        <f xml:space="preserve"> 'Indices and K factor'!I$11</f>
        <v>0</v>
      </c>
      <c r="J95" s="34">
        <f xml:space="preserve"> 'Indices and K factor'!J$11</f>
        <v>0</v>
      </c>
      <c r="K95" s="34">
        <f xml:space="preserve"> 'Indices and K factor'!K$11</f>
        <v>0</v>
      </c>
      <c r="L95" s="34">
        <f xml:space="preserve"> 'Indices and K factor'!L$11</f>
        <v>1.0040040040040039</v>
      </c>
      <c r="M95" s="34">
        <f xml:space="preserve"> 'Indices and K factor'!M$11</f>
        <v>1.0149551345962113</v>
      </c>
      <c r="N95" s="34">
        <f xml:space="preserve"> 'Indices and K factor'!N$11</f>
        <v>1.0284872298624754</v>
      </c>
      <c r="O95" s="34">
        <f xml:space="preserve"> 'Indices and K factor'!O$11</f>
        <v>1.0210124164278893</v>
      </c>
      <c r="P95" s="34">
        <f xml:space="preserve"> 'Indices and K factor'!P$11</f>
        <v>1.0149672591206735</v>
      </c>
      <c r="Q95" s="34">
        <f xml:space="preserve"> 'Indices and K factor'!Q$11</f>
        <v>1.0055299539170506</v>
      </c>
      <c r="R95" s="34">
        <f xml:space="preserve"> 'Indices and K factor'!R$11</f>
        <v>1.0458295142071494</v>
      </c>
      <c r="S95" s="34">
        <f xml:space="preserve"> 'Indices and K factor'!S$11</f>
        <v>1.0937773882559159</v>
      </c>
      <c r="T95" s="34">
        <f xml:space="preserve"> 'Indices and K factor'!T$11</f>
        <v>1.0416666666666667</v>
      </c>
      <c r="U95" s="34">
        <f xml:space="preserve"> 'Indices and K factor'!U$11</f>
        <v>1.0253846153846156</v>
      </c>
      <c r="V95" s="34">
        <f xml:space="preserve"> 'Indices and K factor'!V$11</f>
        <v>1.02</v>
      </c>
      <c r="W95" s="34">
        <f xml:space="preserve"> 'Indices and K factor'!W$11</f>
        <v>1.02</v>
      </c>
    </row>
    <row r="96" spans="1:23" outlineLevel="1">
      <c r="B96" s="62"/>
      <c r="D96" s="157"/>
      <c r="E96" s="33" t="str">
        <f t="shared" ref="E96:T96" si="36" xml:space="preserve"> E$93</f>
        <v>Penalty adjustment - with financing adjustment - WW-N+</v>
      </c>
      <c r="F96" s="33">
        <f t="shared" si="36"/>
        <v>0</v>
      </c>
      <c r="G96" s="33" t="str">
        <f t="shared" si="36"/>
        <v>£m</v>
      </c>
      <c r="H96" s="33">
        <f t="shared" si="36"/>
        <v>-1.2224778876723799</v>
      </c>
      <c r="I96" s="33">
        <f t="shared" si="36"/>
        <v>0</v>
      </c>
      <c r="J96" s="33">
        <f t="shared" si="36"/>
        <v>0</v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-0.75222869533021697</v>
      </c>
      <c r="Q96" s="33">
        <f t="shared" si="36"/>
        <v>0</v>
      </c>
      <c r="R96" s="33">
        <f t="shared" si="36"/>
        <v>-0.47024919234216295</v>
      </c>
      <c r="S96" s="33">
        <f t="shared" si="36"/>
        <v>0</v>
      </c>
      <c r="T96" s="33">
        <f t="shared" si="36"/>
        <v>0</v>
      </c>
      <c r="U96" s="33">
        <f xml:space="preserve"> U$93</f>
        <v>0</v>
      </c>
      <c r="V96" s="33">
        <f xml:space="preserve"> V$93</f>
        <v>0</v>
      </c>
      <c r="W96" s="33">
        <f xml:space="preserve"> W$93</f>
        <v>0</v>
      </c>
    </row>
    <row r="97" spans="1:23" outlineLevel="1">
      <c r="B97" s="62"/>
      <c r="D97" s="157"/>
      <c r="E97" s="43" t="str">
        <f xml:space="preserve"> Time!E$56</f>
        <v>Forecast period flag</v>
      </c>
      <c r="F97" s="43">
        <f xml:space="preserve"> Time!F$56</f>
        <v>0</v>
      </c>
      <c r="G97" s="43" t="str">
        <f xml:space="preserve"> Time!G$56</f>
        <v>flag</v>
      </c>
      <c r="H97" s="43">
        <f xml:space="preserve"> Time!H$56</f>
        <v>5</v>
      </c>
      <c r="I97" s="43">
        <f xml:space="preserve"> Time!I$56</f>
        <v>0</v>
      </c>
      <c r="J97" s="43">
        <f xml:space="preserve"> Time!J$56</f>
        <v>0</v>
      </c>
      <c r="K97" s="43">
        <f xml:space="preserve"> Time!K$56</f>
        <v>0</v>
      </c>
      <c r="L97" s="43">
        <f xml:space="preserve"> Time!L$56</f>
        <v>0</v>
      </c>
      <c r="M97" s="43">
        <f xml:space="preserve"> Time!M$56</f>
        <v>0</v>
      </c>
      <c r="N97" s="43">
        <f xml:space="preserve"> Time!N$56</f>
        <v>0</v>
      </c>
      <c r="O97" s="43">
        <f xml:space="preserve"> Time!O$56</f>
        <v>0</v>
      </c>
      <c r="P97" s="43">
        <f xml:space="preserve"> Time!P$56</f>
        <v>1</v>
      </c>
      <c r="Q97" s="43">
        <f xml:space="preserve"> Time!Q$56</f>
        <v>1</v>
      </c>
      <c r="R97" s="43">
        <f xml:space="preserve"> Time!R$56</f>
        <v>1</v>
      </c>
      <c r="S97" s="43">
        <f xml:space="preserve"> Time!S$56</f>
        <v>1</v>
      </c>
      <c r="T97" s="43">
        <f xml:space="preserve"> Time!T$56</f>
        <v>1</v>
      </c>
      <c r="U97" s="43">
        <f xml:space="preserve"> Time!U$56</f>
        <v>0</v>
      </c>
      <c r="V97" s="43">
        <f xml:space="preserve"> Time!V$56</f>
        <v>0</v>
      </c>
      <c r="W97" s="43">
        <f xml:space="preserve"> Time!W$56</f>
        <v>0</v>
      </c>
    </row>
    <row r="98" spans="1:23" outlineLevel="1">
      <c r="A98" s="61"/>
      <c r="C98" s="108"/>
      <c r="E98" s="80" t="s">
        <v>385</v>
      </c>
      <c r="F98" s="107"/>
      <c r="G98" s="107" t="s">
        <v>77</v>
      </c>
      <c r="H98" s="104">
        <f xml:space="preserve"> SUM( J98:W98 )</f>
        <v>-1.3268324995083294</v>
      </c>
      <c r="I98" s="56"/>
      <c r="J98" s="222">
        <f xml:space="preserve"> IF( J97 = 1, J96 * K95 * L95, 0 )</f>
        <v>0</v>
      </c>
      <c r="K98" s="222">
        <f t="shared" ref="K98:U98" si="37" xml:space="preserve"> IF( K97 = 1, K96 * L95 * M95, 0 )</f>
        <v>0</v>
      </c>
      <c r="L98" s="222">
        <f t="shared" si="37"/>
        <v>0</v>
      </c>
      <c r="M98" s="222">
        <f t="shared" si="37"/>
        <v>0</v>
      </c>
      <c r="N98" s="222">
        <f t="shared" si="37"/>
        <v>0</v>
      </c>
      <c r="O98" s="222">
        <f t="shared" si="37"/>
        <v>0</v>
      </c>
      <c r="P98" s="222">
        <f t="shared" si="37"/>
        <v>-0.79105340218596998</v>
      </c>
      <c r="Q98" s="222">
        <f t="shared" si="37"/>
        <v>0</v>
      </c>
      <c r="R98" s="222">
        <f t="shared" si="37"/>
        <v>-0.53577909732235929</v>
      </c>
      <c r="S98" s="222">
        <f t="shared" si="37"/>
        <v>0</v>
      </c>
      <c r="T98" s="222">
        <f t="shared" si="37"/>
        <v>0</v>
      </c>
      <c r="U98" s="222">
        <f t="shared" si="37"/>
        <v>0</v>
      </c>
      <c r="V98" s="234"/>
      <c r="W98" s="234"/>
    </row>
    <row r="99" spans="1:23" customFormat="1" ht="12.75" outlineLevel="1"/>
    <row r="100" spans="1:23" ht="14.25" customHeight="1" outlineLevel="1">
      <c r="A100" s="61"/>
      <c r="B100" s="61" t="s">
        <v>334</v>
      </c>
      <c r="C100" s="108"/>
      <c r="E100" s="72"/>
    </row>
    <row r="101" spans="1:23" ht="14.25" customHeight="1" outlineLevel="1">
      <c r="A101" s="61"/>
      <c r="C101" s="108"/>
      <c r="E101" s="72"/>
    </row>
    <row r="102" spans="1:23" outlineLevel="1">
      <c r="A102" s="61"/>
      <c r="C102" s="108"/>
      <c r="E102" s="34" t="str">
        <f xml:space="preserve"> Inputs!E$65</f>
        <v>Threshold for additional variance analyses</v>
      </c>
      <c r="F102" s="34">
        <f xml:space="preserve"> Inputs!F$65</f>
        <v>0.06</v>
      </c>
      <c r="G102" s="34" t="str">
        <f xml:space="preserve"> Inputs!G$65</f>
        <v>%</v>
      </c>
      <c r="H102" s="34">
        <f xml:space="preserve"> Inputs!H$65</f>
        <v>0</v>
      </c>
      <c r="I102" s="34">
        <f xml:space="preserve"> Inputs!I$65</f>
        <v>0</v>
      </c>
      <c r="J102" s="34">
        <f xml:space="preserve"> Inputs!J$65</f>
        <v>0</v>
      </c>
      <c r="K102" s="34">
        <f xml:space="preserve"> Inputs!K$65</f>
        <v>0</v>
      </c>
      <c r="L102" s="34">
        <f xml:space="preserve"> Inputs!L$65</f>
        <v>0</v>
      </c>
      <c r="M102" s="34">
        <f xml:space="preserve"> Inputs!M$65</f>
        <v>0</v>
      </c>
      <c r="N102" s="34">
        <f xml:space="preserve"> Inputs!N$65</f>
        <v>0</v>
      </c>
      <c r="O102" s="34">
        <f xml:space="preserve"> Inputs!O$65</f>
        <v>0</v>
      </c>
      <c r="P102" s="34">
        <f xml:space="preserve"> Inputs!P$65</f>
        <v>0</v>
      </c>
      <c r="Q102" s="34">
        <f xml:space="preserve"> Inputs!Q$65</f>
        <v>0</v>
      </c>
      <c r="R102" s="34">
        <f xml:space="preserve"> Inputs!R$65</f>
        <v>0</v>
      </c>
      <c r="S102" s="34">
        <f xml:space="preserve"> Inputs!S$65</f>
        <v>0</v>
      </c>
      <c r="T102" s="34">
        <f xml:space="preserve"> Inputs!T$65</f>
        <v>0</v>
      </c>
      <c r="U102" s="34">
        <f xml:space="preserve"> Inputs!U$65</f>
        <v>0</v>
      </c>
      <c r="V102" s="34">
        <f xml:space="preserve"> Inputs!V$65</f>
        <v>0</v>
      </c>
      <c r="W102" s="34">
        <f xml:space="preserve"> Inputs!W$65</f>
        <v>0</v>
      </c>
    </row>
    <row r="103" spans="1:23" outlineLevel="1">
      <c r="A103" s="61"/>
      <c r="C103" s="108"/>
      <c r="E103" s="36" t="str">
        <f>E$64</f>
        <v>Forecast error - WW-N+</v>
      </c>
      <c r="F103" s="36">
        <f>F$64</f>
        <v>0</v>
      </c>
      <c r="G103" s="36" t="str">
        <f>G$64</f>
        <v>%</v>
      </c>
      <c r="H103" s="36">
        <f>H$64</f>
        <v>0</v>
      </c>
      <c r="I103" s="36">
        <f>I$64</f>
        <v>0</v>
      </c>
      <c r="J103" s="36">
        <f t="shared" ref="J103:W103" si="38">J$64</f>
        <v>0</v>
      </c>
      <c r="K103" s="36">
        <f t="shared" si="38"/>
        <v>0</v>
      </c>
      <c r="L103" s="36">
        <f t="shared" si="38"/>
        <v>0</v>
      </c>
      <c r="M103" s="36">
        <f t="shared" si="38"/>
        <v>0</v>
      </c>
      <c r="N103" s="36">
        <f t="shared" si="38"/>
        <v>0</v>
      </c>
      <c r="O103" s="36">
        <f t="shared" si="38"/>
        <v>0</v>
      </c>
      <c r="P103" s="36">
        <f t="shared" si="38"/>
        <v>6.1247017554297963E-2</v>
      </c>
      <c r="Q103" s="36">
        <f>Q$64</f>
        <v>1.2939446167179939E-2</v>
      </c>
      <c r="R103" s="36">
        <f t="shared" si="38"/>
        <v>3.4773033856042912E-2</v>
      </c>
      <c r="S103" s="36">
        <f t="shared" si="38"/>
        <v>6.0362140812141619E-3</v>
      </c>
      <c r="T103" s="36">
        <f t="shared" si="38"/>
        <v>2.6160722857104654E-3</v>
      </c>
      <c r="U103" s="36">
        <f t="shared" si="38"/>
        <v>0</v>
      </c>
      <c r="V103" s="36">
        <f t="shared" si="38"/>
        <v>0</v>
      </c>
      <c r="W103" s="36">
        <f t="shared" si="38"/>
        <v>0</v>
      </c>
    </row>
    <row r="104" spans="1:23" outlineLevel="1">
      <c r="A104" s="61"/>
      <c r="C104" s="108"/>
      <c r="E104" s="72" t="s">
        <v>386</v>
      </c>
      <c r="F104" s="156">
        <f xml:space="preserve"> IF(SUM(J104:W104) &gt; 0, 1, 0)</f>
        <v>1</v>
      </c>
      <c r="G104" s="55" t="s">
        <v>331</v>
      </c>
      <c r="J104" s="156">
        <f t="shared" ref="J104:W104" si="39" xml:space="preserve"> IF(ABS(J103) &gt; $F102, 1, 0)</f>
        <v>0</v>
      </c>
      <c r="K104" s="156">
        <f t="shared" si="39"/>
        <v>0</v>
      </c>
      <c r="L104" s="156">
        <f t="shared" si="39"/>
        <v>0</v>
      </c>
      <c r="M104" s="156">
        <f t="shared" si="39"/>
        <v>0</v>
      </c>
      <c r="N104" s="156">
        <f t="shared" si="39"/>
        <v>0</v>
      </c>
      <c r="O104" s="156">
        <f t="shared" si="39"/>
        <v>0</v>
      </c>
      <c r="P104" s="156">
        <f t="shared" si="39"/>
        <v>1</v>
      </c>
      <c r="Q104" s="156">
        <f t="shared" si="39"/>
        <v>0</v>
      </c>
      <c r="R104" s="156">
        <f t="shared" si="39"/>
        <v>0</v>
      </c>
      <c r="S104" s="156">
        <f t="shared" si="39"/>
        <v>0</v>
      </c>
      <c r="T104" s="156">
        <f t="shared" si="39"/>
        <v>0</v>
      </c>
      <c r="U104" s="156">
        <f t="shared" si="39"/>
        <v>0</v>
      </c>
      <c r="V104" s="156">
        <f t="shared" si="39"/>
        <v>0</v>
      </c>
      <c r="W104" s="156">
        <f t="shared" si="39"/>
        <v>0</v>
      </c>
    </row>
    <row r="105" spans="1:23" outlineLevel="1">
      <c r="A105" s="61"/>
      <c r="C105" s="108"/>
      <c r="E105" s="72"/>
      <c r="V105" s="55"/>
      <c r="W105" s="55"/>
    </row>
    <row r="106" spans="1:23" customFormat="1" ht="12.75" customHeight="1">
      <c r="A106" s="113" t="s">
        <v>341</v>
      </c>
      <c r="B106" s="113"/>
      <c r="C106" s="112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</row>
    <row r="107" spans="1:23">
      <c r="A107" s="61"/>
      <c r="C107" s="108"/>
      <c r="E107" s="72"/>
      <c r="V107" s="55"/>
      <c r="W107" s="55"/>
    </row>
    <row r="108" spans="1:23" outlineLevel="1">
      <c r="A108" s="61"/>
      <c r="C108" s="108"/>
      <c r="E108" s="126" t="str">
        <f xml:space="preserve"> E$56</f>
        <v>Main revenue adjustment - with financing adjustment &amp; 2 year lag of inflation - WW-N+</v>
      </c>
      <c r="F108" s="126">
        <f xml:space="preserve"> F$56</f>
        <v>0</v>
      </c>
      <c r="G108" s="126" t="str">
        <f xml:space="preserve"> G$56</f>
        <v>£m</v>
      </c>
      <c r="H108" s="33">
        <f xml:space="preserve"> H$56</f>
        <v>51.768732622096223</v>
      </c>
      <c r="I108" s="33">
        <f xml:space="preserve"> I$56</f>
        <v>0</v>
      </c>
      <c r="J108" s="33">
        <f t="shared" ref="J108:W108" si="40" xml:space="preserve"> J$56</f>
        <v>0</v>
      </c>
      <c r="K108" s="33">
        <f xml:space="preserve"> K$56</f>
        <v>0</v>
      </c>
      <c r="L108" s="33">
        <f t="shared" si="40"/>
        <v>0</v>
      </c>
      <c r="M108" s="33">
        <f t="shared" si="40"/>
        <v>0</v>
      </c>
      <c r="N108" s="33">
        <f t="shared" si="40"/>
        <v>0</v>
      </c>
      <c r="O108" s="33">
        <f t="shared" si="40"/>
        <v>0</v>
      </c>
      <c r="P108" s="33">
        <f t="shared" si="40"/>
        <v>27.138405384326678</v>
      </c>
      <c r="Q108" s="33">
        <f t="shared" si="40"/>
        <v>6.2495323389638058</v>
      </c>
      <c r="R108" s="33">
        <f t="shared" si="40"/>
        <v>18.380794898805735</v>
      </c>
      <c r="S108" s="33">
        <f t="shared" si="40"/>
        <v>0</v>
      </c>
      <c r="T108" s="33">
        <f t="shared" si="40"/>
        <v>0</v>
      </c>
      <c r="U108" s="33">
        <f t="shared" si="40"/>
        <v>0</v>
      </c>
      <c r="V108" s="33">
        <f t="shared" si="40"/>
        <v>0</v>
      </c>
      <c r="W108" s="33">
        <f t="shared" si="40"/>
        <v>0</v>
      </c>
    </row>
    <row r="109" spans="1:23" outlineLevel="1">
      <c r="A109" s="61"/>
      <c r="C109" s="108"/>
      <c r="E109" s="92" t="str">
        <f t="shared" ref="E109:T109" si="41" xml:space="preserve"> E$98</f>
        <v>Penalty adjustment - with financing adjustment &amp; 2 year lag of inflation - WW-N+</v>
      </c>
      <c r="F109" s="92">
        <f t="shared" si="41"/>
        <v>0</v>
      </c>
      <c r="G109" s="92" t="str">
        <f t="shared" si="41"/>
        <v>£m</v>
      </c>
      <c r="H109" s="92">
        <f t="shared" si="41"/>
        <v>-1.3268324995083294</v>
      </c>
      <c r="I109" s="92">
        <f t="shared" si="41"/>
        <v>0</v>
      </c>
      <c r="J109" s="92">
        <f t="shared" si="41"/>
        <v>0</v>
      </c>
      <c r="K109" s="92">
        <f xml:space="preserve"> K$98</f>
        <v>0</v>
      </c>
      <c r="L109" s="92">
        <f t="shared" si="41"/>
        <v>0</v>
      </c>
      <c r="M109" s="92">
        <f t="shared" si="41"/>
        <v>0</v>
      </c>
      <c r="N109" s="92">
        <f t="shared" si="41"/>
        <v>0</v>
      </c>
      <c r="O109" s="92">
        <f t="shared" si="41"/>
        <v>0</v>
      </c>
      <c r="P109" s="92">
        <f t="shared" si="41"/>
        <v>-0.79105340218596998</v>
      </c>
      <c r="Q109" s="92">
        <f t="shared" si="41"/>
        <v>0</v>
      </c>
      <c r="R109" s="92">
        <f t="shared" si="41"/>
        <v>-0.53577909732235929</v>
      </c>
      <c r="S109" s="92">
        <f t="shared" si="41"/>
        <v>0</v>
      </c>
      <c r="T109" s="92">
        <f t="shared" si="41"/>
        <v>0</v>
      </c>
      <c r="U109" s="92">
        <f xml:space="preserve"> U$98</f>
        <v>0</v>
      </c>
      <c r="V109" s="92">
        <f xml:space="preserve"> V$98</f>
        <v>0</v>
      </c>
      <c r="W109" s="92">
        <f xml:space="preserve"> W$98</f>
        <v>0</v>
      </c>
    </row>
    <row r="110" spans="1:23" outlineLevel="1">
      <c r="A110" s="61"/>
      <c r="C110" s="108"/>
      <c r="E110" s="43" t="str">
        <f xml:space="preserve"> Time!E$56</f>
        <v>Forecast period flag</v>
      </c>
      <c r="F110" s="43">
        <f xml:space="preserve"> Time!F$56</f>
        <v>0</v>
      </c>
      <c r="G110" s="43" t="str">
        <f xml:space="preserve"> Time!G$56</f>
        <v>flag</v>
      </c>
      <c r="H110" s="43">
        <f xml:space="preserve"> Time!H$56</f>
        <v>5</v>
      </c>
      <c r="I110" s="43">
        <f xml:space="preserve"> Time!I$56</f>
        <v>0</v>
      </c>
      <c r="J110" s="43">
        <f xml:space="preserve"> Time!J$56</f>
        <v>0</v>
      </c>
      <c r="K110" s="43">
        <f xml:space="preserve"> Time!K$56</f>
        <v>0</v>
      </c>
      <c r="L110" s="43">
        <f xml:space="preserve"> Time!L$56</f>
        <v>0</v>
      </c>
      <c r="M110" s="43">
        <f xml:space="preserve"> Time!M$56</f>
        <v>0</v>
      </c>
      <c r="N110" s="43">
        <f xml:space="preserve"> Time!N$56</f>
        <v>0</v>
      </c>
      <c r="O110" s="43">
        <f xml:space="preserve"> Time!O$56</f>
        <v>0</v>
      </c>
      <c r="P110" s="43">
        <f xml:space="preserve"> Time!P$56</f>
        <v>1</v>
      </c>
      <c r="Q110" s="43">
        <f xml:space="preserve"> Time!Q$56</f>
        <v>1</v>
      </c>
      <c r="R110" s="43">
        <f xml:space="preserve"> Time!R$56</f>
        <v>1</v>
      </c>
      <c r="S110" s="43">
        <f xml:space="preserve"> Time!S$56</f>
        <v>1</v>
      </c>
      <c r="T110" s="43">
        <f xml:space="preserve"> Time!T$56</f>
        <v>1</v>
      </c>
      <c r="U110" s="43">
        <f xml:space="preserve"> Time!U$56</f>
        <v>0</v>
      </c>
      <c r="V110" s="43">
        <f xml:space="preserve"> Time!V$56</f>
        <v>0</v>
      </c>
      <c r="W110" s="43">
        <f xml:space="preserve"> Time!W$56</f>
        <v>0</v>
      </c>
    </row>
    <row r="111" spans="1:23" s="173" customFormat="1" ht="13.5" outlineLevel="1" thickBot="1">
      <c r="A111" s="88"/>
      <c r="B111" s="88"/>
      <c r="C111" s="89"/>
      <c r="D111" s="290"/>
      <c r="E111" s="284" t="s">
        <v>387</v>
      </c>
      <c r="F111" s="284" t="s">
        <v>344</v>
      </c>
      <c r="G111" s="284" t="s">
        <v>77</v>
      </c>
      <c r="H111" s="284">
        <f xml:space="preserve"> SUM(J111:W111)</f>
        <v>50.441900122587889</v>
      </c>
      <c r="I111" s="284"/>
      <c r="J111" s="267"/>
      <c r="K111" s="284">
        <f t="shared" ref="K111:P111" si="42" xml:space="preserve"> ( I108 + I109 ) * K110</f>
        <v>0</v>
      </c>
      <c r="L111" s="284">
        <f t="shared" si="42"/>
        <v>0</v>
      </c>
      <c r="M111" s="284">
        <f t="shared" si="42"/>
        <v>0</v>
      </c>
      <c r="N111" s="284">
        <f t="shared" si="42"/>
        <v>0</v>
      </c>
      <c r="O111" s="284">
        <f t="shared" si="42"/>
        <v>0</v>
      </c>
      <c r="P111" s="284">
        <f t="shared" si="42"/>
        <v>0</v>
      </c>
      <c r="Q111" s="284">
        <f t="shared" ref="Q111:W111" si="43" xml:space="preserve"> ( O108 + O109 ) * Q110</f>
        <v>0</v>
      </c>
      <c r="R111" s="284">
        <f t="shared" si="43"/>
        <v>26.347351982140708</v>
      </c>
      <c r="S111" s="284">
        <f t="shared" si="43"/>
        <v>6.2495323389638058</v>
      </c>
      <c r="T111" s="284">
        <f xml:space="preserve"> ( R108 + R109 ) * T110</f>
        <v>17.845015801483378</v>
      </c>
      <c r="U111" s="284">
        <f t="shared" si="43"/>
        <v>0</v>
      </c>
      <c r="V111" s="284">
        <f t="shared" si="43"/>
        <v>0</v>
      </c>
      <c r="W111" s="284">
        <f t="shared" si="43"/>
        <v>0</v>
      </c>
    </row>
    <row r="112" spans="1:23" ht="13.5" outlineLevel="1" thickTop="1">
      <c r="A112" s="61"/>
      <c r="C112" s="108"/>
      <c r="E112" s="72"/>
      <c r="V112" s="55"/>
      <c r="W112" s="55"/>
    </row>
    <row r="113" spans="1:23">
      <c r="A113" s="113" t="s">
        <v>347</v>
      </c>
      <c r="B113" s="113"/>
      <c r="C113" s="112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</row>
    <row r="114" spans="1:23">
      <c r="A114" s="61"/>
      <c r="C114" s="108"/>
      <c r="E114" s="72"/>
      <c r="V114" s="55"/>
      <c r="W114" s="55"/>
    </row>
    <row r="115" spans="1:23" outlineLevel="1">
      <c r="B115" s="62" t="s">
        <v>388</v>
      </c>
      <c r="D115" s="157"/>
      <c r="E115" s="127"/>
      <c r="F115" s="99"/>
      <c r="G115" s="99"/>
      <c r="H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</row>
    <row r="116" spans="1:23" outlineLevel="1">
      <c r="B116" s="62"/>
      <c r="D116" s="157"/>
      <c r="E116" s="127"/>
      <c r="F116" s="99"/>
      <c r="G116" s="99"/>
      <c r="H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</row>
    <row r="117" spans="1:23" outlineLevel="1">
      <c r="B117" s="62"/>
      <c r="D117" s="157"/>
      <c r="E117" s="41" t="str">
        <f xml:space="preserve"> Inputs!E$63</f>
        <v>Discount rate</v>
      </c>
      <c r="F117" s="41">
        <f xml:space="preserve"> Inputs!F$63</f>
        <v>2.92E-2</v>
      </c>
      <c r="G117" s="41" t="str">
        <f xml:space="preserve"> Inputs!G$63</f>
        <v>%</v>
      </c>
      <c r="H117" s="41">
        <f xml:space="preserve"> Inputs!H$63</f>
        <v>0</v>
      </c>
      <c r="I117" s="41">
        <f xml:space="preserve"> Inputs!I$63</f>
        <v>0</v>
      </c>
      <c r="J117" s="41">
        <f xml:space="preserve"> Inputs!J$63</f>
        <v>0</v>
      </c>
      <c r="K117" s="41">
        <f xml:space="preserve"> Inputs!K$63</f>
        <v>0</v>
      </c>
      <c r="L117" s="41">
        <f xml:space="preserve"> Inputs!L$63</f>
        <v>0</v>
      </c>
      <c r="M117" s="41">
        <f xml:space="preserve"> Inputs!M$63</f>
        <v>0</v>
      </c>
      <c r="N117" s="41">
        <f xml:space="preserve"> Inputs!N$63</f>
        <v>0</v>
      </c>
      <c r="O117" s="41">
        <f xml:space="preserve"> Inputs!O$63</f>
        <v>0</v>
      </c>
      <c r="P117" s="41">
        <f xml:space="preserve"> Inputs!P$63</f>
        <v>0</v>
      </c>
      <c r="Q117" s="41">
        <f xml:space="preserve"> Inputs!Q$63</f>
        <v>0</v>
      </c>
      <c r="R117" s="41">
        <f xml:space="preserve"> Inputs!R$63</f>
        <v>0</v>
      </c>
      <c r="S117" s="41">
        <f xml:space="preserve"> Inputs!S$63</f>
        <v>0</v>
      </c>
      <c r="T117" s="41">
        <f xml:space="preserve"> Inputs!T$63</f>
        <v>0</v>
      </c>
      <c r="U117" s="41">
        <f xml:space="preserve"> Inputs!U$63</f>
        <v>0</v>
      </c>
      <c r="V117" s="41">
        <f xml:space="preserve"> Inputs!V$63</f>
        <v>0</v>
      </c>
      <c r="W117" s="41">
        <f xml:space="preserve"> Inputs!W$63</f>
        <v>0</v>
      </c>
    </row>
    <row r="118" spans="1:23" outlineLevel="1">
      <c r="B118" s="62"/>
      <c r="D118" s="157"/>
      <c r="E118" s="41" t="str">
        <f xml:space="preserve"> 'Indices and K factor'!E$11</f>
        <v>CPIH: Nov % increase (prior year) - CALC</v>
      </c>
      <c r="F118" s="41">
        <f xml:space="preserve"> 'Indices and K factor'!F$11</f>
        <v>0</v>
      </c>
      <c r="G118" s="41" t="str">
        <f xml:space="preserve"> 'Indices and K factor'!G$11</f>
        <v>%</v>
      </c>
      <c r="H118" s="41">
        <f xml:space="preserve"> 'Indices and K factor'!H$11</f>
        <v>0</v>
      </c>
      <c r="I118" s="41">
        <f xml:space="preserve"> 'Indices and K factor'!I$11</f>
        <v>0</v>
      </c>
      <c r="J118" s="41">
        <f xml:space="preserve"> 'Indices and K factor'!J$11</f>
        <v>0</v>
      </c>
      <c r="K118" s="41">
        <f xml:space="preserve"> 'Indices and K factor'!K$11</f>
        <v>0</v>
      </c>
      <c r="L118" s="41">
        <f xml:space="preserve"> 'Indices and K factor'!L$11</f>
        <v>1.0040040040040039</v>
      </c>
      <c r="M118" s="41">
        <f xml:space="preserve"> 'Indices and K factor'!M$11</f>
        <v>1.0149551345962113</v>
      </c>
      <c r="N118" s="41">
        <f xml:space="preserve"> 'Indices and K factor'!N$11</f>
        <v>1.0284872298624754</v>
      </c>
      <c r="O118" s="41">
        <f xml:space="preserve"> 'Indices and K factor'!O$11</f>
        <v>1.0210124164278893</v>
      </c>
      <c r="P118" s="41">
        <f xml:space="preserve"> 'Indices and K factor'!P$11</f>
        <v>1.0149672591206735</v>
      </c>
      <c r="Q118" s="41">
        <f xml:space="preserve"> 'Indices and K factor'!Q$11</f>
        <v>1.0055299539170506</v>
      </c>
      <c r="R118" s="41">
        <f xml:space="preserve"> 'Indices and K factor'!R$11</f>
        <v>1.0458295142071494</v>
      </c>
      <c r="S118" s="41">
        <f xml:space="preserve"> 'Indices and K factor'!S$11</f>
        <v>1.0937773882559159</v>
      </c>
      <c r="T118" s="41">
        <f xml:space="preserve"> 'Indices and K factor'!T$11</f>
        <v>1.0416666666666667</v>
      </c>
      <c r="U118" s="41">
        <f xml:space="preserve"> 'Indices and K factor'!U$11</f>
        <v>1.0253846153846156</v>
      </c>
      <c r="V118" s="41">
        <f xml:space="preserve"> 'Indices and K factor'!V$11</f>
        <v>1.02</v>
      </c>
      <c r="W118" s="41">
        <f xml:space="preserve"> 'Indices and K factor'!W$11</f>
        <v>1.02</v>
      </c>
    </row>
    <row r="119" spans="1:23" outlineLevel="1">
      <c r="B119" s="62"/>
      <c r="D119" s="157"/>
      <c r="E119" s="293" t="str">
        <f xml:space="preserve"> E$44</f>
        <v xml:space="preserve">Revenue Imbalance  - WW-N+ </v>
      </c>
      <c r="F119" s="293">
        <f t="shared" ref="F119:W119" si="44" xml:space="preserve"> F$44</f>
        <v>0</v>
      </c>
      <c r="G119" s="293" t="str">
        <f t="shared" si="44"/>
        <v>£m</v>
      </c>
      <c r="H119" s="293">
        <f t="shared" si="44"/>
        <v>43.267333844384893</v>
      </c>
      <c r="I119" s="293">
        <f t="shared" si="44"/>
        <v>0</v>
      </c>
      <c r="J119" s="293">
        <f t="shared" si="44"/>
        <v>0</v>
      </c>
      <c r="K119" s="293">
        <f t="shared" si="44"/>
        <v>0</v>
      </c>
      <c r="L119" s="293">
        <f t="shared" si="44"/>
        <v>0</v>
      </c>
      <c r="M119" s="293">
        <f t="shared" si="44"/>
        <v>0</v>
      </c>
      <c r="N119" s="293">
        <f t="shared" si="44"/>
        <v>0</v>
      </c>
      <c r="O119" s="293">
        <f t="shared" si="44"/>
        <v>0</v>
      </c>
      <c r="P119" s="293">
        <f t="shared" si="44"/>
        <v>24.362893358278825</v>
      </c>
      <c r="Q119" s="293">
        <f t="shared" si="44"/>
        <v>5.1577243730081364</v>
      </c>
      <c r="R119" s="293">
        <f t="shared" si="44"/>
        <v>15.230249784368539</v>
      </c>
      <c r="S119" s="293">
        <f t="shared" si="44"/>
        <v>-2.7293625515931694</v>
      </c>
      <c r="T119" s="293">
        <f t="shared" si="44"/>
        <v>1.2458288803225628</v>
      </c>
      <c r="U119" s="293">
        <f t="shared" si="44"/>
        <v>0</v>
      </c>
      <c r="V119" s="293">
        <f t="shared" si="44"/>
        <v>0</v>
      </c>
      <c r="W119" s="293">
        <f t="shared" si="44"/>
        <v>0</v>
      </c>
    </row>
    <row r="120" spans="1:23" s="127" customFormat="1" outlineLevel="1">
      <c r="A120" s="164"/>
      <c r="B120" s="164"/>
      <c r="C120" s="165"/>
      <c r="D120" s="73"/>
      <c r="E120" s="96" t="str">
        <f xml:space="preserve"> Time!E$51</f>
        <v>Forecast end period flag</v>
      </c>
      <c r="F120" s="96">
        <f xml:space="preserve"> Time!F$51</f>
        <v>0</v>
      </c>
      <c r="G120" s="96" t="str">
        <f xml:space="preserve"> Time!G$51</f>
        <v>flag</v>
      </c>
      <c r="H120" s="96">
        <f xml:space="preserve"> Time!H$51</f>
        <v>1</v>
      </c>
      <c r="I120" s="96">
        <f xml:space="preserve"> Time!I$51</f>
        <v>0</v>
      </c>
      <c r="J120" s="96">
        <f xml:space="preserve"> Time!J$51</f>
        <v>0</v>
      </c>
      <c r="K120" s="96">
        <f xml:space="preserve"> Time!K$51</f>
        <v>0</v>
      </c>
      <c r="L120" s="96">
        <f xml:space="preserve"> Time!L$51</f>
        <v>0</v>
      </c>
      <c r="M120" s="96">
        <f xml:space="preserve"> Time!M$51</f>
        <v>0</v>
      </c>
      <c r="N120" s="96">
        <f xml:space="preserve"> Time!N$51</f>
        <v>0</v>
      </c>
      <c r="O120" s="96">
        <f xml:space="preserve"> Time!O$51</f>
        <v>0</v>
      </c>
      <c r="P120" s="96">
        <f xml:space="preserve"> Time!P$51</f>
        <v>0</v>
      </c>
      <c r="Q120" s="96">
        <f xml:space="preserve"> Time!Q$51</f>
        <v>0</v>
      </c>
      <c r="R120" s="96">
        <f xml:space="preserve"> Time!R$51</f>
        <v>0</v>
      </c>
      <c r="S120" s="96">
        <f xml:space="preserve"> Time!S$51</f>
        <v>0</v>
      </c>
      <c r="T120" s="96">
        <f xml:space="preserve"> Time!T$51</f>
        <v>1</v>
      </c>
      <c r="U120" s="96">
        <f xml:space="preserve"> Time!U$51</f>
        <v>0</v>
      </c>
      <c r="V120" s="96">
        <f xml:space="preserve"> Time!V$51</f>
        <v>0</v>
      </c>
      <c r="W120" s="96">
        <f xml:space="preserve"> Time!W$51</f>
        <v>0</v>
      </c>
    </row>
    <row r="121" spans="1:23" outlineLevel="1">
      <c r="B121" s="62"/>
      <c r="D121" s="157"/>
      <c r="E121" s="127" t="s">
        <v>389</v>
      </c>
      <c r="F121" s="99"/>
      <c r="G121" s="99" t="s">
        <v>77</v>
      </c>
      <c r="H121" s="91">
        <f xml:space="preserve"> SUM(J121:W121)</f>
        <v>-2.926104102187177</v>
      </c>
      <c r="J121" s="91">
        <f t="shared" ref="J121:W121" si="45" xml:space="preserve"> IF(J120 = 1, I119 * J118 * (1 + $F117), 0)</f>
        <v>0</v>
      </c>
      <c r="K121" s="91">
        <f t="shared" si="45"/>
        <v>0</v>
      </c>
      <c r="L121" s="91">
        <f t="shared" si="45"/>
        <v>0</v>
      </c>
      <c r="M121" s="91">
        <f t="shared" si="45"/>
        <v>0</v>
      </c>
      <c r="N121" s="91">
        <f t="shared" si="45"/>
        <v>0</v>
      </c>
      <c r="O121" s="91">
        <f t="shared" si="45"/>
        <v>0</v>
      </c>
      <c r="P121" s="91">
        <f t="shared" si="45"/>
        <v>0</v>
      </c>
      <c r="Q121" s="91">
        <f t="shared" si="45"/>
        <v>0</v>
      </c>
      <c r="R121" s="91">
        <f t="shared" si="45"/>
        <v>0</v>
      </c>
      <c r="S121" s="91">
        <f t="shared" si="45"/>
        <v>0</v>
      </c>
      <c r="T121" s="91">
        <f t="shared" si="45"/>
        <v>-2.926104102187177</v>
      </c>
      <c r="U121" s="91">
        <f t="shared" si="45"/>
        <v>0</v>
      </c>
      <c r="V121" s="91">
        <f t="shared" si="45"/>
        <v>0</v>
      </c>
      <c r="W121" s="91">
        <f t="shared" si="45"/>
        <v>0</v>
      </c>
    </row>
    <row r="122" spans="1:23" outlineLevel="1">
      <c r="B122" s="62"/>
      <c r="D122" s="157"/>
      <c r="E122" s="127"/>
      <c r="F122" s="99"/>
      <c r="G122" s="99"/>
      <c r="H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</row>
    <row r="123" spans="1:23" outlineLevel="1">
      <c r="B123" s="62"/>
      <c r="D123" s="157"/>
      <c r="E123" s="41" t="str">
        <f xml:space="preserve"> Inputs!E$63</f>
        <v>Discount rate</v>
      </c>
      <c r="F123" s="41">
        <f xml:space="preserve"> Inputs!F$63</f>
        <v>2.92E-2</v>
      </c>
      <c r="G123" s="41" t="str">
        <f xml:space="preserve"> Inputs!G$63</f>
        <v>%</v>
      </c>
      <c r="H123" s="41">
        <f xml:space="preserve"> Inputs!H$63</f>
        <v>0</v>
      </c>
      <c r="I123" s="41">
        <f xml:space="preserve"> Inputs!I$63</f>
        <v>0</v>
      </c>
      <c r="J123" s="41">
        <f xml:space="preserve"> Inputs!J$63</f>
        <v>0</v>
      </c>
      <c r="K123" s="41">
        <f xml:space="preserve"> Inputs!K$63</f>
        <v>0</v>
      </c>
      <c r="L123" s="41">
        <f xml:space="preserve"> Inputs!L$63</f>
        <v>0</v>
      </c>
      <c r="M123" s="41">
        <f xml:space="preserve"> Inputs!M$63</f>
        <v>0</v>
      </c>
      <c r="N123" s="41">
        <f xml:space="preserve"> Inputs!N$63</f>
        <v>0</v>
      </c>
      <c r="O123" s="41">
        <f xml:space="preserve"> Inputs!O$63</f>
        <v>0</v>
      </c>
      <c r="P123" s="41">
        <f xml:space="preserve"> Inputs!P$63</f>
        <v>0</v>
      </c>
      <c r="Q123" s="41">
        <f xml:space="preserve"> Inputs!Q$63</f>
        <v>0</v>
      </c>
      <c r="R123" s="41">
        <f xml:space="preserve"> Inputs!R$63</f>
        <v>0</v>
      </c>
      <c r="S123" s="41">
        <f xml:space="preserve"> Inputs!S$63</f>
        <v>0</v>
      </c>
      <c r="T123" s="41">
        <f xml:space="preserve"> Inputs!T$63</f>
        <v>0</v>
      </c>
      <c r="U123" s="41">
        <f xml:space="preserve"> Inputs!U$63</f>
        <v>0</v>
      </c>
      <c r="V123" s="41">
        <f xml:space="preserve"> Inputs!V$63</f>
        <v>0</v>
      </c>
      <c r="W123" s="41">
        <f xml:space="preserve"> Inputs!W$63</f>
        <v>0</v>
      </c>
    </row>
    <row r="124" spans="1:23" outlineLevel="1">
      <c r="B124" s="62"/>
      <c r="D124" s="157"/>
      <c r="E124" s="41" t="str">
        <f xml:space="preserve"> 'Indices and K factor'!E$11</f>
        <v>CPIH: Nov % increase (prior year) - CALC</v>
      </c>
      <c r="F124" s="41">
        <f xml:space="preserve"> 'Indices and K factor'!F$11</f>
        <v>0</v>
      </c>
      <c r="G124" s="41" t="str">
        <f xml:space="preserve"> 'Indices and K factor'!G$11</f>
        <v>%</v>
      </c>
      <c r="H124" s="41">
        <f xml:space="preserve"> 'Indices and K factor'!H$11</f>
        <v>0</v>
      </c>
      <c r="I124" s="41">
        <f xml:space="preserve"> 'Indices and K factor'!I$11</f>
        <v>0</v>
      </c>
      <c r="J124" s="41">
        <f xml:space="preserve"> 'Indices and K factor'!J$11</f>
        <v>0</v>
      </c>
      <c r="K124" s="41">
        <f xml:space="preserve"> 'Indices and K factor'!K$11</f>
        <v>0</v>
      </c>
      <c r="L124" s="41">
        <f xml:space="preserve"> 'Indices and K factor'!L$11</f>
        <v>1.0040040040040039</v>
      </c>
      <c r="M124" s="41">
        <f xml:space="preserve"> 'Indices and K factor'!M$11</f>
        <v>1.0149551345962113</v>
      </c>
      <c r="N124" s="41">
        <f xml:space="preserve"> 'Indices and K factor'!N$11</f>
        <v>1.0284872298624754</v>
      </c>
      <c r="O124" s="41">
        <f xml:space="preserve"> 'Indices and K factor'!O$11</f>
        <v>1.0210124164278893</v>
      </c>
      <c r="P124" s="41">
        <f xml:space="preserve"> 'Indices and K factor'!P$11</f>
        <v>1.0149672591206735</v>
      </c>
      <c r="Q124" s="41">
        <f xml:space="preserve"> 'Indices and K factor'!Q$11</f>
        <v>1.0055299539170506</v>
      </c>
      <c r="R124" s="41">
        <f xml:space="preserve"> 'Indices and K factor'!R$11</f>
        <v>1.0458295142071494</v>
      </c>
      <c r="S124" s="41">
        <f xml:space="preserve"> 'Indices and K factor'!S$11</f>
        <v>1.0937773882559159</v>
      </c>
      <c r="T124" s="41">
        <f xml:space="preserve"> 'Indices and K factor'!T$11</f>
        <v>1.0416666666666667</v>
      </c>
      <c r="U124" s="41">
        <f xml:space="preserve"> 'Indices and K factor'!U$11</f>
        <v>1.0253846153846156</v>
      </c>
      <c r="V124" s="41">
        <f xml:space="preserve"> 'Indices and K factor'!V$11</f>
        <v>1.02</v>
      </c>
      <c r="W124" s="41">
        <f xml:space="preserve"> 'Indices and K factor'!W$11</f>
        <v>1.02</v>
      </c>
    </row>
    <row r="125" spans="1:23" outlineLevel="1">
      <c r="B125" s="62"/>
      <c r="D125" s="157"/>
      <c r="E125" s="204" t="str">
        <f t="shared" ref="E125:W125" si="46" xml:space="preserve"> E$88</f>
        <v>Penalty adjustment - WW-N+</v>
      </c>
      <c r="F125" s="204">
        <f t="shared" si="46"/>
        <v>0</v>
      </c>
      <c r="G125" s="204" t="str">
        <f t="shared" si="46"/>
        <v>£m</v>
      </c>
      <c r="H125" s="204">
        <f t="shared" si="46"/>
        <v>-1.1877942942794208</v>
      </c>
      <c r="I125" s="204">
        <f t="shared" si="46"/>
        <v>0</v>
      </c>
      <c r="J125" s="204">
        <f t="shared" si="46"/>
        <v>0</v>
      </c>
      <c r="K125" s="204">
        <f t="shared" si="46"/>
        <v>0</v>
      </c>
      <c r="L125" s="204">
        <f t="shared" si="46"/>
        <v>0</v>
      </c>
      <c r="M125" s="204">
        <f t="shared" si="46"/>
        <v>0</v>
      </c>
      <c r="N125" s="204">
        <f t="shared" si="46"/>
        <v>0</v>
      </c>
      <c r="O125" s="204">
        <f t="shared" si="46"/>
        <v>0</v>
      </c>
      <c r="P125" s="204">
        <f t="shared" si="46"/>
        <v>-0.73088680074836476</v>
      </c>
      <c r="Q125" s="204">
        <f t="shared" si="46"/>
        <v>0</v>
      </c>
      <c r="R125" s="204">
        <f t="shared" si="46"/>
        <v>-0.45690749353105614</v>
      </c>
      <c r="S125" s="204">
        <f t="shared" si="46"/>
        <v>0</v>
      </c>
      <c r="T125" s="204">
        <f t="shared" si="46"/>
        <v>0</v>
      </c>
      <c r="U125" s="204">
        <f t="shared" si="46"/>
        <v>0</v>
      </c>
      <c r="V125" s="204">
        <f t="shared" si="46"/>
        <v>0</v>
      </c>
      <c r="W125" s="204">
        <f t="shared" si="46"/>
        <v>0</v>
      </c>
    </row>
    <row r="126" spans="1:23" outlineLevel="1">
      <c r="B126" s="62"/>
      <c r="D126" s="157"/>
      <c r="E126" s="96" t="str">
        <f xml:space="preserve"> Time!E$51</f>
        <v>Forecast end period flag</v>
      </c>
      <c r="F126" s="96">
        <f xml:space="preserve"> Time!F$51</f>
        <v>0</v>
      </c>
      <c r="G126" s="96" t="str">
        <f xml:space="preserve"> Time!G$51</f>
        <v>flag</v>
      </c>
      <c r="H126" s="96">
        <f xml:space="preserve"> Time!H$51</f>
        <v>1</v>
      </c>
      <c r="I126" s="96">
        <f xml:space="preserve"> Time!I$51</f>
        <v>0</v>
      </c>
      <c r="J126" s="96">
        <f xml:space="preserve"> Time!J$51</f>
        <v>0</v>
      </c>
      <c r="K126" s="96">
        <f xml:space="preserve"> Time!K$51</f>
        <v>0</v>
      </c>
      <c r="L126" s="96">
        <f xml:space="preserve"> Time!L$51</f>
        <v>0</v>
      </c>
      <c r="M126" s="96">
        <f xml:space="preserve"> Time!M$51</f>
        <v>0</v>
      </c>
      <c r="N126" s="96">
        <f xml:space="preserve"> Time!N$51</f>
        <v>0</v>
      </c>
      <c r="O126" s="96">
        <f xml:space="preserve"> Time!O$51</f>
        <v>0</v>
      </c>
      <c r="P126" s="96">
        <f xml:space="preserve"> Time!P$51</f>
        <v>0</v>
      </c>
      <c r="Q126" s="96">
        <f xml:space="preserve"> Time!Q$51</f>
        <v>0</v>
      </c>
      <c r="R126" s="96">
        <f xml:space="preserve"> Time!R$51</f>
        <v>0</v>
      </c>
      <c r="S126" s="96">
        <f xml:space="preserve"> Time!S$51</f>
        <v>0</v>
      </c>
      <c r="T126" s="96">
        <f xml:space="preserve"> Time!T$51</f>
        <v>1</v>
      </c>
      <c r="U126" s="96">
        <f xml:space="preserve"> Time!U$51</f>
        <v>0</v>
      </c>
      <c r="V126" s="96">
        <f xml:space="preserve"> Time!V$51</f>
        <v>0</v>
      </c>
      <c r="W126" s="96">
        <f xml:space="preserve"> Time!W$51</f>
        <v>0</v>
      </c>
    </row>
    <row r="127" spans="1:23" outlineLevel="1">
      <c r="B127" s="62"/>
      <c r="D127" s="157"/>
      <c r="E127" s="127" t="s">
        <v>390</v>
      </c>
      <c r="F127" s="99"/>
      <c r="G127" s="99" t="s">
        <v>77</v>
      </c>
      <c r="H127" s="91">
        <f xml:space="preserve"> SUM(J127:W127)</f>
        <v>0</v>
      </c>
      <c r="J127" s="191">
        <f xml:space="preserve"> J126 * ( I125 * J124 * (1 + $F123) )</f>
        <v>0</v>
      </c>
      <c r="K127" s="191">
        <f t="shared" ref="K127:W127" si="47" xml:space="preserve"> K126 * ( J125 * K124 * (1 + $F123) )</f>
        <v>0</v>
      </c>
      <c r="L127" s="191">
        <f t="shared" si="47"/>
        <v>0</v>
      </c>
      <c r="M127" s="191">
        <f t="shared" si="47"/>
        <v>0</v>
      </c>
      <c r="N127" s="191">
        <f t="shared" si="47"/>
        <v>0</v>
      </c>
      <c r="O127" s="191">
        <f t="shared" si="47"/>
        <v>0</v>
      </c>
      <c r="P127" s="191">
        <f t="shared" si="47"/>
        <v>0</v>
      </c>
      <c r="Q127" s="191">
        <f t="shared" si="47"/>
        <v>0</v>
      </c>
      <c r="R127" s="191">
        <f t="shared" si="47"/>
        <v>0</v>
      </c>
      <c r="S127" s="191">
        <f t="shared" si="47"/>
        <v>0</v>
      </c>
      <c r="T127" s="191">
        <f t="shared" si="47"/>
        <v>0</v>
      </c>
      <c r="U127" s="191">
        <f t="shared" si="47"/>
        <v>0</v>
      </c>
      <c r="V127" s="191">
        <f t="shared" si="47"/>
        <v>0</v>
      </c>
      <c r="W127" s="191">
        <f t="shared" si="47"/>
        <v>0</v>
      </c>
    </row>
    <row r="128" spans="1:23" outlineLevel="1">
      <c r="B128" s="62"/>
      <c r="D128" s="157"/>
      <c r="E128" s="127"/>
      <c r="F128" s="99"/>
      <c r="G128" s="99"/>
      <c r="H128" s="99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</row>
    <row r="129" spans="1:23" outlineLevel="1">
      <c r="B129" s="62"/>
      <c r="D129" s="157"/>
      <c r="E129" s="99" t="str">
        <f t="shared" ref="E129:W129" si="48" xml:space="preserve"> E$121</f>
        <v>Value of year 4 main revenue adjustment at the end of AMP7 - WW-N+</v>
      </c>
      <c r="F129" s="99">
        <f t="shared" si="48"/>
        <v>0</v>
      </c>
      <c r="G129" s="99" t="str">
        <f t="shared" si="48"/>
        <v>£m</v>
      </c>
      <c r="H129" s="91">
        <f t="shared" si="48"/>
        <v>-2.926104102187177</v>
      </c>
      <c r="I129" s="99">
        <f t="shared" si="48"/>
        <v>0</v>
      </c>
      <c r="J129" s="316">
        <f t="shared" si="48"/>
        <v>0</v>
      </c>
      <c r="K129" s="316">
        <f t="shared" si="48"/>
        <v>0</v>
      </c>
      <c r="L129" s="316">
        <f t="shared" si="48"/>
        <v>0</v>
      </c>
      <c r="M129" s="316">
        <f t="shared" si="48"/>
        <v>0</v>
      </c>
      <c r="N129" s="316">
        <f t="shared" si="48"/>
        <v>0</v>
      </c>
      <c r="O129" s="316">
        <f t="shared" si="48"/>
        <v>0</v>
      </c>
      <c r="P129" s="316">
        <f t="shared" si="48"/>
        <v>0</v>
      </c>
      <c r="Q129" s="316">
        <f t="shared" si="48"/>
        <v>0</v>
      </c>
      <c r="R129" s="316">
        <f t="shared" si="48"/>
        <v>0</v>
      </c>
      <c r="S129" s="316">
        <f t="shared" si="48"/>
        <v>0</v>
      </c>
      <c r="T129" s="316">
        <f t="shared" si="48"/>
        <v>-2.926104102187177</v>
      </c>
      <c r="U129" s="316">
        <f t="shared" si="48"/>
        <v>0</v>
      </c>
      <c r="V129" s="316">
        <f t="shared" si="48"/>
        <v>0</v>
      </c>
      <c r="W129" s="316">
        <f t="shared" si="48"/>
        <v>0</v>
      </c>
    </row>
    <row r="130" spans="1:23" outlineLevel="1">
      <c r="B130" s="62"/>
      <c r="D130" s="157"/>
      <c r="E130" s="99" t="str">
        <f t="shared" ref="E130:W130" si="49" xml:space="preserve"> E$127</f>
        <v>Value of year 4 penalty adjustment at the end of AMP7 - WW-N+</v>
      </c>
      <c r="F130" s="99">
        <f t="shared" si="49"/>
        <v>0</v>
      </c>
      <c r="G130" s="99" t="str">
        <f t="shared" si="49"/>
        <v>£m</v>
      </c>
      <c r="H130" s="91">
        <f t="shared" si="49"/>
        <v>0</v>
      </c>
      <c r="I130" s="99">
        <f t="shared" si="49"/>
        <v>0</v>
      </c>
      <c r="J130" s="191">
        <f t="shared" si="49"/>
        <v>0</v>
      </c>
      <c r="K130" s="191">
        <f t="shared" si="49"/>
        <v>0</v>
      </c>
      <c r="L130" s="191">
        <f t="shared" si="49"/>
        <v>0</v>
      </c>
      <c r="M130" s="191">
        <f t="shared" si="49"/>
        <v>0</v>
      </c>
      <c r="N130" s="191">
        <f t="shared" si="49"/>
        <v>0</v>
      </c>
      <c r="O130" s="191">
        <f t="shared" si="49"/>
        <v>0</v>
      </c>
      <c r="P130" s="191">
        <f t="shared" si="49"/>
        <v>0</v>
      </c>
      <c r="Q130" s="191">
        <f t="shared" si="49"/>
        <v>0</v>
      </c>
      <c r="R130" s="191">
        <f t="shared" si="49"/>
        <v>0</v>
      </c>
      <c r="S130" s="191">
        <f t="shared" si="49"/>
        <v>0</v>
      </c>
      <c r="T130" s="191">
        <f t="shared" si="49"/>
        <v>0</v>
      </c>
      <c r="U130" s="191">
        <f t="shared" si="49"/>
        <v>0</v>
      </c>
      <c r="V130" s="191">
        <f t="shared" si="49"/>
        <v>0</v>
      </c>
      <c r="W130" s="191">
        <f t="shared" si="49"/>
        <v>0</v>
      </c>
    </row>
    <row r="131" spans="1:23" ht="13.5" outlineLevel="1" thickBot="1">
      <c r="B131" s="62"/>
      <c r="D131" s="157"/>
      <c r="E131" s="284" t="s">
        <v>391</v>
      </c>
      <c r="F131" s="284"/>
      <c r="G131" s="284" t="s">
        <v>77</v>
      </c>
      <c r="H131" s="284">
        <f xml:space="preserve"> SUM(J131:W131)</f>
        <v>-2.926104102187177</v>
      </c>
      <c r="I131" s="284"/>
      <c r="J131" s="284">
        <f xml:space="preserve"> J129 + J130</f>
        <v>0</v>
      </c>
      <c r="K131" s="284">
        <f t="shared" ref="K131:W131" si="50" xml:space="preserve"> K129 + K130</f>
        <v>0</v>
      </c>
      <c r="L131" s="284">
        <f t="shared" si="50"/>
        <v>0</v>
      </c>
      <c r="M131" s="284">
        <f t="shared" si="50"/>
        <v>0</v>
      </c>
      <c r="N131" s="284">
        <f t="shared" si="50"/>
        <v>0</v>
      </c>
      <c r="O131" s="284">
        <f t="shared" si="50"/>
        <v>0</v>
      </c>
      <c r="P131" s="284">
        <f t="shared" si="50"/>
        <v>0</v>
      </c>
      <c r="Q131" s="284">
        <f t="shared" si="50"/>
        <v>0</v>
      </c>
      <c r="R131" s="284">
        <f t="shared" si="50"/>
        <v>0</v>
      </c>
      <c r="S131" s="284">
        <f t="shared" si="50"/>
        <v>0</v>
      </c>
      <c r="T131" s="284">
        <f t="shared" si="50"/>
        <v>-2.926104102187177</v>
      </c>
      <c r="U131" s="284">
        <f t="shared" si="50"/>
        <v>0</v>
      </c>
      <c r="V131" s="284">
        <f t="shared" si="50"/>
        <v>0</v>
      </c>
      <c r="W131" s="284">
        <f t="shared" si="50"/>
        <v>0</v>
      </c>
    </row>
    <row r="132" spans="1:23" ht="13.5" outlineLevel="1" thickTop="1">
      <c r="B132" s="62"/>
      <c r="D132" s="157"/>
      <c r="E132" s="151"/>
      <c r="F132" s="56"/>
      <c r="G132" s="56"/>
      <c r="H132" s="93"/>
      <c r="I132" s="56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5"/>
      <c r="W132" s="5"/>
    </row>
    <row r="133" spans="1:23" outlineLevel="1">
      <c r="B133" s="62" t="s">
        <v>392</v>
      </c>
      <c r="D133" s="157"/>
      <c r="E133" s="127"/>
      <c r="F133" s="99"/>
      <c r="G133" s="99"/>
      <c r="H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5"/>
      <c r="W133" s="5"/>
    </row>
    <row r="134" spans="1:23" outlineLevel="1">
      <c r="B134" s="62"/>
      <c r="D134" s="157"/>
      <c r="E134" s="127"/>
      <c r="F134" s="99"/>
      <c r="G134" s="99"/>
      <c r="H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5"/>
      <c r="W134" s="5"/>
    </row>
    <row r="135" spans="1:23" outlineLevel="1">
      <c r="B135" s="62"/>
      <c r="D135" s="157"/>
      <c r="E135" s="293" t="str">
        <f xml:space="preserve"> E$44</f>
        <v xml:space="preserve">Revenue Imbalance  - WW-N+ </v>
      </c>
      <c r="F135" s="293">
        <f t="shared" ref="F135:W135" si="51" xml:space="preserve"> F$44</f>
        <v>0</v>
      </c>
      <c r="G135" s="293" t="str">
        <f t="shared" si="51"/>
        <v>£m</v>
      </c>
      <c r="H135" s="293">
        <f t="shared" si="51"/>
        <v>43.267333844384893</v>
      </c>
      <c r="I135" s="293">
        <f t="shared" si="51"/>
        <v>0</v>
      </c>
      <c r="J135" s="293">
        <f t="shared" si="51"/>
        <v>0</v>
      </c>
      <c r="K135" s="293">
        <f t="shared" si="51"/>
        <v>0</v>
      </c>
      <c r="L135" s="293">
        <f t="shared" si="51"/>
        <v>0</v>
      </c>
      <c r="M135" s="293">
        <f t="shared" si="51"/>
        <v>0</v>
      </c>
      <c r="N135" s="293">
        <f t="shared" si="51"/>
        <v>0</v>
      </c>
      <c r="O135" s="293">
        <f t="shared" si="51"/>
        <v>0</v>
      </c>
      <c r="P135" s="293">
        <f t="shared" si="51"/>
        <v>24.362893358278825</v>
      </c>
      <c r="Q135" s="293">
        <f t="shared" si="51"/>
        <v>5.1577243730081364</v>
      </c>
      <c r="R135" s="293">
        <f t="shared" si="51"/>
        <v>15.230249784368539</v>
      </c>
      <c r="S135" s="293">
        <f t="shared" si="51"/>
        <v>-2.7293625515931694</v>
      </c>
      <c r="T135" s="293">
        <f t="shared" si="51"/>
        <v>1.2458288803225628</v>
      </c>
      <c r="U135" s="293">
        <f t="shared" si="51"/>
        <v>0</v>
      </c>
      <c r="V135" s="293">
        <f t="shared" si="51"/>
        <v>0</v>
      </c>
      <c r="W135" s="293">
        <f t="shared" si="51"/>
        <v>0</v>
      </c>
    </row>
    <row r="136" spans="1:23" outlineLevel="1">
      <c r="B136" s="62"/>
      <c r="D136" s="157"/>
      <c r="E136" s="204" t="str">
        <f t="shared" ref="E136:T136" si="52" xml:space="preserve"> E$88</f>
        <v>Penalty adjustment - WW-N+</v>
      </c>
      <c r="F136" s="204">
        <f t="shared" si="52"/>
        <v>0</v>
      </c>
      <c r="G136" s="204" t="str">
        <f t="shared" si="52"/>
        <v>£m</v>
      </c>
      <c r="H136" s="204">
        <f t="shared" si="52"/>
        <v>-1.1877942942794208</v>
      </c>
      <c r="I136" s="204">
        <f t="shared" si="52"/>
        <v>0</v>
      </c>
      <c r="J136" s="204">
        <f t="shared" si="52"/>
        <v>0</v>
      </c>
      <c r="K136" s="204">
        <f t="shared" si="52"/>
        <v>0</v>
      </c>
      <c r="L136" s="204">
        <f t="shared" si="52"/>
        <v>0</v>
      </c>
      <c r="M136" s="204">
        <f t="shared" si="52"/>
        <v>0</v>
      </c>
      <c r="N136" s="204">
        <f t="shared" si="52"/>
        <v>0</v>
      </c>
      <c r="O136" s="204">
        <f t="shared" si="52"/>
        <v>0</v>
      </c>
      <c r="P136" s="204">
        <f t="shared" si="52"/>
        <v>-0.73088680074836476</v>
      </c>
      <c r="Q136" s="204">
        <f t="shared" si="52"/>
        <v>0</v>
      </c>
      <c r="R136" s="204">
        <f t="shared" si="52"/>
        <v>-0.45690749353105614</v>
      </c>
      <c r="S136" s="204">
        <f t="shared" si="52"/>
        <v>0</v>
      </c>
      <c r="T136" s="204">
        <f t="shared" si="52"/>
        <v>0</v>
      </c>
      <c r="U136" s="204">
        <f xml:space="preserve"> U$88</f>
        <v>0</v>
      </c>
      <c r="V136" s="204">
        <f xml:space="preserve"> V$88</f>
        <v>0</v>
      </c>
      <c r="W136" s="204">
        <f xml:space="preserve"> W$88</f>
        <v>0</v>
      </c>
    </row>
    <row r="137" spans="1:23" s="127" customFormat="1" outlineLevel="1">
      <c r="A137" s="164"/>
      <c r="B137" s="164"/>
      <c r="C137" s="165"/>
      <c r="D137" s="73"/>
      <c r="E137" s="96" t="str">
        <f xml:space="preserve"> Time!E$51</f>
        <v>Forecast end period flag</v>
      </c>
      <c r="F137" s="96">
        <f xml:space="preserve"> Time!F$51</f>
        <v>0</v>
      </c>
      <c r="G137" s="96" t="str">
        <f xml:space="preserve"> Time!G$51</f>
        <v>flag</v>
      </c>
      <c r="H137" s="96">
        <f xml:space="preserve"> Time!H$51</f>
        <v>1</v>
      </c>
      <c r="I137" s="96">
        <f xml:space="preserve"> Time!I$51</f>
        <v>0</v>
      </c>
      <c r="J137" s="96">
        <f xml:space="preserve"> Time!J$51</f>
        <v>0</v>
      </c>
      <c r="K137" s="96">
        <f xml:space="preserve"> Time!K$51</f>
        <v>0</v>
      </c>
      <c r="L137" s="96">
        <f xml:space="preserve"> Time!L$51</f>
        <v>0</v>
      </c>
      <c r="M137" s="96">
        <f xml:space="preserve"> Time!M$51</f>
        <v>0</v>
      </c>
      <c r="N137" s="96">
        <f xml:space="preserve"> Time!N$51</f>
        <v>0</v>
      </c>
      <c r="O137" s="96">
        <f xml:space="preserve"> Time!O$51</f>
        <v>0</v>
      </c>
      <c r="P137" s="96">
        <f xml:space="preserve"> Time!P$51</f>
        <v>0</v>
      </c>
      <c r="Q137" s="96">
        <f xml:space="preserve"> Time!Q$51</f>
        <v>0</v>
      </c>
      <c r="R137" s="96">
        <f xml:space="preserve"> Time!R$51</f>
        <v>0</v>
      </c>
      <c r="S137" s="96">
        <f xml:space="preserve"> Time!S$51</f>
        <v>0</v>
      </c>
      <c r="T137" s="96">
        <f xml:space="preserve"> Time!T$51</f>
        <v>1</v>
      </c>
      <c r="U137" s="96">
        <f xml:space="preserve"> Time!U$51</f>
        <v>0</v>
      </c>
      <c r="V137" s="96">
        <f xml:space="preserve"> Time!V$51</f>
        <v>0</v>
      </c>
      <c r="W137" s="96">
        <f xml:space="preserve"> Time!W$51</f>
        <v>0</v>
      </c>
    </row>
    <row r="138" spans="1:23" ht="13.5" outlineLevel="1" thickBot="1">
      <c r="B138" s="62"/>
      <c r="D138" s="157"/>
      <c r="E138" s="284" t="s">
        <v>393</v>
      </c>
      <c r="F138" s="284"/>
      <c r="G138" s="284" t="s">
        <v>77</v>
      </c>
      <c r="H138" s="284">
        <f xml:space="preserve"> SUM(J138:W138)</f>
        <v>1.2458288803225628</v>
      </c>
      <c r="I138" s="284"/>
      <c r="J138" s="284">
        <f xml:space="preserve"> ( J135 + J136 ) * J137</f>
        <v>0</v>
      </c>
      <c r="K138" s="284">
        <f t="shared" ref="K138:W138" si="53" xml:space="preserve"> ( K135 + K136 ) * K137</f>
        <v>0</v>
      </c>
      <c r="L138" s="284">
        <f t="shared" si="53"/>
        <v>0</v>
      </c>
      <c r="M138" s="284">
        <f t="shared" si="53"/>
        <v>0</v>
      </c>
      <c r="N138" s="284">
        <f t="shared" si="53"/>
        <v>0</v>
      </c>
      <c r="O138" s="284">
        <f t="shared" si="53"/>
        <v>0</v>
      </c>
      <c r="P138" s="284">
        <f t="shared" si="53"/>
        <v>0</v>
      </c>
      <c r="Q138" s="284">
        <f t="shared" si="53"/>
        <v>0</v>
      </c>
      <c r="R138" s="284">
        <f t="shared" si="53"/>
        <v>0</v>
      </c>
      <c r="S138" s="284">
        <f t="shared" si="53"/>
        <v>0</v>
      </c>
      <c r="T138" s="284">
        <f t="shared" si="53"/>
        <v>1.2458288803225628</v>
      </c>
      <c r="U138" s="284">
        <f t="shared" si="53"/>
        <v>0</v>
      </c>
      <c r="V138" s="284">
        <f t="shared" si="53"/>
        <v>0</v>
      </c>
      <c r="W138" s="284">
        <f t="shared" si="53"/>
        <v>0</v>
      </c>
    </row>
    <row r="139" spans="1:23" ht="13.5" outlineLevel="1" thickTop="1">
      <c r="B139" s="62"/>
      <c r="D139" s="157"/>
      <c r="E139" s="151"/>
      <c r="F139" s="56"/>
      <c r="G139" s="56"/>
      <c r="H139" s="93"/>
      <c r="I139" s="56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</row>
    <row r="140" spans="1:23" outlineLevel="1">
      <c r="B140" s="62" t="s">
        <v>364</v>
      </c>
      <c r="D140" s="157"/>
      <c r="E140" s="127"/>
      <c r="F140" s="99"/>
      <c r="G140" s="99"/>
      <c r="H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</row>
    <row r="141" spans="1:23" outlineLevel="1">
      <c r="B141" s="62"/>
      <c r="D141" s="157"/>
      <c r="E141" s="127"/>
      <c r="F141" s="99"/>
      <c r="G141" s="99"/>
      <c r="H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</row>
    <row r="142" spans="1:23" outlineLevel="1">
      <c r="B142" s="62"/>
      <c r="D142" s="157"/>
      <c r="E142" s="91" t="str">
        <f t="shared" ref="E142:T142" si="54" xml:space="preserve"> E$131</f>
        <v>Value of year 4 RFI adjustments at the end of AMP7 - WW-N+</v>
      </c>
      <c r="F142" s="91">
        <f t="shared" si="54"/>
        <v>0</v>
      </c>
      <c r="G142" s="91" t="str">
        <f t="shared" si="54"/>
        <v>£m</v>
      </c>
      <c r="H142" s="91">
        <f t="shared" si="54"/>
        <v>-2.926104102187177</v>
      </c>
      <c r="I142" s="91">
        <f t="shared" si="54"/>
        <v>0</v>
      </c>
      <c r="J142" s="91">
        <f t="shared" si="54"/>
        <v>0</v>
      </c>
      <c r="K142" s="91">
        <f t="shared" si="54"/>
        <v>0</v>
      </c>
      <c r="L142" s="91">
        <f t="shared" si="54"/>
        <v>0</v>
      </c>
      <c r="M142" s="91">
        <f t="shared" si="54"/>
        <v>0</v>
      </c>
      <c r="N142" s="91">
        <f t="shared" si="54"/>
        <v>0</v>
      </c>
      <c r="O142" s="91">
        <f t="shared" si="54"/>
        <v>0</v>
      </c>
      <c r="P142" s="91">
        <f t="shared" si="54"/>
        <v>0</v>
      </c>
      <c r="Q142" s="91">
        <f t="shared" si="54"/>
        <v>0</v>
      </c>
      <c r="R142" s="91">
        <f t="shared" si="54"/>
        <v>0</v>
      </c>
      <c r="S142" s="91">
        <f t="shared" si="54"/>
        <v>0</v>
      </c>
      <c r="T142" s="91">
        <f t="shared" si="54"/>
        <v>-2.926104102187177</v>
      </c>
      <c r="U142" s="91">
        <f xml:space="preserve"> U$131</f>
        <v>0</v>
      </c>
      <c r="V142" s="91">
        <f xml:space="preserve"> V$131</f>
        <v>0</v>
      </c>
      <c r="W142" s="91">
        <f xml:space="preserve"> W$131</f>
        <v>0</v>
      </c>
    </row>
    <row r="143" spans="1:23" outlineLevel="1">
      <c r="B143" s="62"/>
      <c r="D143" s="157"/>
      <c r="E143" s="91" t="str">
        <f t="shared" ref="E143:T143" si="55" xml:space="preserve"> E$138</f>
        <v>Value of year 5 RFI adjustments at the end of AMP7 - WW-N+</v>
      </c>
      <c r="F143" s="91">
        <f t="shared" si="55"/>
        <v>0</v>
      </c>
      <c r="G143" s="91" t="str">
        <f t="shared" si="55"/>
        <v>£m</v>
      </c>
      <c r="H143" s="91">
        <f t="shared" si="55"/>
        <v>1.2458288803225628</v>
      </c>
      <c r="I143" s="91">
        <f t="shared" si="55"/>
        <v>0</v>
      </c>
      <c r="J143" s="91">
        <f t="shared" si="55"/>
        <v>0</v>
      </c>
      <c r="K143" s="91">
        <f t="shared" si="55"/>
        <v>0</v>
      </c>
      <c r="L143" s="91">
        <f t="shared" si="55"/>
        <v>0</v>
      </c>
      <c r="M143" s="91">
        <f t="shared" si="55"/>
        <v>0</v>
      </c>
      <c r="N143" s="91">
        <f t="shared" si="55"/>
        <v>0</v>
      </c>
      <c r="O143" s="91">
        <f t="shared" si="55"/>
        <v>0</v>
      </c>
      <c r="P143" s="91">
        <f t="shared" si="55"/>
        <v>0</v>
      </c>
      <c r="Q143" s="91">
        <f t="shared" si="55"/>
        <v>0</v>
      </c>
      <c r="R143" s="91">
        <f t="shared" si="55"/>
        <v>0</v>
      </c>
      <c r="S143" s="91">
        <f t="shared" si="55"/>
        <v>0</v>
      </c>
      <c r="T143" s="91">
        <f t="shared" si="55"/>
        <v>1.2458288803225628</v>
      </c>
      <c r="U143" s="91">
        <f xml:space="preserve"> U$138</f>
        <v>0</v>
      </c>
      <c r="V143" s="91">
        <f xml:space="preserve"> V$138</f>
        <v>0</v>
      </c>
      <c r="W143" s="91">
        <f xml:space="preserve"> W$138</f>
        <v>0</v>
      </c>
    </row>
    <row r="144" spans="1:23" s="298" customFormat="1" ht="13.5" outlineLevel="1" thickBot="1">
      <c r="A144" s="294"/>
      <c r="B144" s="294"/>
      <c r="C144" s="295"/>
      <c r="D144" s="296"/>
      <c r="E144" s="297" t="s">
        <v>394</v>
      </c>
      <c r="F144" s="297"/>
      <c r="G144" s="297" t="s">
        <v>77</v>
      </c>
      <c r="H144" s="297">
        <f xml:space="preserve"> SUM(J144:W144)</f>
        <v>-1.6802752218646142</v>
      </c>
      <c r="I144" s="297"/>
      <c r="J144" s="297">
        <f xml:space="preserve"> J142 + J143</f>
        <v>0</v>
      </c>
      <c r="K144" s="297">
        <f t="shared" ref="K144:W144" si="56" xml:space="preserve"> K142 + K143</f>
        <v>0</v>
      </c>
      <c r="L144" s="297">
        <f t="shared" si="56"/>
        <v>0</v>
      </c>
      <c r="M144" s="297">
        <f t="shared" si="56"/>
        <v>0</v>
      </c>
      <c r="N144" s="297">
        <f t="shared" si="56"/>
        <v>0</v>
      </c>
      <c r="O144" s="297">
        <f t="shared" si="56"/>
        <v>0</v>
      </c>
      <c r="P144" s="297">
        <f t="shared" si="56"/>
        <v>0</v>
      </c>
      <c r="Q144" s="297">
        <f t="shared" si="56"/>
        <v>0</v>
      </c>
      <c r="R144" s="297">
        <f t="shared" si="56"/>
        <v>0</v>
      </c>
      <c r="S144" s="297">
        <f t="shared" si="56"/>
        <v>0</v>
      </c>
      <c r="T144" s="297">
        <f t="shared" si="56"/>
        <v>-1.6802752218646142</v>
      </c>
      <c r="U144" s="297">
        <f t="shared" si="56"/>
        <v>0</v>
      </c>
      <c r="V144" s="297">
        <f t="shared" si="56"/>
        <v>0</v>
      </c>
      <c r="W144" s="297">
        <f t="shared" si="56"/>
        <v>0</v>
      </c>
    </row>
    <row r="145" spans="1:23" ht="13.5" outlineLevel="1" thickTop="1">
      <c r="A145" s="61"/>
      <c r="C145" s="108"/>
      <c r="E145" s="72"/>
    </row>
    <row r="146" spans="1:23" outlineLevel="1">
      <c r="A146" s="116" t="s">
        <v>219</v>
      </c>
      <c r="B146" s="116"/>
      <c r="C146" s="117"/>
      <c r="D146" s="118"/>
      <c r="E146" s="117"/>
      <c r="F146" s="119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</row>
    <row r="147" spans="1:23" s="82" customFormat="1"/>
    <row r="151" spans="1:23" ht="13.5" hidden="1" customHeight="1"/>
    <row r="152" spans="1:23" ht="13.5" hidden="1" customHeight="1"/>
    <row r="153" spans="1:23" ht="13.5" hidden="1" customHeight="1"/>
    <row r="154" spans="1:23" ht="13.5" hidden="1" customHeight="1"/>
    <row r="155" spans="1:23" ht="13.5" hidden="1" customHeight="1"/>
    <row r="156" spans="1:23" ht="13.5" hidden="1" customHeight="1"/>
    <row r="157" spans="1:23" ht="13.5" hidden="1" customHeight="1"/>
    <row r="158" spans="1:23" ht="13.5" hidden="1" customHeight="1"/>
    <row r="159" spans="1:23" ht="13.5" hidden="1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3.5" hidden="1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="5" customFormat="1" ht="13.5" hidden="1" customHeight="1"/>
    <row r="162" s="5" customFormat="1" ht="13.5" hidden="1" customHeight="1"/>
    <row r="163" s="5" customFormat="1" ht="13.5" hidden="1" customHeight="1"/>
    <row r="164" s="5" customFormat="1" ht="13.5" hidden="1" customHeight="1"/>
    <row r="165" s="5" customFormat="1" ht="13.5" hidden="1" customHeight="1"/>
    <row r="166" s="5" customFormat="1" ht="13.5" hidden="1" customHeight="1"/>
    <row r="167" s="5" customFormat="1" ht="13.5" hidden="1" customHeight="1"/>
    <row r="168" s="5" customFormat="1" ht="13.5" hidden="1" customHeight="1"/>
    <row r="169" s="5" customFormat="1" ht="13.5" hidden="1" customHeight="1"/>
    <row r="170" s="5" customFormat="1" ht="13.5" hidden="1" customHeight="1"/>
    <row r="171" s="5" customFormat="1" ht="13.5" hidden="1" customHeight="1"/>
    <row r="172" s="5" customFormat="1" ht="13.5" hidden="1" customHeight="1"/>
    <row r="173" s="5" customFormat="1" ht="13.5" hidden="1" customHeight="1"/>
    <row r="174" s="5" customFormat="1" ht="13.5" hidden="1" customHeight="1"/>
    <row r="175" s="5" customFormat="1" ht="13.5" hidden="1" customHeight="1"/>
    <row r="176" s="5" customFormat="1" ht="13.5" hidden="1" customHeight="1"/>
    <row r="177" s="5" customFormat="1" ht="13.5" hidden="1" customHeight="1"/>
    <row r="178" s="5" customFormat="1" ht="13.5" hidden="1" customHeight="1"/>
    <row r="179" s="5" customFormat="1" ht="13.5" hidden="1" customHeight="1"/>
    <row r="180" s="5" customFormat="1" ht="13.5" hidden="1" customHeight="1"/>
    <row r="181" s="5" customFormat="1" ht="13.5" hidden="1" customHeight="1"/>
    <row r="182" s="5" customFormat="1" ht="13.5" hidden="1" customHeight="1"/>
    <row r="183" s="5" customFormat="1" ht="13.5" hidden="1" customHeight="1"/>
    <row r="184" s="5" customFormat="1" ht="13.5" hidden="1" customHeight="1"/>
    <row r="185" s="5" customFormat="1" ht="13.5" hidden="1" customHeight="1"/>
    <row r="186" s="5" customFormat="1" ht="13.5" hidden="1" customHeight="1"/>
    <row r="187" s="5" customFormat="1" ht="13.5" hidden="1" customHeight="1"/>
    <row r="188" s="5" customFormat="1" ht="13.5" hidden="1" customHeight="1"/>
    <row r="189" s="5" customFormat="1" ht="13.5" hidden="1" customHeight="1"/>
    <row r="190" s="5" customFormat="1" ht="13.5" hidden="1" customHeight="1"/>
    <row r="191" s="5" customFormat="1" ht="13.5" hidden="1" customHeight="1"/>
    <row r="192" s="5" customFormat="1" ht="13.5" hidden="1" customHeight="1"/>
    <row r="193" s="5" customFormat="1" ht="13.5" hidden="1" customHeight="1"/>
    <row r="194" s="5" customFormat="1" ht="13.5" hidden="1" customHeight="1"/>
    <row r="195" s="5" customFormat="1" ht="13.5" hidden="1" customHeight="1"/>
    <row r="196" s="5" customFormat="1" ht="13.5" hidden="1" customHeight="1"/>
    <row r="197" s="5" customFormat="1" ht="13.5" hidden="1" customHeight="1"/>
    <row r="198" s="5" customFormat="1" ht="13.5" hidden="1" customHeight="1"/>
    <row r="199" s="5" customFormat="1" ht="13.5" hidden="1" customHeight="1"/>
    <row r="200" s="5" customFormat="1" ht="13.5" hidden="1" customHeight="1"/>
    <row r="241"/>
    <row r="242"/>
    <row r="243"/>
    <row r="250"/>
  </sheetData>
  <conditionalFormatting sqref="F2">
    <cfRule type="cellIs" dxfId="53" priority="9" stopIfTrue="1" operator="notEqual">
      <formula>0</formula>
    </cfRule>
    <cfRule type="cellIs" dxfId="52" priority="10" stopIfTrue="1" operator="equal">
      <formula>""</formula>
    </cfRule>
  </conditionalFormatting>
  <conditionalFormatting sqref="F3">
    <cfRule type="cellIs" dxfId="51" priority="7" stopIfTrue="1" operator="notEqual">
      <formula>0</formula>
    </cfRule>
    <cfRule type="cellIs" dxfId="50" priority="8" stopIfTrue="1" operator="equal">
      <formula>""</formula>
    </cfRule>
  </conditionalFormatting>
  <conditionalFormatting sqref="F89">
    <cfRule type="cellIs" dxfId="49" priority="1" stopIfTrue="1" operator="notEqual">
      <formula>0</formula>
    </cfRule>
    <cfRule type="cellIs" dxfId="48" priority="2" stopIfTrue="1" operator="equal">
      <formula>""</formula>
    </cfRule>
  </conditionalFormatting>
  <conditionalFormatting sqref="F104">
    <cfRule type="cellIs" dxfId="47" priority="11" stopIfTrue="1" operator="notEqual">
      <formula>0</formula>
    </cfRule>
    <cfRule type="cellIs" dxfId="46" priority="12" stopIfTrue="1" operator="equal">
      <formula>""</formula>
    </cfRule>
  </conditionalFormatting>
  <conditionalFormatting sqref="J89:W89">
    <cfRule type="cellIs" dxfId="43" priority="3" stopIfTrue="1" operator="notEqual">
      <formula>0</formula>
    </cfRule>
    <cfRule type="cellIs" dxfId="42" priority="4" stopIfTrue="1" operator="equal">
      <formula>""</formula>
    </cfRule>
  </conditionalFormatting>
  <conditionalFormatting sqref="J104:W104">
    <cfRule type="cellIs" dxfId="41" priority="25" stopIfTrue="1" operator="notEqual">
      <formula>0</formula>
    </cfRule>
    <cfRule type="cellIs" dxfId="40" priority="26" stopIfTrue="1" operator="equal">
      <formula>""</formula>
    </cfRule>
  </conditionalFormatting>
  <conditionalFormatting sqref="V3:W3">
    <cfRule type="cellIs" dxfId="38" priority="16" operator="equal">
      <formula>#REF!</formula>
    </cfRule>
    <cfRule type="cellIs" dxfId="37" priority="17" stopIfTrue="1" operator="equal">
      <formula>#REF!</formula>
    </cfRule>
    <cfRule type="cellIs" dxfId="36" priority="18" stopIfTrue="1" operator="equal">
      <formula>#REF!</formula>
    </cfRule>
  </conditionalFormatting>
  <pageMargins left="0.7" right="0.7" top="0.75" bottom="0.75" header="0.3" footer="0.3"/>
  <pageSetup paperSize="9" scale="29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stopIfTrue="1" operator="equal" id="{D90FB80B-24E9-421E-9273-6641E2E63980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15" stopIfTrue="1" operator="equal" id="{264470FA-2737-45E3-8035-71C3E1571551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13" operator="equal" id="{6DE3F48F-387F-453F-B992-57F3924AED28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95FD94-0445-42DD-9E50-A450031EC237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71c95305-930c-4d63-9794-2d644343057c"/>
    <ds:schemaRef ds:uri="e977ff61-02db-41ba-b0af-78a2a0b9367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1DE995-6455-4F65-B2E6-373756451AF6}"/>
</file>

<file path=customXml/itemProps3.xml><?xml version="1.0" encoding="utf-8"?>
<ds:datastoreItem xmlns:ds="http://schemas.openxmlformats.org/officeDocument/2006/customXml" ds:itemID="{753F8CF2-75F8-4A38-8762-D33B98DFCC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CLEAR_SHEET</vt:lpstr>
      <vt:lpstr>Cover</vt:lpstr>
      <vt:lpstr>Model formatting</vt:lpstr>
      <vt:lpstr>ToC</vt:lpstr>
      <vt:lpstr>Inputs</vt:lpstr>
      <vt:lpstr>Time</vt:lpstr>
      <vt:lpstr>Indices and K factor</vt:lpstr>
      <vt:lpstr>Wholesale Water</vt:lpstr>
      <vt:lpstr>Wastewater Network-Plus</vt:lpstr>
      <vt:lpstr>Wastewater TTT</vt:lpstr>
      <vt:lpstr>Output</vt:lpstr>
      <vt:lpstr>F_Outputs</vt:lpstr>
      <vt:lpstr>Check</vt:lpstr>
      <vt:lpstr>Chk_Tol</vt:lpstr>
      <vt:lpstr>Trk_Tol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2024-08-24T13:45:18Z</dcterms:created>
  <dcterms:modified xsi:type="dcterms:W3CDTF">2024-12-10T16:34:27Z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0x0101004010F36128E44943B1120CACFDAE9F7B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  <property fmtid="{D5CDD505-2E9C-101B-9397-08002B2CF9AE}" pid="14" name="Order">
    <vt:r8>186600</vt:r8>
  </property>
  <property fmtid="{D5CDD505-2E9C-101B-9397-08002B2CF9AE}" pid="15" name="xd_Signature">
    <vt:bool>false</vt:bool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2" name="SharedWithUsers">
    <vt:lpwstr/>
  </property>
</Properties>
</file>