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12"/>
  <workbookPr filterPrivacy="1" codeName="ThisWorkbook"/>
  <xr:revisionPtr revIDLastSave="938" documentId="8_{CD40C620-DCAF-486B-8993-702EE86A9250}" xr6:coauthVersionLast="47" xr6:coauthVersionMax="47" xr10:uidLastSave="{4AD74649-689D-4D5A-A9A4-C4FA35739161}"/>
  <bookViews>
    <workbookView xWindow="-120" yWindow="-120" windowWidth="29040" windowHeight="15720" tabRatio="921" firstSheet="14" activeTab="19" xr2:uid="{00000000-000D-0000-FFFF-FFFF00000000}"/>
  </bookViews>
  <sheets>
    <sheet name="Cover" sheetId="54" r:id="rId1"/>
    <sheet name="Conceptual model" sheetId="104" r:id="rId2"/>
    <sheet name="Inputs &gt;&gt;" sheetId="20" r:id="rId3"/>
    <sheet name="F_Inputs" sheetId="108" r:id="rId4"/>
    <sheet name="F_Inputs_adjusted" sheetId="79" r:id="rId5"/>
    <sheet name="Consolidated Input" sheetId="64" r:id="rId6"/>
    <sheet name="F_Input Override" sheetId="65" r:id="rId7"/>
    <sheet name="Final Input" sheetId="66" r:id="rId8"/>
    <sheet name="Data_final_model_format" sheetId="77" r:id="rId9"/>
    <sheet name="PR24_NETTOTEX_WASTE" sheetId="90" r:id="rId10"/>
    <sheet name="Company level efficiencies" sheetId="95" r:id="rId11"/>
    <sheet name="Post Adj &amp; FS Allowances" sheetId="102" r:id="rId12"/>
    <sheet name="Analysis &gt;&gt;" sheetId="32" r:id="rId13"/>
    <sheet name="Materiality &amp; shallow dive" sheetId="41" r:id="rId14"/>
    <sheet name="Modelled Costs" sheetId="40" r:id="rId15"/>
    <sheet name="Outputs &gt;&gt;" sheetId="45" r:id="rId16"/>
    <sheet name="Allowance" sheetId="38" r:id="rId17"/>
    <sheet name="Outputs to aggregator" sheetId="81" r:id="rId18"/>
    <sheet name="F_Outputs" sheetId="91" r:id="rId19"/>
    <sheet name="PCD" sheetId="43" r:id="rId20"/>
    <sheet name="DROPDOWN LISTS" sheetId="58" r:id="rId21"/>
  </sheets>
  <definedNames>
    <definedName name="_xlnm._FilterDatabase" localSheetId="8" hidden="1">Data_final_model_format!$B$5:$I$5</definedName>
    <definedName name="_xlnm._FilterDatabase" localSheetId="4" hidden="1">F_Inputs_adjusted!$A$7:$W$150</definedName>
    <definedName name="_xlnm._FilterDatabase" localSheetId="18" hidden="1">F_Outputs!#REF!</definedName>
    <definedName name="_xlnm._FilterDatabase" localSheetId="7" hidden="1">'Final Input'!$A$4:$N$148</definedName>
    <definedName name="_xlnm._FilterDatabase" localSheetId="11" hidden="1">'Post Adj &amp; FS Allowances'!$A$4:$M$735</definedName>
    <definedName name="ChK_Tol" localSheetId="5">'Consolidated Input'!#REF!</definedName>
    <definedName name="ChK_Tol" localSheetId="6">'F_Input Override'!#REF!</definedName>
    <definedName name="ChK_Tol" localSheetId="7">'Final Input'!#REF!</definedName>
    <definedName name="ChK_Tol">#REF!</definedName>
    <definedName name="Pct_Tol" localSheetId="5">'Consolidated Input'!#REF!</definedName>
    <definedName name="Pct_Tol" localSheetId="6">'F_Input Override'!#REF!</definedName>
    <definedName name="Pct_Tol" localSheetId="7">'Final Input'!#REF!</definedName>
    <definedName name="Pct_Tol">#REF!</definedName>
    <definedName name="Trk_Tol" localSheetId="5">'Consolidated Input'!#REF!</definedName>
    <definedName name="Trk_Tol" localSheetId="6">'F_Input Override'!#REF!</definedName>
    <definedName name="Trk_Tol" localSheetId="7">'Final Input'!#REF!</definedName>
    <definedName name="Trk_Tol">#REF!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40" l="1"/>
  <c r="AF12" i="43"/>
  <c r="AF13" i="43"/>
  <c r="A1" i="58"/>
  <c r="A1" i="91"/>
  <c r="A1" i="102"/>
  <c r="A1" i="95"/>
  <c r="A1" i="90"/>
  <c r="A1" i="77"/>
  <c r="A1" i="79"/>
  <c r="A1" i="108"/>
  <c r="G15" i="38"/>
  <c r="G16" i="38"/>
  <c r="H8" i="41"/>
  <c r="H9" i="41"/>
  <c r="H10" i="41"/>
  <c r="H11" i="41"/>
  <c r="H12" i="41"/>
  <c r="H13" i="41"/>
  <c r="H14" i="41"/>
  <c r="H15" i="41"/>
  <c r="H16" i="41"/>
  <c r="H17" i="41"/>
  <c r="H7" i="41"/>
  <c r="C7" i="77"/>
  <c r="C8" i="77"/>
  <c r="C9" i="77"/>
  <c r="C10" i="77"/>
  <c r="C11" i="77"/>
  <c r="C12" i="77"/>
  <c r="C13" i="77"/>
  <c r="C14" i="77"/>
  <c r="C15" i="77"/>
  <c r="C16" i="77"/>
  <c r="C6" i="77"/>
  <c r="G19" i="90"/>
  <c r="M148" i="66"/>
  <c r="H109" i="66"/>
  <c r="I109" i="66"/>
  <c r="J109" i="66"/>
  <c r="K109" i="66"/>
  <c r="L109" i="66"/>
  <c r="H110" i="66"/>
  <c r="I110" i="66"/>
  <c r="J110" i="66"/>
  <c r="K110" i="66"/>
  <c r="L110" i="66"/>
  <c r="H111" i="66"/>
  <c r="I111" i="66"/>
  <c r="J111" i="66"/>
  <c r="K111" i="66"/>
  <c r="L111" i="66"/>
  <c r="G148" i="66"/>
  <c r="H148" i="66"/>
  <c r="I148" i="66"/>
  <c r="J148" i="66"/>
  <c r="K148" i="66"/>
  <c r="L148" i="66"/>
  <c r="F148" i="66"/>
  <c r="E148" i="66"/>
  <c r="D148" i="66"/>
  <c r="C148" i="66"/>
  <c r="A1" i="43"/>
  <c r="C91" i="91"/>
  <c r="B91" i="91"/>
  <c r="M90" i="91"/>
  <c r="L90" i="91"/>
  <c r="K90" i="91"/>
  <c r="J90" i="91"/>
  <c r="I90" i="91"/>
  <c r="H90" i="91"/>
  <c r="G90" i="91"/>
  <c r="F90" i="91"/>
  <c r="C90" i="91"/>
  <c r="B90" i="91"/>
  <c r="M89" i="91"/>
  <c r="L89" i="91"/>
  <c r="K89" i="91"/>
  <c r="J89" i="91"/>
  <c r="I89" i="91"/>
  <c r="H89" i="91"/>
  <c r="G89" i="91"/>
  <c r="F89" i="91"/>
  <c r="C89" i="91"/>
  <c r="B89" i="91"/>
  <c r="M88" i="91"/>
  <c r="L88" i="91"/>
  <c r="K88" i="91"/>
  <c r="J88" i="91"/>
  <c r="I88" i="91"/>
  <c r="H88" i="91"/>
  <c r="G88" i="91"/>
  <c r="F88" i="91"/>
  <c r="C88" i="91"/>
  <c r="B88" i="91"/>
  <c r="M87" i="91"/>
  <c r="L87" i="91"/>
  <c r="K87" i="91"/>
  <c r="J87" i="91"/>
  <c r="I87" i="91"/>
  <c r="H87" i="91"/>
  <c r="G87" i="91"/>
  <c r="F87" i="91"/>
  <c r="C87" i="91"/>
  <c r="B87" i="91"/>
  <c r="C86" i="91"/>
  <c r="B86" i="91"/>
  <c r="C85" i="91"/>
  <c r="B85" i="91"/>
  <c r="C84" i="91"/>
  <c r="B84" i="91"/>
  <c r="C83" i="91"/>
  <c r="B83" i="91"/>
  <c r="M82" i="91"/>
  <c r="L82" i="91"/>
  <c r="K82" i="91"/>
  <c r="J82" i="91"/>
  <c r="I82" i="91"/>
  <c r="H82" i="91"/>
  <c r="G82" i="91"/>
  <c r="F82" i="91"/>
  <c r="C82" i="91"/>
  <c r="B82" i="91"/>
  <c r="M81" i="91"/>
  <c r="L81" i="91"/>
  <c r="K81" i="91"/>
  <c r="J81" i="91"/>
  <c r="I81" i="91"/>
  <c r="H81" i="91"/>
  <c r="G81" i="91"/>
  <c r="F81" i="91"/>
  <c r="C81" i="91"/>
  <c r="B81" i="91"/>
  <c r="M80" i="91"/>
  <c r="L80" i="91"/>
  <c r="K80" i="91"/>
  <c r="J80" i="91"/>
  <c r="I80" i="91"/>
  <c r="H80" i="91"/>
  <c r="G80" i="91"/>
  <c r="F80" i="91"/>
  <c r="C80" i="91"/>
  <c r="B80" i="91"/>
  <c r="M79" i="91"/>
  <c r="L79" i="91"/>
  <c r="K79" i="91"/>
  <c r="J79" i="91"/>
  <c r="I79" i="91"/>
  <c r="H79" i="91"/>
  <c r="G79" i="91"/>
  <c r="F79" i="91"/>
  <c r="C79" i="91"/>
  <c r="B79" i="91"/>
  <c r="C78" i="91"/>
  <c r="B78" i="91"/>
  <c r="C77" i="91"/>
  <c r="B77" i="91"/>
  <c r="C76" i="91"/>
  <c r="B76" i="91"/>
  <c r="C75" i="91"/>
  <c r="B75" i="91"/>
  <c r="M74" i="91"/>
  <c r="L74" i="91"/>
  <c r="K74" i="91"/>
  <c r="J74" i="91"/>
  <c r="I74" i="91"/>
  <c r="H74" i="91"/>
  <c r="G74" i="91"/>
  <c r="F74" i="91"/>
  <c r="C74" i="91"/>
  <c r="B74" i="91"/>
  <c r="M73" i="91"/>
  <c r="L73" i="91"/>
  <c r="K73" i="91"/>
  <c r="J73" i="91"/>
  <c r="I73" i="91"/>
  <c r="H73" i="91"/>
  <c r="G73" i="91"/>
  <c r="F73" i="91"/>
  <c r="C73" i="91"/>
  <c r="B73" i="91"/>
  <c r="M72" i="91"/>
  <c r="L72" i="91"/>
  <c r="K72" i="91"/>
  <c r="J72" i="91"/>
  <c r="I72" i="91"/>
  <c r="H72" i="91"/>
  <c r="G72" i="91"/>
  <c r="F72" i="91"/>
  <c r="C72" i="91"/>
  <c r="B72" i="91"/>
  <c r="M71" i="91"/>
  <c r="L71" i="91"/>
  <c r="K71" i="91"/>
  <c r="J71" i="91"/>
  <c r="I71" i="91"/>
  <c r="H71" i="91"/>
  <c r="G71" i="91"/>
  <c r="F71" i="91"/>
  <c r="C71" i="91"/>
  <c r="B71" i="91"/>
  <c r="C70" i="91"/>
  <c r="B70" i="91"/>
  <c r="C69" i="91"/>
  <c r="B69" i="91"/>
  <c r="C68" i="91"/>
  <c r="B68" i="91"/>
  <c r="C67" i="91"/>
  <c r="B67" i="91"/>
  <c r="M66" i="91"/>
  <c r="L66" i="91"/>
  <c r="K66" i="91"/>
  <c r="J66" i="91"/>
  <c r="I66" i="91"/>
  <c r="H66" i="91"/>
  <c r="G66" i="91"/>
  <c r="F66" i="91"/>
  <c r="C66" i="91"/>
  <c r="B66" i="91"/>
  <c r="M65" i="91"/>
  <c r="L65" i="91"/>
  <c r="K65" i="91"/>
  <c r="J65" i="91"/>
  <c r="I65" i="91"/>
  <c r="H65" i="91"/>
  <c r="G65" i="91"/>
  <c r="F65" i="91"/>
  <c r="C65" i="91"/>
  <c r="B65" i="91"/>
  <c r="M64" i="91"/>
  <c r="L64" i="91"/>
  <c r="K64" i="91"/>
  <c r="J64" i="91"/>
  <c r="I64" i="91"/>
  <c r="H64" i="91"/>
  <c r="G64" i="91"/>
  <c r="F64" i="91"/>
  <c r="C64" i="91"/>
  <c r="B64" i="91"/>
  <c r="M63" i="91"/>
  <c r="L63" i="91"/>
  <c r="K63" i="91"/>
  <c r="J63" i="91"/>
  <c r="I63" i="91"/>
  <c r="H63" i="91"/>
  <c r="G63" i="91"/>
  <c r="F63" i="91"/>
  <c r="C63" i="91"/>
  <c r="B63" i="91"/>
  <c r="C62" i="91"/>
  <c r="B62" i="91"/>
  <c r="C61" i="91"/>
  <c r="B61" i="91"/>
  <c r="C60" i="91"/>
  <c r="B60" i="91"/>
  <c r="C59" i="91"/>
  <c r="B59" i="91"/>
  <c r="M58" i="91"/>
  <c r="L58" i="91"/>
  <c r="K58" i="91"/>
  <c r="J58" i="91"/>
  <c r="I58" i="91"/>
  <c r="H58" i="91"/>
  <c r="G58" i="91"/>
  <c r="F58" i="91"/>
  <c r="C58" i="91"/>
  <c r="B58" i="91"/>
  <c r="M57" i="91"/>
  <c r="L57" i="91"/>
  <c r="K57" i="91"/>
  <c r="J57" i="91"/>
  <c r="I57" i="91"/>
  <c r="H57" i="91"/>
  <c r="G57" i="91"/>
  <c r="F57" i="91"/>
  <c r="C57" i="91"/>
  <c r="B57" i="91"/>
  <c r="M56" i="91"/>
  <c r="L56" i="91"/>
  <c r="K56" i="91"/>
  <c r="J56" i="91"/>
  <c r="I56" i="91"/>
  <c r="H56" i="91"/>
  <c r="G56" i="91"/>
  <c r="F56" i="91"/>
  <c r="C56" i="91"/>
  <c r="B56" i="91"/>
  <c r="M55" i="91"/>
  <c r="L55" i="91"/>
  <c r="K55" i="91"/>
  <c r="J55" i="91"/>
  <c r="I55" i="91"/>
  <c r="H55" i="91"/>
  <c r="G55" i="91"/>
  <c r="F55" i="91"/>
  <c r="C55" i="91"/>
  <c r="B55" i="91"/>
  <c r="C54" i="91"/>
  <c r="B54" i="91"/>
  <c r="C53" i="91"/>
  <c r="B53" i="91"/>
  <c r="C52" i="91"/>
  <c r="B52" i="91"/>
  <c r="C51" i="91"/>
  <c r="B51" i="91"/>
  <c r="M50" i="91"/>
  <c r="L50" i="91"/>
  <c r="K50" i="91"/>
  <c r="J50" i="91"/>
  <c r="I50" i="91"/>
  <c r="H50" i="91"/>
  <c r="G50" i="91"/>
  <c r="F50" i="91"/>
  <c r="C50" i="91"/>
  <c r="B50" i="91"/>
  <c r="M49" i="91"/>
  <c r="L49" i="91"/>
  <c r="K49" i="91"/>
  <c r="J49" i="91"/>
  <c r="I49" i="91"/>
  <c r="H49" i="91"/>
  <c r="G49" i="91"/>
  <c r="F49" i="91"/>
  <c r="C49" i="91"/>
  <c r="B49" i="91"/>
  <c r="M48" i="91"/>
  <c r="L48" i="91"/>
  <c r="K48" i="91"/>
  <c r="J48" i="91"/>
  <c r="I48" i="91"/>
  <c r="H48" i="91"/>
  <c r="G48" i="91"/>
  <c r="F48" i="91"/>
  <c r="C48" i="91"/>
  <c r="B48" i="91"/>
  <c r="M47" i="91"/>
  <c r="L47" i="91"/>
  <c r="K47" i="91"/>
  <c r="J47" i="91"/>
  <c r="I47" i="91"/>
  <c r="H47" i="91"/>
  <c r="G47" i="91"/>
  <c r="F47" i="91"/>
  <c r="C47" i="91"/>
  <c r="B47" i="91"/>
  <c r="C46" i="91"/>
  <c r="B46" i="91"/>
  <c r="C45" i="91"/>
  <c r="B45" i="91"/>
  <c r="C44" i="91"/>
  <c r="B44" i="91"/>
  <c r="C43" i="91"/>
  <c r="B43" i="91"/>
  <c r="M42" i="91"/>
  <c r="L42" i="91"/>
  <c r="K42" i="91"/>
  <c r="J42" i="91"/>
  <c r="I42" i="91"/>
  <c r="H42" i="91"/>
  <c r="G42" i="91"/>
  <c r="F42" i="91"/>
  <c r="C42" i="91"/>
  <c r="B42" i="91"/>
  <c r="M41" i="91"/>
  <c r="L41" i="91"/>
  <c r="K41" i="91"/>
  <c r="J41" i="91"/>
  <c r="I41" i="91"/>
  <c r="H41" i="91"/>
  <c r="G41" i="91"/>
  <c r="F41" i="91"/>
  <c r="C41" i="91"/>
  <c r="B41" i="91"/>
  <c r="M40" i="91"/>
  <c r="L40" i="91"/>
  <c r="K40" i="91"/>
  <c r="J40" i="91"/>
  <c r="I40" i="91"/>
  <c r="H40" i="91"/>
  <c r="G40" i="91"/>
  <c r="F40" i="91"/>
  <c r="C40" i="91"/>
  <c r="B40" i="91"/>
  <c r="M39" i="91"/>
  <c r="L39" i="91"/>
  <c r="K39" i="91"/>
  <c r="J39" i="91"/>
  <c r="I39" i="91"/>
  <c r="H39" i="91"/>
  <c r="G39" i="91"/>
  <c r="F39" i="91"/>
  <c r="C39" i="91"/>
  <c r="B39" i="91"/>
  <c r="C38" i="91"/>
  <c r="B38" i="91"/>
  <c r="C37" i="91"/>
  <c r="B37" i="91"/>
  <c r="C36" i="91"/>
  <c r="B36" i="91"/>
  <c r="C35" i="91"/>
  <c r="B35" i="91"/>
  <c r="M34" i="91"/>
  <c r="L34" i="91"/>
  <c r="K34" i="91"/>
  <c r="J34" i="91"/>
  <c r="I34" i="91"/>
  <c r="H34" i="91"/>
  <c r="G34" i="91"/>
  <c r="F34" i="91"/>
  <c r="C34" i="91"/>
  <c r="B34" i="91"/>
  <c r="M33" i="91"/>
  <c r="L33" i="91"/>
  <c r="K33" i="91"/>
  <c r="J33" i="91"/>
  <c r="I33" i="91"/>
  <c r="H33" i="91"/>
  <c r="G33" i="91"/>
  <c r="F33" i="91"/>
  <c r="C33" i="91"/>
  <c r="B33" i="91"/>
  <c r="M32" i="91"/>
  <c r="L32" i="91"/>
  <c r="K32" i="91"/>
  <c r="J32" i="91"/>
  <c r="I32" i="91"/>
  <c r="H32" i="91"/>
  <c r="G32" i="91"/>
  <c r="F32" i="91"/>
  <c r="C32" i="91"/>
  <c r="B32" i="91"/>
  <c r="M31" i="91"/>
  <c r="L31" i="91"/>
  <c r="K31" i="91"/>
  <c r="J31" i="91"/>
  <c r="I31" i="91"/>
  <c r="H31" i="91"/>
  <c r="G31" i="91"/>
  <c r="F31" i="91"/>
  <c r="C31" i="91"/>
  <c r="B31" i="91"/>
  <c r="C30" i="91"/>
  <c r="B30" i="91"/>
  <c r="C29" i="91"/>
  <c r="B29" i="91"/>
  <c r="C28" i="91"/>
  <c r="B28" i="91"/>
  <c r="C27" i="91"/>
  <c r="B27" i="91"/>
  <c r="M26" i="91"/>
  <c r="L26" i="91"/>
  <c r="K26" i="91"/>
  <c r="J26" i="91"/>
  <c r="I26" i="91"/>
  <c r="H26" i="91"/>
  <c r="G26" i="91"/>
  <c r="F26" i="91"/>
  <c r="C26" i="91"/>
  <c r="B26" i="91"/>
  <c r="M25" i="91"/>
  <c r="L25" i="91"/>
  <c r="K25" i="91"/>
  <c r="J25" i="91"/>
  <c r="I25" i="91"/>
  <c r="H25" i="91"/>
  <c r="G25" i="91"/>
  <c r="F25" i="91"/>
  <c r="C25" i="91"/>
  <c r="B25" i="91"/>
  <c r="M24" i="91"/>
  <c r="L24" i="91"/>
  <c r="K24" i="91"/>
  <c r="J24" i="91"/>
  <c r="I24" i="91"/>
  <c r="H24" i="91"/>
  <c r="G24" i="91"/>
  <c r="F24" i="91"/>
  <c r="C24" i="91"/>
  <c r="B24" i="91"/>
  <c r="M23" i="91"/>
  <c r="L23" i="91"/>
  <c r="K23" i="91"/>
  <c r="J23" i="91"/>
  <c r="I23" i="91"/>
  <c r="H23" i="91"/>
  <c r="G23" i="91"/>
  <c r="F23" i="91"/>
  <c r="C23" i="91"/>
  <c r="B23" i="91"/>
  <c r="C22" i="91"/>
  <c r="B22" i="91"/>
  <c r="C21" i="91"/>
  <c r="B21" i="91"/>
  <c r="C20" i="91"/>
  <c r="B20" i="91"/>
  <c r="C19" i="91"/>
  <c r="B19" i="91"/>
  <c r="M18" i="91"/>
  <c r="L18" i="91"/>
  <c r="K18" i="91"/>
  <c r="J18" i="91"/>
  <c r="I18" i="91"/>
  <c r="H18" i="91"/>
  <c r="G18" i="91"/>
  <c r="F18" i="91"/>
  <c r="C18" i="91"/>
  <c r="B18" i="91"/>
  <c r="M17" i="91"/>
  <c r="L17" i="91"/>
  <c r="K17" i="91"/>
  <c r="J17" i="91"/>
  <c r="I17" i="91"/>
  <c r="H17" i="91"/>
  <c r="G17" i="91"/>
  <c r="F17" i="91"/>
  <c r="C17" i="91"/>
  <c r="B17" i="91"/>
  <c r="M16" i="91"/>
  <c r="L16" i="91"/>
  <c r="K16" i="91"/>
  <c r="J16" i="91"/>
  <c r="I16" i="91"/>
  <c r="H16" i="91"/>
  <c r="G16" i="91"/>
  <c r="F16" i="91"/>
  <c r="C16" i="91"/>
  <c r="B16" i="91"/>
  <c r="M15" i="91"/>
  <c r="L15" i="91"/>
  <c r="K15" i="91"/>
  <c r="J15" i="91"/>
  <c r="I15" i="91"/>
  <c r="H15" i="91"/>
  <c r="G15" i="91"/>
  <c r="F15" i="91"/>
  <c r="C15" i="91"/>
  <c r="B15" i="91"/>
  <c r="C14" i="91"/>
  <c r="B14" i="91"/>
  <c r="C13" i="91"/>
  <c r="B13" i="91"/>
  <c r="C12" i="91"/>
  <c r="B12" i="91"/>
  <c r="C11" i="91"/>
  <c r="B11" i="91"/>
  <c r="M10" i="91"/>
  <c r="L10" i="91"/>
  <c r="K10" i="91"/>
  <c r="J10" i="91"/>
  <c r="I10" i="91"/>
  <c r="H10" i="91"/>
  <c r="G10" i="91"/>
  <c r="F10" i="91"/>
  <c r="C10" i="91"/>
  <c r="B10" i="91"/>
  <c r="M9" i="91"/>
  <c r="L9" i="91"/>
  <c r="K9" i="91"/>
  <c r="J9" i="91"/>
  <c r="I9" i="91"/>
  <c r="H9" i="91"/>
  <c r="G9" i="91"/>
  <c r="F9" i="91"/>
  <c r="C9" i="91"/>
  <c r="B9" i="91"/>
  <c r="M8" i="91"/>
  <c r="L8" i="91"/>
  <c r="K8" i="91"/>
  <c r="J8" i="91"/>
  <c r="I8" i="91"/>
  <c r="H8" i="91"/>
  <c r="G8" i="91"/>
  <c r="F8" i="91"/>
  <c r="C8" i="91"/>
  <c r="B8" i="91"/>
  <c r="M7" i="91"/>
  <c r="L7" i="91"/>
  <c r="K7" i="91"/>
  <c r="J7" i="91"/>
  <c r="I7" i="91"/>
  <c r="H7" i="91"/>
  <c r="G7" i="91"/>
  <c r="F7" i="91"/>
  <c r="C7" i="91"/>
  <c r="B7" i="91"/>
  <c r="B6" i="91"/>
  <c r="B5" i="91"/>
  <c r="B4" i="91"/>
  <c r="L52" i="81"/>
  <c r="L51" i="81"/>
  <c r="L50" i="81"/>
  <c r="L49" i="81"/>
  <c r="L48" i="81"/>
  <c r="L47" i="81"/>
  <c r="L46" i="81"/>
  <c r="L45" i="81"/>
  <c r="L44" i="81"/>
  <c r="L43" i="81"/>
  <c r="L42" i="81"/>
  <c r="L41" i="81"/>
  <c r="B18" i="81"/>
  <c r="B17" i="81"/>
  <c r="O34" i="81" s="1"/>
  <c r="B16" i="81"/>
  <c r="B33" i="81" s="1"/>
  <c r="B15" i="81"/>
  <c r="B49" i="81" s="1"/>
  <c r="B14" i="81"/>
  <c r="B13" i="81"/>
  <c r="B12" i="81"/>
  <c r="O29" i="81" s="1"/>
  <c r="B11" i="81"/>
  <c r="B10" i="81"/>
  <c r="O27" i="81" s="1"/>
  <c r="B9" i="81"/>
  <c r="B8" i="81"/>
  <c r="O8" i="81" s="1"/>
  <c r="B7" i="81"/>
  <c r="O41" i="81" s="1"/>
  <c r="A1" i="81"/>
  <c r="H25" i="38"/>
  <c r="A1" i="38"/>
  <c r="A1" i="40"/>
  <c r="I17" i="41"/>
  <c r="C17" i="41"/>
  <c r="I16" i="41"/>
  <c r="C16" i="41"/>
  <c r="I15" i="41"/>
  <c r="C15" i="41"/>
  <c r="I14" i="41"/>
  <c r="C14" i="41"/>
  <c r="I13" i="41"/>
  <c r="C13" i="41"/>
  <c r="I12" i="41"/>
  <c r="C12" i="41"/>
  <c r="I11" i="41"/>
  <c r="C11" i="41"/>
  <c r="I10" i="41"/>
  <c r="C10" i="41"/>
  <c r="I9" i="41"/>
  <c r="C9" i="41"/>
  <c r="C8" i="41"/>
  <c r="I7" i="41"/>
  <c r="C7" i="41"/>
  <c r="B5" i="40" s="1"/>
  <c r="A1" i="41"/>
  <c r="M735" i="102"/>
  <c r="M734" i="102"/>
  <c r="M733" i="102"/>
  <c r="M732" i="102"/>
  <c r="M731" i="102"/>
  <c r="M730" i="102"/>
  <c r="M729" i="102"/>
  <c r="M728" i="102"/>
  <c r="M727" i="102"/>
  <c r="M726" i="102"/>
  <c r="M725" i="102"/>
  <c r="M724" i="102"/>
  <c r="M723" i="102"/>
  <c r="M722" i="102"/>
  <c r="M721" i="102"/>
  <c r="M720" i="102"/>
  <c r="M719" i="102"/>
  <c r="M718" i="102"/>
  <c r="M717" i="102"/>
  <c r="M716" i="102"/>
  <c r="M715" i="102"/>
  <c r="M714" i="102"/>
  <c r="M713" i="102"/>
  <c r="M712" i="102"/>
  <c r="M711" i="102"/>
  <c r="M710" i="102"/>
  <c r="M709" i="102"/>
  <c r="M708" i="102"/>
  <c r="M707" i="102"/>
  <c r="M706" i="102"/>
  <c r="M705" i="102"/>
  <c r="M704" i="102"/>
  <c r="M703" i="102"/>
  <c r="M702" i="102"/>
  <c r="M701" i="102"/>
  <c r="M700" i="102"/>
  <c r="M699" i="102"/>
  <c r="M698" i="102"/>
  <c r="M697" i="102"/>
  <c r="M696" i="102"/>
  <c r="M695" i="102"/>
  <c r="M694" i="102"/>
  <c r="M693" i="102"/>
  <c r="M692" i="102"/>
  <c r="M691" i="102"/>
  <c r="M690" i="102"/>
  <c r="M689" i="102"/>
  <c r="M688" i="102"/>
  <c r="M687" i="102"/>
  <c r="M686" i="102"/>
  <c r="M685" i="102"/>
  <c r="M684" i="102"/>
  <c r="M683" i="102"/>
  <c r="M682" i="102"/>
  <c r="M681" i="102"/>
  <c r="M680" i="102"/>
  <c r="M679" i="102"/>
  <c r="M678" i="102"/>
  <c r="M677" i="102"/>
  <c r="M676" i="102"/>
  <c r="M675" i="102"/>
  <c r="M674" i="102"/>
  <c r="M673" i="102"/>
  <c r="M672" i="102"/>
  <c r="M671" i="102"/>
  <c r="M670" i="102"/>
  <c r="M669" i="102"/>
  <c r="M668" i="102"/>
  <c r="M667" i="102"/>
  <c r="M666" i="102"/>
  <c r="M665" i="102"/>
  <c r="M664" i="102"/>
  <c r="M663" i="102"/>
  <c r="M662" i="102"/>
  <c r="M661" i="102"/>
  <c r="M660" i="102"/>
  <c r="M659" i="102"/>
  <c r="M658" i="102"/>
  <c r="M657" i="102"/>
  <c r="M656" i="102"/>
  <c r="M655" i="102"/>
  <c r="M654" i="102"/>
  <c r="M653" i="102"/>
  <c r="M652" i="102"/>
  <c r="M651" i="102"/>
  <c r="M650" i="102"/>
  <c r="M649" i="102"/>
  <c r="M648" i="102"/>
  <c r="M647" i="102"/>
  <c r="M646" i="102"/>
  <c r="M645" i="102"/>
  <c r="M644" i="102"/>
  <c r="M643" i="102"/>
  <c r="M642" i="102"/>
  <c r="M641" i="102"/>
  <c r="M640" i="102"/>
  <c r="M639" i="102"/>
  <c r="M638" i="102"/>
  <c r="M637" i="102"/>
  <c r="M636" i="102"/>
  <c r="M635" i="102"/>
  <c r="M634" i="102"/>
  <c r="M633" i="102"/>
  <c r="M632" i="102"/>
  <c r="M631" i="102"/>
  <c r="M630" i="102"/>
  <c r="M629" i="102"/>
  <c r="M628" i="102"/>
  <c r="M627" i="102"/>
  <c r="M626" i="102"/>
  <c r="M625" i="102"/>
  <c r="M624" i="102"/>
  <c r="M623" i="102"/>
  <c r="M622" i="102"/>
  <c r="M621" i="102"/>
  <c r="M620" i="102"/>
  <c r="M619" i="102"/>
  <c r="M618" i="102"/>
  <c r="M617" i="102"/>
  <c r="M616" i="102"/>
  <c r="M615" i="102"/>
  <c r="M614" i="102"/>
  <c r="M613" i="102"/>
  <c r="M612" i="102"/>
  <c r="M611" i="102"/>
  <c r="M610" i="102"/>
  <c r="M609" i="102"/>
  <c r="M608" i="102"/>
  <c r="M607" i="102"/>
  <c r="M606" i="102"/>
  <c r="M605" i="102"/>
  <c r="M604" i="102"/>
  <c r="M603" i="102"/>
  <c r="M602" i="102"/>
  <c r="M601" i="102"/>
  <c r="M600" i="102"/>
  <c r="M599" i="102"/>
  <c r="M598" i="102"/>
  <c r="M597" i="102"/>
  <c r="M596" i="102"/>
  <c r="M595" i="102"/>
  <c r="M594" i="102"/>
  <c r="M593" i="102"/>
  <c r="M592" i="102"/>
  <c r="M591" i="102"/>
  <c r="M590" i="102"/>
  <c r="M589" i="102"/>
  <c r="M588" i="102"/>
  <c r="M587" i="102"/>
  <c r="M586" i="102"/>
  <c r="M585" i="102"/>
  <c r="M584" i="102"/>
  <c r="M583" i="102"/>
  <c r="M582" i="102"/>
  <c r="M581" i="102"/>
  <c r="M580" i="102"/>
  <c r="M579" i="102"/>
  <c r="M578" i="102"/>
  <c r="M577" i="102"/>
  <c r="M576" i="102"/>
  <c r="M575" i="102"/>
  <c r="M574" i="102"/>
  <c r="M573" i="102"/>
  <c r="M572" i="102"/>
  <c r="M571" i="102"/>
  <c r="M570" i="102"/>
  <c r="M569" i="102"/>
  <c r="M568" i="102"/>
  <c r="M567" i="102"/>
  <c r="M566" i="102"/>
  <c r="M565" i="102"/>
  <c r="M564" i="102"/>
  <c r="M563" i="102"/>
  <c r="M562" i="102"/>
  <c r="M561" i="102"/>
  <c r="M560" i="102"/>
  <c r="M559" i="102"/>
  <c r="M558" i="102"/>
  <c r="M557" i="102"/>
  <c r="M556" i="102"/>
  <c r="M555" i="102"/>
  <c r="M554" i="102"/>
  <c r="M553" i="102"/>
  <c r="M552" i="102"/>
  <c r="M551" i="102"/>
  <c r="M550" i="102"/>
  <c r="M549" i="102"/>
  <c r="M548" i="102"/>
  <c r="M547" i="102"/>
  <c r="M546" i="102"/>
  <c r="M545" i="102"/>
  <c r="M544" i="102"/>
  <c r="M543" i="102"/>
  <c r="M542" i="102"/>
  <c r="M541" i="102"/>
  <c r="M540" i="102"/>
  <c r="M539" i="102"/>
  <c r="M538" i="102"/>
  <c r="M537" i="102"/>
  <c r="M536" i="102"/>
  <c r="M535" i="102"/>
  <c r="M534" i="102"/>
  <c r="M533" i="102"/>
  <c r="M532" i="102"/>
  <c r="M531" i="102"/>
  <c r="M530" i="102"/>
  <c r="M529" i="102"/>
  <c r="M528" i="102"/>
  <c r="M527" i="102"/>
  <c r="M526" i="102"/>
  <c r="M525" i="102"/>
  <c r="M524" i="102"/>
  <c r="M523" i="102"/>
  <c r="M522" i="102"/>
  <c r="M521" i="102"/>
  <c r="M520" i="102"/>
  <c r="M519" i="102"/>
  <c r="M518" i="102"/>
  <c r="M517" i="102"/>
  <c r="M516" i="102"/>
  <c r="M515" i="102"/>
  <c r="M514" i="102"/>
  <c r="M513" i="102"/>
  <c r="M512" i="102"/>
  <c r="M511" i="102"/>
  <c r="M510" i="102"/>
  <c r="M509" i="102"/>
  <c r="M508" i="102"/>
  <c r="M507" i="102"/>
  <c r="M506" i="102"/>
  <c r="M505" i="102"/>
  <c r="M504" i="102"/>
  <c r="M503" i="102"/>
  <c r="M502" i="102"/>
  <c r="M501" i="102"/>
  <c r="M500" i="102"/>
  <c r="M499" i="102"/>
  <c r="M498" i="102"/>
  <c r="M497" i="102"/>
  <c r="M496" i="102"/>
  <c r="M495" i="102"/>
  <c r="M494" i="102"/>
  <c r="M493" i="102"/>
  <c r="M492" i="102"/>
  <c r="M491" i="102"/>
  <c r="M490" i="102"/>
  <c r="M489" i="102"/>
  <c r="M488" i="102"/>
  <c r="M487" i="102"/>
  <c r="M486" i="102"/>
  <c r="M485" i="102"/>
  <c r="M484" i="102"/>
  <c r="M483" i="102"/>
  <c r="M482" i="102"/>
  <c r="M481" i="102"/>
  <c r="M480" i="102"/>
  <c r="M479" i="102"/>
  <c r="M478" i="102"/>
  <c r="M477" i="102"/>
  <c r="M476" i="102"/>
  <c r="M475" i="102"/>
  <c r="M474" i="102"/>
  <c r="M473" i="102"/>
  <c r="M472" i="102"/>
  <c r="M471" i="102"/>
  <c r="M470" i="102"/>
  <c r="M469" i="102"/>
  <c r="M468" i="102"/>
  <c r="M467" i="102"/>
  <c r="M466" i="102"/>
  <c r="M465" i="102"/>
  <c r="M464" i="102"/>
  <c r="M463" i="102"/>
  <c r="M462" i="102"/>
  <c r="M461" i="102"/>
  <c r="M460" i="102"/>
  <c r="M459" i="102"/>
  <c r="M458" i="102"/>
  <c r="M457" i="102"/>
  <c r="M456" i="102"/>
  <c r="M455" i="102"/>
  <c r="M454" i="102"/>
  <c r="M453" i="102"/>
  <c r="M452" i="102"/>
  <c r="M451" i="102"/>
  <c r="M450" i="102"/>
  <c r="M449" i="102"/>
  <c r="M448" i="102"/>
  <c r="M447" i="102"/>
  <c r="M446" i="102"/>
  <c r="M445" i="102"/>
  <c r="M444" i="102"/>
  <c r="M443" i="102"/>
  <c r="M442" i="102"/>
  <c r="M441" i="102"/>
  <c r="M440" i="102"/>
  <c r="M439" i="102"/>
  <c r="M438" i="102"/>
  <c r="M19" i="43" s="1" a="1"/>
  <c r="M19" i="43" s="1"/>
  <c r="M437" i="102"/>
  <c r="M436" i="102"/>
  <c r="M435" i="102"/>
  <c r="M434" i="102"/>
  <c r="M433" i="102"/>
  <c r="M432" i="102"/>
  <c r="M431" i="102"/>
  <c r="M430" i="102"/>
  <c r="M429" i="102"/>
  <c r="M428" i="102"/>
  <c r="M427" i="102"/>
  <c r="M426" i="102"/>
  <c r="M425" i="102"/>
  <c r="M424" i="102"/>
  <c r="M423" i="102"/>
  <c r="M422" i="102"/>
  <c r="M421" i="102"/>
  <c r="M420" i="102"/>
  <c r="M419" i="102"/>
  <c r="M418" i="102"/>
  <c r="M417" i="102"/>
  <c r="M416" i="102"/>
  <c r="M415" i="102"/>
  <c r="M414" i="102"/>
  <c r="M413" i="102"/>
  <c r="M412" i="102"/>
  <c r="M411" i="102"/>
  <c r="M410" i="102"/>
  <c r="M409" i="102"/>
  <c r="M408" i="102"/>
  <c r="M407" i="102"/>
  <c r="M406" i="102"/>
  <c r="M405" i="102"/>
  <c r="M404" i="102"/>
  <c r="M403" i="102"/>
  <c r="M402" i="102"/>
  <c r="M401" i="102"/>
  <c r="M400" i="102"/>
  <c r="M399" i="102"/>
  <c r="M398" i="102"/>
  <c r="M397" i="102"/>
  <c r="M396" i="102"/>
  <c r="M395" i="102"/>
  <c r="M18" i="43" s="1" a="1"/>
  <c r="M18" i="43" s="1"/>
  <c r="M394" i="102"/>
  <c r="M393" i="102"/>
  <c r="M392" i="102"/>
  <c r="M391" i="102"/>
  <c r="M390" i="102"/>
  <c r="M389" i="102"/>
  <c r="M388" i="102"/>
  <c r="M387" i="102"/>
  <c r="M386" i="102"/>
  <c r="M385" i="102"/>
  <c r="M384" i="102"/>
  <c r="M383" i="102"/>
  <c r="M382" i="102"/>
  <c r="M381" i="102"/>
  <c r="M380" i="102"/>
  <c r="M379" i="102"/>
  <c r="M378" i="102"/>
  <c r="M377" i="102"/>
  <c r="M376" i="102"/>
  <c r="M375" i="102"/>
  <c r="M374" i="102"/>
  <c r="M373" i="102"/>
  <c r="M372" i="102"/>
  <c r="M371" i="102"/>
  <c r="M370" i="102"/>
  <c r="M369" i="102"/>
  <c r="M368" i="102"/>
  <c r="M367" i="102"/>
  <c r="M366" i="102"/>
  <c r="M365" i="102"/>
  <c r="M364" i="102"/>
  <c r="M363" i="102"/>
  <c r="M362" i="102"/>
  <c r="M361" i="102"/>
  <c r="M360" i="102"/>
  <c r="M359" i="102"/>
  <c r="M358" i="102"/>
  <c r="M357" i="102"/>
  <c r="M356" i="102"/>
  <c r="M355" i="102"/>
  <c r="M354" i="102"/>
  <c r="M353" i="102"/>
  <c r="M352" i="102"/>
  <c r="M17" i="43" s="1" a="1"/>
  <c r="M17" i="43" s="1"/>
  <c r="M351" i="102"/>
  <c r="M350" i="102"/>
  <c r="M349" i="102"/>
  <c r="M348" i="102"/>
  <c r="M347" i="102"/>
  <c r="M346" i="102"/>
  <c r="M345" i="102"/>
  <c r="M344" i="102"/>
  <c r="M343" i="102"/>
  <c r="M342" i="102"/>
  <c r="M341" i="102"/>
  <c r="M340" i="102"/>
  <c r="M339" i="102"/>
  <c r="M338" i="102"/>
  <c r="M337" i="102"/>
  <c r="M336" i="102"/>
  <c r="M335" i="102"/>
  <c r="M334" i="102"/>
  <c r="M333" i="102"/>
  <c r="M332" i="102"/>
  <c r="M331" i="102"/>
  <c r="M330" i="102"/>
  <c r="M329" i="102"/>
  <c r="M328" i="102"/>
  <c r="M327" i="102"/>
  <c r="M326" i="102"/>
  <c r="M325" i="102"/>
  <c r="M324" i="102"/>
  <c r="M323" i="102"/>
  <c r="M322" i="102"/>
  <c r="M321" i="102"/>
  <c r="M320" i="102"/>
  <c r="M319" i="102"/>
  <c r="M318" i="102"/>
  <c r="M317" i="102"/>
  <c r="M316" i="102"/>
  <c r="M315" i="102"/>
  <c r="M314" i="102"/>
  <c r="M313" i="102"/>
  <c r="M312" i="102"/>
  <c r="M311" i="102"/>
  <c r="M310" i="102"/>
  <c r="M309" i="102"/>
  <c r="M16" i="43" s="1" a="1"/>
  <c r="M16" i="43" s="1"/>
  <c r="M308" i="102"/>
  <c r="M307" i="102"/>
  <c r="M306" i="102"/>
  <c r="M305" i="102"/>
  <c r="M304" i="102"/>
  <c r="M303" i="102"/>
  <c r="M302" i="102"/>
  <c r="M301" i="102"/>
  <c r="M300" i="102"/>
  <c r="M299" i="102"/>
  <c r="M298" i="102"/>
  <c r="M297" i="102"/>
  <c r="M296" i="102"/>
  <c r="M295" i="102"/>
  <c r="M294" i="102"/>
  <c r="M293" i="102"/>
  <c r="M292" i="102"/>
  <c r="M291" i="102"/>
  <c r="M290" i="102"/>
  <c r="M289" i="102"/>
  <c r="M288" i="102"/>
  <c r="M287" i="102"/>
  <c r="M286" i="102"/>
  <c r="M285" i="102"/>
  <c r="M284" i="102"/>
  <c r="M283" i="102"/>
  <c r="M282" i="102"/>
  <c r="M281" i="102"/>
  <c r="M280" i="102"/>
  <c r="M279" i="102"/>
  <c r="M278" i="102"/>
  <c r="M277" i="102"/>
  <c r="M276" i="102"/>
  <c r="M275" i="102"/>
  <c r="M274" i="102"/>
  <c r="M273" i="102"/>
  <c r="M272" i="102"/>
  <c r="M271" i="102"/>
  <c r="M270" i="102"/>
  <c r="M269" i="102"/>
  <c r="M268" i="102"/>
  <c r="M267" i="102"/>
  <c r="M266" i="102"/>
  <c r="M15" i="43" s="1" a="1"/>
  <c r="M15" i="43" s="1"/>
  <c r="M265" i="102"/>
  <c r="M264" i="102"/>
  <c r="M263" i="102"/>
  <c r="M262" i="102"/>
  <c r="M261" i="102"/>
  <c r="M260" i="102"/>
  <c r="M259" i="102"/>
  <c r="M258" i="102"/>
  <c r="M257" i="102"/>
  <c r="M256" i="102"/>
  <c r="M255" i="102"/>
  <c r="M254" i="102"/>
  <c r="M253" i="102"/>
  <c r="M252" i="102"/>
  <c r="M251" i="102"/>
  <c r="M250" i="102"/>
  <c r="M249" i="102"/>
  <c r="M248" i="102"/>
  <c r="M247" i="102"/>
  <c r="M246" i="102"/>
  <c r="M245" i="102"/>
  <c r="M244" i="102"/>
  <c r="M243" i="102"/>
  <c r="M242" i="102"/>
  <c r="M241" i="102"/>
  <c r="M240" i="102"/>
  <c r="M239" i="102"/>
  <c r="M238" i="102"/>
  <c r="M237" i="102"/>
  <c r="M236" i="102"/>
  <c r="M235" i="102"/>
  <c r="M234" i="102"/>
  <c r="M233" i="102"/>
  <c r="M232" i="102"/>
  <c r="M231" i="102"/>
  <c r="M230" i="102"/>
  <c r="M229" i="102"/>
  <c r="M228" i="102"/>
  <c r="M227" i="102"/>
  <c r="M226" i="102"/>
  <c r="M225" i="102"/>
  <c r="M224" i="102"/>
  <c r="M223" i="102"/>
  <c r="M14" i="43" s="1" a="1"/>
  <c r="M14" i="43" s="1"/>
  <c r="M222" i="102"/>
  <c r="M221" i="102"/>
  <c r="M220" i="102"/>
  <c r="M219" i="102"/>
  <c r="M218" i="102"/>
  <c r="M217" i="102"/>
  <c r="M216" i="102"/>
  <c r="M215" i="102"/>
  <c r="M214" i="102"/>
  <c r="M213" i="102"/>
  <c r="M212" i="102"/>
  <c r="M211" i="102"/>
  <c r="M210" i="102"/>
  <c r="M209" i="102"/>
  <c r="M208" i="102"/>
  <c r="M207" i="102"/>
  <c r="M206" i="102"/>
  <c r="M205" i="102"/>
  <c r="M204" i="102"/>
  <c r="M203" i="102"/>
  <c r="M202" i="102"/>
  <c r="M201" i="102"/>
  <c r="M200" i="102"/>
  <c r="M199" i="102"/>
  <c r="M198" i="102"/>
  <c r="M197" i="102"/>
  <c r="M196" i="102"/>
  <c r="M195" i="102"/>
  <c r="M194" i="102"/>
  <c r="M193" i="102"/>
  <c r="M192" i="102"/>
  <c r="M191" i="102"/>
  <c r="M190" i="102"/>
  <c r="M189" i="102"/>
  <c r="M188" i="102"/>
  <c r="M187" i="102"/>
  <c r="M186" i="102"/>
  <c r="M185" i="102"/>
  <c r="M184" i="102"/>
  <c r="M183" i="102"/>
  <c r="M182" i="102"/>
  <c r="M181" i="102"/>
  <c r="M180" i="102"/>
  <c r="M13" i="43" s="1" a="1"/>
  <c r="M13" i="43" s="1"/>
  <c r="M179" i="102"/>
  <c r="M178" i="102"/>
  <c r="M177" i="102"/>
  <c r="M176" i="102"/>
  <c r="M175" i="102"/>
  <c r="M174" i="102"/>
  <c r="M173" i="102"/>
  <c r="M172" i="102"/>
  <c r="M171" i="102"/>
  <c r="M170" i="102"/>
  <c r="M169" i="102"/>
  <c r="M168" i="102"/>
  <c r="M167" i="102"/>
  <c r="M166" i="102"/>
  <c r="M165" i="102"/>
  <c r="M164" i="102"/>
  <c r="M163" i="102"/>
  <c r="M162" i="102"/>
  <c r="M161" i="102"/>
  <c r="M160" i="102"/>
  <c r="M159" i="102"/>
  <c r="M158" i="102"/>
  <c r="M157" i="102"/>
  <c r="M156" i="102"/>
  <c r="M155" i="102"/>
  <c r="M154" i="102"/>
  <c r="M153" i="102"/>
  <c r="M152" i="102"/>
  <c r="M151" i="102"/>
  <c r="M150" i="102"/>
  <c r="M149" i="102"/>
  <c r="M148" i="102"/>
  <c r="M147" i="102"/>
  <c r="M146" i="102"/>
  <c r="M145" i="102"/>
  <c r="M144" i="102"/>
  <c r="M143" i="102"/>
  <c r="M142" i="102"/>
  <c r="M141" i="102"/>
  <c r="M140" i="102"/>
  <c r="M139" i="102"/>
  <c r="M138" i="102"/>
  <c r="M137" i="102"/>
  <c r="M12" i="43" s="1" a="1"/>
  <c r="M12" i="43" s="1"/>
  <c r="M136" i="102"/>
  <c r="M135" i="102"/>
  <c r="M134" i="102"/>
  <c r="M133" i="102"/>
  <c r="M132" i="102"/>
  <c r="M131" i="102"/>
  <c r="M130" i="102"/>
  <c r="M129" i="102"/>
  <c r="M128" i="102"/>
  <c r="M127" i="102"/>
  <c r="M126" i="102"/>
  <c r="M125" i="102"/>
  <c r="M124" i="102"/>
  <c r="M123" i="102"/>
  <c r="M122" i="102"/>
  <c r="M121" i="102"/>
  <c r="M120" i="102"/>
  <c r="M119" i="102"/>
  <c r="M118" i="102"/>
  <c r="M117" i="102"/>
  <c r="M116" i="102"/>
  <c r="M115" i="102"/>
  <c r="M114" i="102"/>
  <c r="M113" i="102"/>
  <c r="M112" i="102"/>
  <c r="M111" i="102"/>
  <c r="M110" i="102"/>
  <c r="M109" i="102"/>
  <c r="M108" i="102"/>
  <c r="M107" i="102"/>
  <c r="M106" i="102"/>
  <c r="M105" i="102"/>
  <c r="M104" i="102"/>
  <c r="M103" i="102"/>
  <c r="M102" i="102"/>
  <c r="M101" i="102"/>
  <c r="M100" i="102"/>
  <c r="M99" i="102"/>
  <c r="M98" i="102"/>
  <c r="M97" i="102"/>
  <c r="M96" i="102"/>
  <c r="M95" i="102"/>
  <c r="M94" i="102"/>
  <c r="M11" i="43" s="1" a="1"/>
  <c r="M11" i="43" s="1"/>
  <c r="M93" i="102"/>
  <c r="M92" i="102"/>
  <c r="M91" i="102"/>
  <c r="M90" i="102"/>
  <c r="M89" i="102"/>
  <c r="M88" i="102"/>
  <c r="M87" i="102"/>
  <c r="M86" i="102"/>
  <c r="M85" i="102"/>
  <c r="M84" i="102"/>
  <c r="M83" i="102"/>
  <c r="M82" i="102"/>
  <c r="M81" i="102"/>
  <c r="M80" i="102"/>
  <c r="M79" i="102"/>
  <c r="M78" i="102"/>
  <c r="M77" i="102"/>
  <c r="M76" i="102"/>
  <c r="M75" i="102"/>
  <c r="M74" i="102"/>
  <c r="M73" i="102"/>
  <c r="M72" i="102"/>
  <c r="M71" i="102"/>
  <c r="M70" i="102"/>
  <c r="M69" i="102"/>
  <c r="M68" i="102"/>
  <c r="M67" i="102"/>
  <c r="M66" i="102"/>
  <c r="M65" i="102"/>
  <c r="M64" i="102"/>
  <c r="M63" i="102"/>
  <c r="M62" i="102"/>
  <c r="M61" i="102"/>
  <c r="M60" i="102"/>
  <c r="M59" i="102"/>
  <c r="M58" i="102"/>
  <c r="M57" i="102"/>
  <c r="M56" i="102"/>
  <c r="M55" i="102"/>
  <c r="M54" i="102"/>
  <c r="M53" i="102"/>
  <c r="M52" i="102"/>
  <c r="M51" i="102"/>
  <c r="M10" i="43" s="1" a="1"/>
  <c r="M10" i="43" s="1"/>
  <c r="M50" i="102"/>
  <c r="M49" i="102"/>
  <c r="M48" i="102"/>
  <c r="M47" i="102"/>
  <c r="M46" i="102"/>
  <c r="M45" i="102"/>
  <c r="M44" i="102"/>
  <c r="M43" i="102"/>
  <c r="M42" i="102"/>
  <c r="M41" i="102"/>
  <c r="M40" i="102"/>
  <c r="M39" i="102"/>
  <c r="M38" i="102"/>
  <c r="M37" i="102"/>
  <c r="M36" i="102"/>
  <c r="M35" i="102"/>
  <c r="M34" i="102"/>
  <c r="M33" i="102"/>
  <c r="M32" i="102"/>
  <c r="M31" i="102"/>
  <c r="M30" i="102"/>
  <c r="M29" i="102"/>
  <c r="M28" i="102"/>
  <c r="M27" i="102"/>
  <c r="M26" i="102"/>
  <c r="M25" i="102"/>
  <c r="M24" i="102"/>
  <c r="M23" i="102"/>
  <c r="M22" i="102"/>
  <c r="M21" i="102"/>
  <c r="M20" i="102"/>
  <c r="M19" i="102"/>
  <c r="M18" i="102"/>
  <c r="M17" i="102"/>
  <c r="M16" i="102"/>
  <c r="M15" i="102"/>
  <c r="M14" i="102"/>
  <c r="M13" i="102"/>
  <c r="M12" i="102"/>
  <c r="M11" i="102"/>
  <c r="M10" i="102"/>
  <c r="M9" i="102"/>
  <c r="M8" i="102"/>
  <c r="M9" i="43" s="1" a="1"/>
  <c r="M9" i="43" s="1"/>
  <c r="M7" i="102"/>
  <c r="M6" i="102"/>
  <c r="M5" i="102"/>
  <c r="A1" i="66"/>
  <c r="L4" i="65"/>
  <c r="K4" i="65"/>
  <c r="J4" i="65"/>
  <c r="I4" i="65"/>
  <c r="H4" i="65"/>
  <c r="G4" i="65"/>
  <c r="F4" i="65"/>
  <c r="E4" i="65"/>
  <c r="D4" i="65"/>
  <c r="C4" i="65"/>
  <c r="A4" i="65"/>
  <c r="A1" i="65"/>
  <c r="E147" i="64"/>
  <c r="E147" i="65" s="1"/>
  <c r="E147" i="66" s="1"/>
  <c r="D147" i="64"/>
  <c r="D147" i="65" s="1"/>
  <c r="D147" i="66" s="1"/>
  <c r="C147" i="64"/>
  <c r="C147" i="65" s="1"/>
  <c r="C147" i="66" s="1"/>
  <c r="B147" i="64"/>
  <c r="B147" i="65" s="1"/>
  <c r="A147" i="64"/>
  <c r="E146" i="64"/>
  <c r="E146" i="65" s="1"/>
  <c r="E146" i="66" s="1"/>
  <c r="D146" i="64"/>
  <c r="D146" i="65" s="1"/>
  <c r="D146" i="66" s="1"/>
  <c r="C146" i="64"/>
  <c r="C146" i="65" s="1"/>
  <c r="C146" i="66" s="1"/>
  <c r="B146" i="64"/>
  <c r="A146" i="64"/>
  <c r="E145" i="64"/>
  <c r="E145" i="65" s="1"/>
  <c r="E145" i="66" s="1"/>
  <c r="D145" i="64"/>
  <c r="D145" i="65" s="1"/>
  <c r="D145" i="66" s="1"/>
  <c r="C145" i="64"/>
  <c r="C145" i="65" s="1"/>
  <c r="C145" i="66" s="1"/>
  <c r="B145" i="64"/>
  <c r="B145" i="65" s="1"/>
  <c r="A145" i="64"/>
  <c r="E144" i="64"/>
  <c r="E144" i="65" s="1"/>
  <c r="E144" i="66" s="1"/>
  <c r="D144" i="64"/>
  <c r="D144" i="65" s="1"/>
  <c r="D144" i="66" s="1"/>
  <c r="C144" i="64"/>
  <c r="C144" i="65" s="1"/>
  <c r="C144" i="66" s="1"/>
  <c r="B144" i="64"/>
  <c r="A144" i="64"/>
  <c r="E143" i="64"/>
  <c r="E143" i="65" s="1"/>
  <c r="E143" i="66" s="1"/>
  <c r="D143" i="64"/>
  <c r="D143" i="65" s="1"/>
  <c r="D143" i="66" s="1"/>
  <c r="C143" i="64"/>
  <c r="C143" i="65" s="1"/>
  <c r="C143" i="66" s="1"/>
  <c r="B143" i="64"/>
  <c r="A143" i="64"/>
  <c r="A143" i="65" s="1"/>
  <c r="A144" i="66" s="1"/>
  <c r="E142" i="64"/>
  <c r="E142" i="65" s="1"/>
  <c r="E142" i="66" s="1"/>
  <c r="D142" i="64"/>
  <c r="D142" i="65" s="1"/>
  <c r="D142" i="66" s="1"/>
  <c r="C142" i="64"/>
  <c r="C142" i="65" s="1"/>
  <c r="C142" i="66" s="1"/>
  <c r="B142" i="64"/>
  <c r="B142" i="65" s="1"/>
  <c r="A142" i="64"/>
  <c r="A142" i="65" s="1"/>
  <c r="A143" i="66" s="1"/>
  <c r="E141" i="64"/>
  <c r="E141" i="65" s="1"/>
  <c r="E141" i="66" s="1"/>
  <c r="D141" i="64"/>
  <c r="D141" i="65" s="1"/>
  <c r="D141" i="66" s="1"/>
  <c r="C141" i="64"/>
  <c r="C141" i="65" s="1"/>
  <c r="C141" i="66" s="1"/>
  <c r="B141" i="64"/>
  <c r="A141" i="64"/>
  <c r="A141" i="65" s="1"/>
  <c r="A142" i="66" s="1"/>
  <c r="E140" i="64"/>
  <c r="E140" i="65" s="1"/>
  <c r="E140" i="66" s="1"/>
  <c r="D140" i="64"/>
  <c r="D140" i="65" s="1"/>
  <c r="D140" i="66" s="1"/>
  <c r="C140" i="64"/>
  <c r="C140" i="65" s="1"/>
  <c r="C140" i="66" s="1"/>
  <c r="B140" i="64"/>
  <c r="A140" i="64"/>
  <c r="A140" i="65" s="1"/>
  <c r="A141" i="66" s="1"/>
  <c r="E139" i="64"/>
  <c r="E139" i="65" s="1"/>
  <c r="E139" i="66" s="1"/>
  <c r="D139" i="64"/>
  <c r="D139" i="65" s="1"/>
  <c r="D139" i="66" s="1"/>
  <c r="C139" i="64"/>
  <c r="C139" i="65" s="1"/>
  <c r="C139" i="66" s="1"/>
  <c r="B139" i="64"/>
  <c r="A139" i="64"/>
  <c r="E138" i="64"/>
  <c r="E138" i="65" s="1"/>
  <c r="E138" i="66" s="1"/>
  <c r="D138" i="64"/>
  <c r="D138" i="65" s="1"/>
  <c r="D138" i="66" s="1"/>
  <c r="C138" i="64"/>
  <c r="C138" i="65" s="1"/>
  <c r="C138" i="66" s="1"/>
  <c r="B138" i="64"/>
  <c r="A138" i="64"/>
  <c r="A138" i="65" s="1"/>
  <c r="A139" i="66" s="1"/>
  <c r="E137" i="64"/>
  <c r="E137" i="65" s="1"/>
  <c r="E137" i="66" s="1"/>
  <c r="D137" i="64"/>
  <c r="D137" i="65" s="1"/>
  <c r="D137" i="66" s="1"/>
  <c r="C137" i="64"/>
  <c r="C137" i="65" s="1"/>
  <c r="C137" i="66" s="1"/>
  <c r="B137" i="64"/>
  <c r="A137" i="64"/>
  <c r="A137" i="65" s="1"/>
  <c r="A138" i="66" s="1"/>
  <c r="E136" i="64"/>
  <c r="E136" i="65" s="1"/>
  <c r="E136" i="66" s="1"/>
  <c r="D136" i="64"/>
  <c r="D136" i="65" s="1"/>
  <c r="D136" i="66" s="1"/>
  <c r="C136" i="64"/>
  <c r="C136" i="65" s="1"/>
  <c r="C136" i="66" s="1"/>
  <c r="B136" i="64"/>
  <c r="B136" i="65" s="1"/>
  <c r="A136" i="64"/>
  <c r="E135" i="64"/>
  <c r="E135" i="65" s="1"/>
  <c r="E135" i="66" s="1"/>
  <c r="D135" i="64"/>
  <c r="D135" i="65" s="1"/>
  <c r="D135" i="66" s="1"/>
  <c r="C135" i="64"/>
  <c r="C135" i="65" s="1"/>
  <c r="C135" i="66" s="1"/>
  <c r="B135" i="64"/>
  <c r="A135" i="64"/>
  <c r="E134" i="64"/>
  <c r="E134" i="65" s="1"/>
  <c r="E134" i="66" s="1"/>
  <c r="D134" i="64"/>
  <c r="D134" i="65" s="1"/>
  <c r="D134" i="66" s="1"/>
  <c r="C134" i="64"/>
  <c r="C134" i="65" s="1"/>
  <c r="C134" i="66" s="1"/>
  <c r="B134" i="64"/>
  <c r="A134" i="64"/>
  <c r="E133" i="64"/>
  <c r="E133" i="65" s="1"/>
  <c r="E133" i="66" s="1"/>
  <c r="D133" i="64"/>
  <c r="D133" i="65" s="1"/>
  <c r="D133" i="66" s="1"/>
  <c r="C133" i="64"/>
  <c r="C133" i="65" s="1"/>
  <c r="C133" i="66" s="1"/>
  <c r="B133" i="64"/>
  <c r="A133" i="64"/>
  <c r="E132" i="64"/>
  <c r="E132" i="65" s="1"/>
  <c r="E132" i="66" s="1"/>
  <c r="D132" i="64"/>
  <c r="D132" i="65" s="1"/>
  <c r="D132" i="66" s="1"/>
  <c r="C132" i="64"/>
  <c r="C132" i="65" s="1"/>
  <c r="C132" i="66" s="1"/>
  <c r="B132" i="64"/>
  <c r="A132" i="64"/>
  <c r="A132" i="65" s="1"/>
  <c r="A133" i="66" s="1"/>
  <c r="E131" i="64"/>
  <c r="E131" i="65" s="1"/>
  <c r="E131" i="66" s="1"/>
  <c r="D131" i="64"/>
  <c r="D131" i="65" s="1"/>
  <c r="D131" i="66" s="1"/>
  <c r="C131" i="64"/>
  <c r="C131" i="65" s="1"/>
  <c r="C131" i="66" s="1"/>
  <c r="B131" i="64"/>
  <c r="A131" i="64"/>
  <c r="A131" i="65" s="1"/>
  <c r="A132" i="66" s="1"/>
  <c r="E130" i="64"/>
  <c r="E130" i="65" s="1"/>
  <c r="E130" i="66" s="1"/>
  <c r="D130" i="64"/>
  <c r="D130" i="65" s="1"/>
  <c r="D130" i="66" s="1"/>
  <c r="C130" i="64"/>
  <c r="C130" i="65" s="1"/>
  <c r="C130" i="66" s="1"/>
  <c r="B130" i="64"/>
  <c r="A130" i="64"/>
  <c r="A130" i="65" s="1"/>
  <c r="A131" i="66" s="1"/>
  <c r="E129" i="64"/>
  <c r="E129" i="65" s="1"/>
  <c r="E129" i="66" s="1"/>
  <c r="D129" i="64"/>
  <c r="D129" i="65" s="1"/>
  <c r="D129" i="66" s="1"/>
  <c r="C129" i="64"/>
  <c r="C129" i="65" s="1"/>
  <c r="C129" i="66" s="1"/>
  <c r="B129" i="64"/>
  <c r="A129" i="64"/>
  <c r="E128" i="64"/>
  <c r="E128" i="65" s="1"/>
  <c r="E128" i="66" s="1"/>
  <c r="D128" i="64"/>
  <c r="D128" i="65" s="1"/>
  <c r="D128" i="66" s="1"/>
  <c r="C128" i="64"/>
  <c r="C128" i="65" s="1"/>
  <c r="C128" i="66" s="1"/>
  <c r="B128" i="64"/>
  <c r="A128" i="64"/>
  <c r="E127" i="64"/>
  <c r="E127" i="65" s="1"/>
  <c r="E127" i="66" s="1"/>
  <c r="D127" i="64"/>
  <c r="D127" i="65" s="1"/>
  <c r="D127" i="66" s="1"/>
  <c r="C127" i="64"/>
  <c r="C127" i="65" s="1"/>
  <c r="C127" i="66" s="1"/>
  <c r="B127" i="64"/>
  <c r="A127" i="64"/>
  <c r="E126" i="64"/>
  <c r="E126" i="65" s="1"/>
  <c r="E126" i="66" s="1"/>
  <c r="D126" i="64"/>
  <c r="D126" i="65" s="1"/>
  <c r="D126" i="66" s="1"/>
  <c r="C126" i="64"/>
  <c r="C126" i="65" s="1"/>
  <c r="C126" i="66" s="1"/>
  <c r="B126" i="64"/>
  <c r="A126" i="64"/>
  <c r="E125" i="64"/>
  <c r="E125" i="65" s="1"/>
  <c r="E125" i="66" s="1"/>
  <c r="D125" i="64"/>
  <c r="D125" i="65" s="1"/>
  <c r="D125" i="66" s="1"/>
  <c r="C125" i="64"/>
  <c r="C125" i="65" s="1"/>
  <c r="C125" i="66" s="1"/>
  <c r="B125" i="64"/>
  <c r="A125" i="64"/>
  <c r="E124" i="64"/>
  <c r="E124" i="65" s="1"/>
  <c r="E124" i="66" s="1"/>
  <c r="D124" i="64"/>
  <c r="D124" i="65" s="1"/>
  <c r="D124" i="66" s="1"/>
  <c r="C124" i="64"/>
  <c r="C124" i="65" s="1"/>
  <c r="C124" i="66" s="1"/>
  <c r="B124" i="64"/>
  <c r="A124" i="64"/>
  <c r="E123" i="64"/>
  <c r="E123" i="65" s="1"/>
  <c r="E123" i="66" s="1"/>
  <c r="D123" i="64"/>
  <c r="D123" i="65" s="1"/>
  <c r="D123" i="66" s="1"/>
  <c r="C123" i="64"/>
  <c r="C123" i="65" s="1"/>
  <c r="C123" i="66" s="1"/>
  <c r="B123" i="64"/>
  <c r="B123" i="65" s="1"/>
  <c r="A123" i="64"/>
  <c r="A123" i="65" s="1"/>
  <c r="A124" i="66" s="1"/>
  <c r="E122" i="64"/>
  <c r="E122" i="65" s="1"/>
  <c r="E122" i="66" s="1"/>
  <c r="D122" i="64"/>
  <c r="D122" i="65" s="1"/>
  <c r="D122" i="66" s="1"/>
  <c r="C122" i="64"/>
  <c r="C122" i="65" s="1"/>
  <c r="C122" i="66" s="1"/>
  <c r="B122" i="64"/>
  <c r="A122" i="64"/>
  <c r="E121" i="64"/>
  <c r="E121" i="65" s="1"/>
  <c r="E121" i="66" s="1"/>
  <c r="D121" i="64"/>
  <c r="D121" i="65" s="1"/>
  <c r="D121" i="66" s="1"/>
  <c r="C121" i="64"/>
  <c r="C121" i="65" s="1"/>
  <c r="C121" i="66" s="1"/>
  <c r="B121" i="64"/>
  <c r="A121" i="64"/>
  <c r="E120" i="64"/>
  <c r="E120" i="65" s="1"/>
  <c r="E120" i="66" s="1"/>
  <c r="D120" i="64"/>
  <c r="D120" i="65" s="1"/>
  <c r="D120" i="66" s="1"/>
  <c r="C120" i="64"/>
  <c r="C120" i="65" s="1"/>
  <c r="C120" i="66" s="1"/>
  <c r="B120" i="64"/>
  <c r="A120" i="64"/>
  <c r="E119" i="64"/>
  <c r="E119" i="65" s="1"/>
  <c r="E119" i="66" s="1"/>
  <c r="D119" i="64"/>
  <c r="D119" i="65" s="1"/>
  <c r="D119" i="66" s="1"/>
  <c r="C119" i="64"/>
  <c r="C119" i="65" s="1"/>
  <c r="C119" i="66" s="1"/>
  <c r="B119" i="64"/>
  <c r="B119" i="65" s="1"/>
  <c r="A119" i="64"/>
  <c r="E118" i="64"/>
  <c r="E118" i="65" s="1"/>
  <c r="E118" i="66" s="1"/>
  <c r="D118" i="64"/>
  <c r="D118" i="65" s="1"/>
  <c r="D118" i="66" s="1"/>
  <c r="C118" i="64"/>
  <c r="C118" i="65" s="1"/>
  <c r="C118" i="66" s="1"/>
  <c r="B118" i="64"/>
  <c r="B118" i="65" s="1"/>
  <c r="A118" i="64"/>
  <c r="A118" i="65" s="1"/>
  <c r="A119" i="66" s="1"/>
  <c r="E117" i="64"/>
  <c r="E117" i="65" s="1"/>
  <c r="E117" i="66" s="1"/>
  <c r="D117" i="64"/>
  <c r="D117" i="65" s="1"/>
  <c r="D117" i="66" s="1"/>
  <c r="C117" i="64"/>
  <c r="C117" i="65" s="1"/>
  <c r="C117" i="66" s="1"/>
  <c r="B117" i="64"/>
  <c r="A117" i="64"/>
  <c r="A117" i="65" s="1"/>
  <c r="A118" i="66" s="1"/>
  <c r="E116" i="64"/>
  <c r="E116" i="65" s="1"/>
  <c r="E116" i="66" s="1"/>
  <c r="D116" i="64"/>
  <c r="D116" i="65" s="1"/>
  <c r="D116" i="66" s="1"/>
  <c r="C116" i="64"/>
  <c r="C116" i="65" s="1"/>
  <c r="C116" i="66" s="1"/>
  <c r="B116" i="64"/>
  <c r="A116" i="64"/>
  <c r="A116" i="65" s="1"/>
  <c r="A117" i="66" s="1"/>
  <c r="E115" i="64"/>
  <c r="E115" i="65" s="1"/>
  <c r="E115" i="66" s="1"/>
  <c r="D115" i="64"/>
  <c r="D115" i="65" s="1"/>
  <c r="D115" i="66" s="1"/>
  <c r="C115" i="64"/>
  <c r="C115" i="65" s="1"/>
  <c r="C115" i="66" s="1"/>
  <c r="B115" i="64"/>
  <c r="A115" i="64"/>
  <c r="E114" i="64"/>
  <c r="E114" i="65" s="1"/>
  <c r="E114" i="66" s="1"/>
  <c r="D114" i="64"/>
  <c r="D114" i="65" s="1"/>
  <c r="D114" i="66" s="1"/>
  <c r="C114" i="64"/>
  <c r="C114" i="65" s="1"/>
  <c r="C114" i="66" s="1"/>
  <c r="B114" i="64"/>
  <c r="A114" i="64"/>
  <c r="E113" i="64"/>
  <c r="E113" i="65" s="1"/>
  <c r="E113" i="66" s="1"/>
  <c r="D113" i="64"/>
  <c r="D113" i="65" s="1"/>
  <c r="D113" i="66" s="1"/>
  <c r="C113" i="64"/>
  <c r="C113" i="65" s="1"/>
  <c r="C113" i="66" s="1"/>
  <c r="B113" i="64"/>
  <c r="A113" i="64"/>
  <c r="A113" i="65" s="1"/>
  <c r="A114" i="66" s="1"/>
  <c r="E112" i="64"/>
  <c r="E112" i="65" s="1"/>
  <c r="E112" i="66" s="1"/>
  <c r="D112" i="64"/>
  <c r="D112" i="65" s="1"/>
  <c r="D112" i="66" s="1"/>
  <c r="C112" i="64"/>
  <c r="C112" i="65" s="1"/>
  <c r="C112" i="66" s="1"/>
  <c r="B112" i="64"/>
  <c r="A112" i="64"/>
  <c r="E111" i="64"/>
  <c r="E111" i="65" s="1"/>
  <c r="E111" i="66" s="1"/>
  <c r="D111" i="64"/>
  <c r="D111" i="65" s="1"/>
  <c r="D111" i="66" s="1"/>
  <c r="C111" i="64"/>
  <c r="C111" i="65" s="1"/>
  <c r="C111" i="66" s="1"/>
  <c r="B111" i="64"/>
  <c r="A111" i="64"/>
  <c r="E110" i="64"/>
  <c r="E110" i="65" s="1"/>
  <c r="E110" i="66" s="1"/>
  <c r="D110" i="64"/>
  <c r="D110" i="65" s="1"/>
  <c r="D110" i="66" s="1"/>
  <c r="C110" i="64"/>
  <c r="C110" i="65" s="1"/>
  <c r="C110" i="66" s="1"/>
  <c r="B110" i="64"/>
  <c r="A110" i="64"/>
  <c r="E109" i="64"/>
  <c r="E109" i="65" s="1"/>
  <c r="E109" i="66" s="1"/>
  <c r="D109" i="64"/>
  <c r="D109" i="65" s="1"/>
  <c r="D109" i="66" s="1"/>
  <c r="C109" i="64"/>
  <c r="C109" i="65" s="1"/>
  <c r="C109" i="66" s="1"/>
  <c r="B109" i="64"/>
  <c r="B109" i="65" s="1"/>
  <c r="A109" i="64"/>
  <c r="A109" i="65" s="1"/>
  <c r="A110" i="66" s="1"/>
  <c r="E108" i="64"/>
  <c r="E108" i="65" s="1"/>
  <c r="E108" i="66" s="1"/>
  <c r="D108" i="64"/>
  <c r="D108" i="65" s="1"/>
  <c r="D108" i="66" s="1"/>
  <c r="C108" i="64"/>
  <c r="C108" i="65" s="1"/>
  <c r="C108" i="66" s="1"/>
  <c r="B108" i="64"/>
  <c r="A108" i="64"/>
  <c r="E107" i="64"/>
  <c r="E107" i="65" s="1"/>
  <c r="E107" i="66" s="1"/>
  <c r="D107" i="64"/>
  <c r="D107" i="65" s="1"/>
  <c r="D107" i="66" s="1"/>
  <c r="C107" i="64"/>
  <c r="C107" i="65" s="1"/>
  <c r="C107" i="66" s="1"/>
  <c r="B107" i="64"/>
  <c r="A107" i="64"/>
  <c r="A107" i="65" s="1"/>
  <c r="A108" i="66" s="1"/>
  <c r="E106" i="64"/>
  <c r="E106" i="65" s="1"/>
  <c r="E106" i="66" s="1"/>
  <c r="D106" i="64"/>
  <c r="D106" i="65" s="1"/>
  <c r="D106" i="66" s="1"/>
  <c r="C106" i="64"/>
  <c r="C106" i="65" s="1"/>
  <c r="C106" i="66" s="1"/>
  <c r="B106" i="64"/>
  <c r="B106" i="65" s="1"/>
  <c r="A106" i="64"/>
  <c r="A106" i="65" s="1"/>
  <c r="A107" i="66" s="1"/>
  <c r="E105" i="64"/>
  <c r="E105" i="65" s="1"/>
  <c r="E105" i="66" s="1"/>
  <c r="D105" i="64"/>
  <c r="D105" i="65" s="1"/>
  <c r="D105" i="66" s="1"/>
  <c r="C105" i="64"/>
  <c r="C105" i="65" s="1"/>
  <c r="C105" i="66" s="1"/>
  <c r="B105" i="64"/>
  <c r="A105" i="64"/>
  <c r="A105" i="65" s="1"/>
  <c r="A106" i="66" s="1"/>
  <c r="E104" i="64"/>
  <c r="E104" i="65" s="1"/>
  <c r="E104" i="66" s="1"/>
  <c r="D104" i="64"/>
  <c r="D104" i="65" s="1"/>
  <c r="D104" i="66" s="1"/>
  <c r="C104" i="64"/>
  <c r="C104" i="65" s="1"/>
  <c r="C104" i="66" s="1"/>
  <c r="B104" i="64"/>
  <c r="A104" i="64"/>
  <c r="A104" i="65" s="1"/>
  <c r="A105" i="66" s="1"/>
  <c r="E103" i="64"/>
  <c r="E103" i="65" s="1"/>
  <c r="E103" i="66" s="1"/>
  <c r="D103" i="64"/>
  <c r="D103" i="65" s="1"/>
  <c r="D103" i="66" s="1"/>
  <c r="C103" i="64"/>
  <c r="C103" i="65" s="1"/>
  <c r="C103" i="66" s="1"/>
  <c r="B103" i="64"/>
  <c r="A103" i="64"/>
  <c r="E102" i="64"/>
  <c r="E102" i="65" s="1"/>
  <c r="E102" i="66" s="1"/>
  <c r="D102" i="64"/>
  <c r="D102" i="65" s="1"/>
  <c r="D102" i="66" s="1"/>
  <c r="C102" i="64"/>
  <c r="C102" i="65" s="1"/>
  <c r="C102" i="66" s="1"/>
  <c r="B102" i="64"/>
  <c r="A102" i="64"/>
  <c r="A102" i="65" s="1"/>
  <c r="A103" i="66" s="1"/>
  <c r="E101" i="64"/>
  <c r="E101" i="65" s="1"/>
  <c r="E101" i="66" s="1"/>
  <c r="D101" i="64"/>
  <c r="D101" i="65" s="1"/>
  <c r="D101" i="66" s="1"/>
  <c r="C101" i="64"/>
  <c r="C101" i="65" s="1"/>
  <c r="C101" i="66" s="1"/>
  <c r="B101" i="64"/>
  <c r="A101" i="64"/>
  <c r="E100" i="64"/>
  <c r="E100" i="65" s="1"/>
  <c r="E100" i="66" s="1"/>
  <c r="D100" i="64"/>
  <c r="D100" i="65" s="1"/>
  <c r="D100" i="66" s="1"/>
  <c r="C100" i="64"/>
  <c r="C100" i="65" s="1"/>
  <c r="C100" i="66" s="1"/>
  <c r="B100" i="64"/>
  <c r="A100" i="64"/>
  <c r="E99" i="64"/>
  <c r="E99" i="65" s="1"/>
  <c r="E99" i="66" s="1"/>
  <c r="D99" i="64"/>
  <c r="D99" i="65" s="1"/>
  <c r="D99" i="66" s="1"/>
  <c r="C99" i="64"/>
  <c r="C99" i="65" s="1"/>
  <c r="C99" i="66" s="1"/>
  <c r="B99" i="64"/>
  <c r="A99" i="64"/>
  <c r="E98" i="64"/>
  <c r="E98" i="65" s="1"/>
  <c r="E98" i="66" s="1"/>
  <c r="D98" i="64"/>
  <c r="D98" i="65" s="1"/>
  <c r="D98" i="66" s="1"/>
  <c r="C98" i="64"/>
  <c r="C98" i="65" s="1"/>
  <c r="C98" i="66" s="1"/>
  <c r="B98" i="64"/>
  <c r="A98" i="64"/>
  <c r="E97" i="64"/>
  <c r="E97" i="65" s="1"/>
  <c r="E97" i="66" s="1"/>
  <c r="D97" i="64"/>
  <c r="D97" i="65" s="1"/>
  <c r="D97" i="66" s="1"/>
  <c r="C97" i="64"/>
  <c r="C97" i="65" s="1"/>
  <c r="C97" i="66" s="1"/>
  <c r="B97" i="64"/>
  <c r="A97" i="64"/>
  <c r="E96" i="64"/>
  <c r="E96" i="65" s="1"/>
  <c r="E96" i="66" s="1"/>
  <c r="D96" i="64"/>
  <c r="D96" i="65" s="1"/>
  <c r="D96" i="66" s="1"/>
  <c r="C96" i="64"/>
  <c r="C96" i="65" s="1"/>
  <c r="C96" i="66" s="1"/>
  <c r="B96" i="64"/>
  <c r="A96" i="64"/>
  <c r="A96" i="65" s="1"/>
  <c r="A97" i="66" s="1"/>
  <c r="E95" i="64"/>
  <c r="E95" i="65" s="1"/>
  <c r="E95" i="66" s="1"/>
  <c r="D95" i="64"/>
  <c r="D95" i="65" s="1"/>
  <c r="D95" i="66" s="1"/>
  <c r="C95" i="64"/>
  <c r="C95" i="65" s="1"/>
  <c r="C95" i="66" s="1"/>
  <c r="B95" i="64"/>
  <c r="A95" i="64"/>
  <c r="E94" i="64"/>
  <c r="E94" i="65" s="1"/>
  <c r="E94" i="66" s="1"/>
  <c r="D94" i="64"/>
  <c r="D94" i="65" s="1"/>
  <c r="D94" i="66" s="1"/>
  <c r="C94" i="64"/>
  <c r="C94" i="65" s="1"/>
  <c r="C94" i="66" s="1"/>
  <c r="B94" i="64"/>
  <c r="A94" i="64"/>
  <c r="A94" i="65" s="1"/>
  <c r="A95" i="66" s="1"/>
  <c r="E93" i="64"/>
  <c r="E93" i="65" s="1"/>
  <c r="E93" i="66" s="1"/>
  <c r="D93" i="64"/>
  <c r="D93" i="65" s="1"/>
  <c r="D93" i="66" s="1"/>
  <c r="C93" i="64"/>
  <c r="C93" i="65" s="1"/>
  <c r="C93" i="66" s="1"/>
  <c r="B93" i="64"/>
  <c r="A93" i="64"/>
  <c r="A93" i="65" s="1"/>
  <c r="A94" i="66" s="1"/>
  <c r="E92" i="64"/>
  <c r="E92" i="65" s="1"/>
  <c r="E92" i="66" s="1"/>
  <c r="D92" i="64"/>
  <c r="D92" i="65" s="1"/>
  <c r="D92" i="66" s="1"/>
  <c r="C92" i="64"/>
  <c r="C92" i="65" s="1"/>
  <c r="C92" i="66" s="1"/>
  <c r="B92" i="64"/>
  <c r="A92" i="64"/>
  <c r="E91" i="64"/>
  <c r="E91" i="65" s="1"/>
  <c r="E91" i="66" s="1"/>
  <c r="D91" i="64"/>
  <c r="D91" i="65" s="1"/>
  <c r="D91" i="66" s="1"/>
  <c r="C91" i="64"/>
  <c r="C91" i="65" s="1"/>
  <c r="C91" i="66" s="1"/>
  <c r="B91" i="64"/>
  <c r="A91" i="64"/>
  <c r="E90" i="64"/>
  <c r="E90" i="65" s="1"/>
  <c r="E90" i="66" s="1"/>
  <c r="D90" i="64"/>
  <c r="D90" i="65" s="1"/>
  <c r="D90" i="66" s="1"/>
  <c r="C90" i="64"/>
  <c r="C90" i="65" s="1"/>
  <c r="C90" i="66" s="1"/>
  <c r="B90" i="64"/>
  <c r="A90" i="64"/>
  <c r="E89" i="64"/>
  <c r="E89" i="65" s="1"/>
  <c r="E89" i="66" s="1"/>
  <c r="D89" i="64"/>
  <c r="D89" i="65" s="1"/>
  <c r="D89" i="66" s="1"/>
  <c r="C89" i="64"/>
  <c r="C89" i="65" s="1"/>
  <c r="C89" i="66" s="1"/>
  <c r="B89" i="64"/>
  <c r="A89" i="64"/>
  <c r="A89" i="65" s="1"/>
  <c r="A90" i="66" s="1"/>
  <c r="E88" i="64"/>
  <c r="E88" i="65" s="1"/>
  <c r="E88" i="66" s="1"/>
  <c r="D88" i="64"/>
  <c r="D88" i="65" s="1"/>
  <c r="D88" i="66" s="1"/>
  <c r="C88" i="64"/>
  <c r="C88" i="65" s="1"/>
  <c r="C88" i="66" s="1"/>
  <c r="B88" i="64"/>
  <c r="A88" i="64"/>
  <c r="A88" i="65" s="1"/>
  <c r="A89" i="66" s="1"/>
  <c r="E87" i="64"/>
  <c r="E87" i="65" s="1"/>
  <c r="E87" i="66" s="1"/>
  <c r="D87" i="64"/>
  <c r="D87" i="65" s="1"/>
  <c r="D87" i="66" s="1"/>
  <c r="C87" i="64"/>
  <c r="C87" i="65" s="1"/>
  <c r="C87" i="66" s="1"/>
  <c r="B87" i="64"/>
  <c r="B87" i="65" s="1"/>
  <c r="A87" i="64"/>
  <c r="E86" i="64"/>
  <c r="E86" i="65" s="1"/>
  <c r="E86" i="66" s="1"/>
  <c r="D86" i="64"/>
  <c r="D86" i="65" s="1"/>
  <c r="D86" i="66" s="1"/>
  <c r="C86" i="64"/>
  <c r="C86" i="65" s="1"/>
  <c r="C86" i="66" s="1"/>
  <c r="B86" i="64"/>
  <c r="A86" i="64"/>
  <c r="E85" i="64"/>
  <c r="E85" i="65" s="1"/>
  <c r="E85" i="66" s="1"/>
  <c r="D85" i="64"/>
  <c r="D85" i="65" s="1"/>
  <c r="D85" i="66" s="1"/>
  <c r="C85" i="64"/>
  <c r="C85" i="65" s="1"/>
  <c r="C85" i="66" s="1"/>
  <c r="B85" i="64"/>
  <c r="A85" i="64"/>
  <c r="E84" i="64"/>
  <c r="E84" i="65" s="1"/>
  <c r="E84" i="66" s="1"/>
  <c r="D84" i="64"/>
  <c r="D84" i="65" s="1"/>
  <c r="D84" i="66" s="1"/>
  <c r="C84" i="64"/>
  <c r="C84" i="65" s="1"/>
  <c r="C84" i="66" s="1"/>
  <c r="B84" i="64"/>
  <c r="A84" i="64"/>
  <c r="E83" i="64"/>
  <c r="E83" i="65" s="1"/>
  <c r="E83" i="66" s="1"/>
  <c r="D83" i="64"/>
  <c r="D83" i="65" s="1"/>
  <c r="D83" i="66" s="1"/>
  <c r="C83" i="64"/>
  <c r="C83" i="65" s="1"/>
  <c r="C83" i="66" s="1"/>
  <c r="B83" i="64"/>
  <c r="A83" i="64"/>
  <c r="E82" i="64"/>
  <c r="E82" i="65" s="1"/>
  <c r="E82" i="66" s="1"/>
  <c r="D82" i="64"/>
  <c r="D82" i="65" s="1"/>
  <c r="D82" i="66" s="1"/>
  <c r="C82" i="64"/>
  <c r="C82" i="65" s="1"/>
  <c r="C82" i="66" s="1"/>
  <c r="B82" i="64"/>
  <c r="A82" i="64"/>
  <c r="A82" i="65" s="1"/>
  <c r="A83" i="66" s="1"/>
  <c r="E81" i="64"/>
  <c r="E81" i="65" s="1"/>
  <c r="E81" i="66" s="1"/>
  <c r="D81" i="64"/>
  <c r="D81" i="65" s="1"/>
  <c r="D81" i="66" s="1"/>
  <c r="C81" i="64"/>
  <c r="C81" i="65" s="1"/>
  <c r="C81" i="66" s="1"/>
  <c r="B81" i="64"/>
  <c r="A81" i="64"/>
  <c r="E80" i="64"/>
  <c r="E80" i="65" s="1"/>
  <c r="E80" i="66" s="1"/>
  <c r="D80" i="64"/>
  <c r="D80" i="65" s="1"/>
  <c r="D80" i="66" s="1"/>
  <c r="C80" i="64"/>
  <c r="C80" i="65" s="1"/>
  <c r="C80" i="66" s="1"/>
  <c r="B80" i="64"/>
  <c r="A80" i="64"/>
  <c r="E79" i="64"/>
  <c r="E79" i="65" s="1"/>
  <c r="E79" i="66" s="1"/>
  <c r="D79" i="64"/>
  <c r="D79" i="65" s="1"/>
  <c r="D79" i="66" s="1"/>
  <c r="C79" i="64"/>
  <c r="C79" i="65" s="1"/>
  <c r="C79" i="66" s="1"/>
  <c r="B79" i="64"/>
  <c r="A79" i="64"/>
  <c r="A79" i="65" s="1"/>
  <c r="A80" i="66" s="1"/>
  <c r="E78" i="64"/>
  <c r="E78" i="65" s="1"/>
  <c r="E78" i="66" s="1"/>
  <c r="D78" i="64"/>
  <c r="D78" i="65" s="1"/>
  <c r="D78" i="66" s="1"/>
  <c r="C78" i="64"/>
  <c r="C78" i="65" s="1"/>
  <c r="C78" i="66" s="1"/>
  <c r="B78" i="64"/>
  <c r="B78" i="65" s="1"/>
  <c r="A78" i="64"/>
  <c r="A78" i="65" s="1"/>
  <c r="A79" i="66" s="1"/>
  <c r="E77" i="64"/>
  <c r="E77" i="65" s="1"/>
  <c r="E77" i="66" s="1"/>
  <c r="D77" i="64"/>
  <c r="D77" i="65" s="1"/>
  <c r="D77" i="66" s="1"/>
  <c r="C77" i="64"/>
  <c r="C77" i="65" s="1"/>
  <c r="C77" i="66" s="1"/>
  <c r="B77" i="64"/>
  <c r="A77" i="64"/>
  <c r="E76" i="64"/>
  <c r="E76" i="65" s="1"/>
  <c r="E76" i="66" s="1"/>
  <c r="D76" i="64"/>
  <c r="D76" i="65" s="1"/>
  <c r="D76" i="66" s="1"/>
  <c r="C76" i="64"/>
  <c r="C76" i="65" s="1"/>
  <c r="C76" i="66" s="1"/>
  <c r="B76" i="64"/>
  <c r="A76" i="64"/>
  <c r="A76" i="65" s="1"/>
  <c r="A77" i="66" s="1"/>
  <c r="E75" i="64"/>
  <c r="E75" i="65" s="1"/>
  <c r="E75" i="66" s="1"/>
  <c r="D75" i="64"/>
  <c r="D75" i="65" s="1"/>
  <c r="D75" i="66" s="1"/>
  <c r="C75" i="64"/>
  <c r="C75" i="65" s="1"/>
  <c r="C75" i="66" s="1"/>
  <c r="B75" i="64"/>
  <c r="A75" i="64"/>
  <c r="E74" i="64"/>
  <c r="E74" i="65" s="1"/>
  <c r="E74" i="66" s="1"/>
  <c r="D74" i="64"/>
  <c r="D74" i="65" s="1"/>
  <c r="D74" i="66" s="1"/>
  <c r="C74" i="64"/>
  <c r="C74" i="65" s="1"/>
  <c r="C74" i="66" s="1"/>
  <c r="B74" i="64"/>
  <c r="A74" i="64"/>
  <c r="A74" i="65" s="1"/>
  <c r="A75" i="66" s="1"/>
  <c r="E73" i="64"/>
  <c r="E73" i="65" s="1"/>
  <c r="E73" i="66" s="1"/>
  <c r="D73" i="64"/>
  <c r="D73" i="65" s="1"/>
  <c r="D73" i="66" s="1"/>
  <c r="C73" i="64"/>
  <c r="C73" i="65" s="1"/>
  <c r="C73" i="66" s="1"/>
  <c r="B73" i="64"/>
  <c r="B73" i="65" s="1"/>
  <c r="A73" i="64"/>
  <c r="A73" i="65" s="1"/>
  <c r="A74" i="66" s="1"/>
  <c r="E72" i="64"/>
  <c r="E72" i="65" s="1"/>
  <c r="E72" i="66" s="1"/>
  <c r="D72" i="64"/>
  <c r="D72" i="65" s="1"/>
  <c r="D72" i="66" s="1"/>
  <c r="C72" i="64"/>
  <c r="C72" i="65" s="1"/>
  <c r="C72" i="66" s="1"/>
  <c r="B72" i="64"/>
  <c r="A72" i="64"/>
  <c r="E71" i="64"/>
  <c r="E71" i="65" s="1"/>
  <c r="E71" i="66" s="1"/>
  <c r="D71" i="64"/>
  <c r="D71" i="65" s="1"/>
  <c r="D71" i="66" s="1"/>
  <c r="C71" i="64"/>
  <c r="C71" i="65" s="1"/>
  <c r="C71" i="66" s="1"/>
  <c r="B71" i="64"/>
  <c r="A71" i="64"/>
  <c r="E70" i="64"/>
  <c r="E70" i="65" s="1"/>
  <c r="E70" i="66" s="1"/>
  <c r="D70" i="64"/>
  <c r="D70" i="65" s="1"/>
  <c r="D70" i="66" s="1"/>
  <c r="C70" i="64"/>
  <c r="C70" i="65" s="1"/>
  <c r="C70" i="66" s="1"/>
  <c r="B70" i="64"/>
  <c r="B70" i="65" s="1"/>
  <c r="A70" i="64"/>
  <c r="A70" i="65" s="1"/>
  <c r="A71" i="66" s="1"/>
  <c r="E69" i="64"/>
  <c r="E69" i="65" s="1"/>
  <c r="E69" i="66" s="1"/>
  <c r="D69" i="64"/>
  <c r="D69" i="65" s="1"/>
  <c r="D69" i="66" s="1"/>
  <c r="C69" i="64"/>
  <c r="C69" i="65" s="1"/>
  <c r="C69" i="66" s="1"/>
  <c r="B69" i="64"/>
  <c r="A69" i="64"/>
  <c r="A69" i="65" s="1"/>
  <c r="A70" i="66" s="1"/>
  <c r="E68" i="64"/>
  <c r="E68" i="65" s="1"/>
  <c r="E68" i="66" s="1"/>
  <c r="D68" i="64"/>
  <c r="D68" i="65" s="1"/>
  <c r="D68" i="66" s="1"/>
  <c r="C68" i="64"/>
  <c r="C68" i="65" s="1"/>
  <c r="C68" i="66" s="1"/>
  <c r="B68" i="64"/>
  <c r="A68" i="64"/>
  <c r="A68" i="65" s="1"/>
  <c r="A69" i="66" s="1"/>
  <c r="E67" i="64"/>
  <c r="E67" i="65" s="1"/>
  <c r="E67" i="66" s="1"/>
  <c r="D67" i="64"/>
  <c r="D67" i="65" s="1"/>
  <c r="D67" i="66" s="1"/>
  <c r="C67" i="64"/>
  <c r="C67" i="65" s="1"/>
  <c r="C67" i="66" s="1"/>
  <c r="B67" i="64"/>
  <c r="A67" i="64"/>
  <c r="E66" i="64"/>
  <c r="E66" i="65" s="1"/>
  <c r="E66" i="66" s="1"/>
  <c r="D66" i="64"/>
  <c r="D66" i="65" s="1"/>
  <c r="D66" i="66" s="1"/>
  <c r="C66" i="64"/>
  <c r="C66" i="65" s="1"/>
  <c r="C66" i="66" s="1"/>
  <c r="B66" i="64"/>
  <c r="A66" i="64"/>
  <c r="E65" i="64"/>
  <c r="E65" i="65" s="1"/>
  <c r="E65" i="66" s="1"/>
  <c r="D65" i="64"/>
  <c r="D65" i="65" s="1"/>
  <c r="D65" i="66" s="1"/>
  <c r="C65" i="64"/>
  <c r="C65" i="65" s="1"/>
  <c r="C65" i="66" s="1"/>
  <c r="B65" i="64"/>
  <c r="A65" i="64"/>
  <c r="E64" i="64"/>
  <c r="E64" i="65" s="1"/>
  <c r="E64" i="66" s="1"/>
  <c r="D64" i="64"/>
  <c r="D64" i="65" s="1"/>
  <c r="D64" i="66" s="1"/>
  <c r="C64" i="64"/>
  <c r="C64" i="65" s="1"/>
  <c r="C64" i="66" s="1"/>
  <c r="B64" i="64"/>
  <c r="A64" i="64"/>
  <c r="E63" i="64"/>
  <c r="E63" i="65" s="1"/>
  <c r="E63" i="66" s="1"/>
  <c r="D63" i="64"/>
  <c r="D63" i="65" s="1"/>
  <c r="D63" i="66" s="1"/>
  <c r="C63" i="64"/>
  <c r="C63" i="65" s="1"/>
  <c r="C63" i="66" s="1"/>
  <c r="B63" i="64"/>
  <c r="A63" i="64"/>
  <c r="A63" i="65" s="1"/>
  <c r="A64" i="66" s="1"/>
  <c r="E62" i="64"/>
  <c r="E62" i="65" s="1"/>
  <c r="E62" i="66" s="1"/>
  <c r="D62" i="64"/>
  <c r="D62" i="65" s="1"/>
  <c r="D62" i="66" s="1"/>
  <c r="C62" i="64"/>
  <c r="C62" i="65" s="1"/>
  <c r="C62" i="66" s="1"/>
  <c r="B62" i="64"/>
  <c r="B62" i="65" s="1"/>
  <c r="A62" i="64"/>
  <c r="E61" i="64"/>
  <c r="E61" i="65" s="1"/>
  <c r="E61" i="66" s="1"/>
  <c r="D61" i="64"/>
  <c r="D61" i="65" s="1"/>
  <c r="D61" i="66" s="1"/>
  <c r="C61" i="64"/>
  <c r="C61" i="65" s="1"/>
  <c r="C61" i="66" s="1"/>
  <c r="B61" i="64"/>
  <c r="A61" i="64"/>
  <c r="E60" i="64"/>
  <c r="E60" i="65" s="1"/>
  <c r="E60" i="66" s="1"/>
  <c r="D60" i="64"/>
  <c r="D60" i="65" s="1"/>
  <c r="D60" i="66" s="1"/>
  <c r="C60" i="64"/>
  <c r="C60" i="65" s="1"/>
  <c r="C60" i="66" s="1"/>
  <c r="B60" i="64"/>
  <c r="A60" i="64"/>
  <c r="E59" i="64"/>
  <c r="E59" i="65" s="1"/>
  <c r="E59" i="66" s="1"/>
  <c r="D59" i="64"/>
  <c r="D59" i="65" s="1"/>
  <c r="D59" i="66" s="1"/>
  <c r="C59" i="64"/>
  <c r="C59" i="65" s="1"/>
  <c r="C59" i="66" s="1"/>
  <c r="B59" i="64"/>
  <c r="A59" i="64"/>
  <c r="A59" i="65" s="1"/>
  <c r="A60" i="66" s="1"/>
  <c r="E58" i="64"/>
  <c r="E58" i="65" s="1"/>
  <c r="E58" i="66" s="1"/>
  <c r="D58" i="64"/>
  <c r="D58" i="65" s="1"/>
  <c r="D58" i="66" s="1"/>
  <c r="C58" i="64"/>
  <c r="C58" i="65" s="1"/>
  <c r="C58" i="66" s="1"/>
  <c r="B58" i="64"/>
  <c r="B58" i="65" s="1"/>
  <c r="A58" i="64"/>
  <c r="A58" i="65" s="1"/>
  <c r="A59" i="66" s="1"/>
  <c r="E57" i="64"/>
  <c r="E57" i="65" s="1"/>
  <c r="E57" i="66" s="1"/>
  <c r="D57" i="64"/>
  <c r="D57" i="65" s="1"/>
  <c r="D57" i="66" s="1"/>
  <c r="C57" i="64"/>
  <c r="C57" i="65" s="1"/>
  <c r="C57" i="66" s="1"/>
  <c r="B57" i="64"/>
  <c r="A57" i="64"/>
  <c r="E56" i="64"/>
  <c r="E56" i="65" s="1"/>
  <c r="E56" i="66" s="1"/>
  <c r="D56" i="64"/>
  <c r="D56" i="65" s="1"/>
  <c r="D56" i="66" s="1"/>
  <c r="C56" i="64"/>
  <c r="C56" i="65" s="1"/>
  <c r="C56" i="66" s="1"/>
  <c r="B56" i="64"/>
  <c r="A56" i="64"/>
  <c r="E55" i="64"/>
  <c r="E55" i="65" s="1"/>
  <c r="E55" i="66" s="1"/>
  <c r="D55" i="64"/>
  <c r="D55" i="65" s="1"/>
  <c r="D55" i="66" s="1"/>
  <c r="C55" i="64"/>
  <c r="C55" i="65" s="1"/>
  <c r="C55" i="66" s="1"/>
  <c r="B55" i="64"/>
  <c r="A55" i="64"/>
  <c r="E54" i="64"/>
  <c r="E54" i="65" s="1"/>
  <c r="E54" i="66" s="1"/>
  <c r="D54" i="64"/>
  <c r="D54" i="65" s="1"/>
  <c r="D54" i="66" s="1"/>
  <c r="C54" i="64"/>
  <c r="C54" i="65" s="1"/>
  <c r="C54" i="66" s="1"/>
  <c r="B54" i="64"/>
  <c r="A54" i="64"/>
  <c r="E53" i="64"/>
  <c r="E53" i="65" s="1"/>
  <c r="E53" i="66" s="1"/>
  <c r="D53" i="64"/>
  <c r="D53" i="65" s="1"/>
  <c r="D53" i="66" s="1"/>
  <c r="C53" i="64"/>
  <c r="C53" i="65" s="1"/>
  <c r="C53" i="66" s="1"/>
  <c r="B53" i="64"/>
  <c r="A53" i="64"/>
  <c r="A53" i="65" s="1"/>
  <c r="A54" i="66" s="1"/>
  <c r="E52" i="64"/>
  <c r="E52" i="65" s="1"/>
  <c r="E52" i="66" s="1"/>
  <c r="D52" i="64"/>
  <c r="D52" i="65" s="1"/>
  <c r="D52" i="66" s="1"/>
  <c r="C52" i="64"/>
  <c r="C52" i="65" s="1"/>
  <c r="C52" i="66" s="1"/>
  <c r="B52" i="64"/>
  <c r="A52" i="64"/>
  <c r="E51" i="64"/>
  <c r="E51" i="65" s="1"/>
  <c r="E51" i="66" s="1"/>
  <c r="D51" i="64"/>
  <c r="D51" i="65" s="1"/>
  <c r="D51" i="66" s="1"/>
  <c r="C51" i="64"/>
  <c r="C51" i="65" s="1"/>
  <c r="C51" i="66" s="1"/>
  <c r="B51" i="64"/>
  <c r="B51" i="65" s="1"/>
  <c r="A51" i="64"/>
  <c r="A51" i="65" s="1"/>
  <c r="A52" i="66" s="1"/>
  <c r="E50" i="64"/>
  <c r="E50" i="65" s="1"/>
  <c r="E50" i="66" s="1"/>
  <c r="D50" i="64"/>
  <c r="D50" i="65" s="1"/>
  <c r="D50" i="66" s="1"/>
  <c r="C50" i="64"/>
  <c r="C50" i="65" s="1"/>
  <c r="C50" i="66" s="1"/>
  <c r="B50" i="64"/>
  <c r="A50" i="64"/>
  <c r="E49" i="64"/>
  <c r="E49" i="65" s="1"/>
  <c r="E49" i="66" s="1"/>
  <c r="D49" i="64"/>
  <c r="D49" i="65" s="1"/>
  <c r="D49" i="66" s="1"/>
  <c r="C49" i="64"/>
  <c r="C49" i="65" s="1"/>
  <c r="C49" i="66" s="1"/>
  <c r="B49" i="64"/>
  <c r="A49" i="64"/>
  <c r="A49" i="65" s="1"/>
  <c r="A50" i="66" s="1"/>
  <c r="E48" i="64"/>
  <c r="E48" i="65" s="1"/>
  <c r="E48" i="66" s="1"/>
  <c r="D48" i="64"/>
  <c r="D48" i="65" s="1"/>
  <c r="D48" i="66" s="1"/>
  <c r="C48" i="64"/>
  <c r="C48" i="65" s="1"/>
  <c r="C48" i="66" s="1"/>
  <c r="B48" i="64"/>
  <c r="A48" i="64"/>
  <c r="E47" i="64"/>
  <c r="E47" i="65" s="1"/>
  <c r="E47" i="66" s="1"/>
  <c r="D47" i="64"/>
  <c r="D47" i="65" s="1"/>
  <c r="D47" i="66" s="1"/>
  <c r="C47" i="64"/>
  <c r="C47" i="65" s="1"/>
  <c r="C47" i="66" s="1"/>
  <c r="B47" i="64"/>
  <c r="A47" i="64"/>
  <c r="E46" i="64"/>
  <c r="E46" i="65" s="1"/>
  <c r="E46" i="66" s="1"/>
  <c r="D46" i="64"/>
  <c r="D46" i="65" s="1"/>
  <c r="D46" i="66" s="1"/>
  <c r="C46" i="64"/>
  <c r="C46" i="65" s="1"/>
  <c r="C46" i="66" s="1"/>
  <c r="B46" i="64"/>
  <c r="B46" i="65" s="1"/>
  <c r="A46" i="64"/>
  <c r="A46" i="65" s="1"/>
  <c r="A47" i="66" s="1"/>
  <c r="E45" i="64"/>
  <c r="E45" i="65" s="1"/>
  <c r="E45" i="66" s="1"/>
  <c r="D45" i="64"/>
  <c r="D45" i="65" s="1"/>
  <c r="D45" i="66" s="1"/>
  <c r="C45" i="64"/>
  <c r="C45" i="65" s="1"/>
  <c r="C45" i="66" s="1"/>
  <c r="B45" i="64"/>
  <c r="A45" i="64"/>
  <c r="A45" i="65" s="1"/>
  <c r="A46" i="66" s="1"/>
  <c r="E44" i="64"/>
  <c r="E44" i="65" s="1"/>
  <c r="E44" i="66" s="1"/>
  <c r="D44" i="64"/>
  <c r="D44" i="65" s="1"/>
  <c r="D44" i="66" s="1"/>
  <c r="C44" i="64"/>
  <c r="C44" i="65" s="1"/>
  <c r="C44" i="66" s="1"/>
  <c r="B44" i="64"/>
  <c r="B44" i="65" s="1"/>
  <c r="A44" i="64"/>
  <c r="E43" i="64"/>
  <c r="E43" i="65" s="1"/>
  <c r="E43" i="66" s="1"/>
  <c r="D43" i="64"/>
  <c r="D43" i="65" s="1"/>
  <c r="D43" i="66" s="1"/>
  <c r="C43" i="64"/>
  <c r="C43" i="65" s="1"/>
  <c r="C43" i="66" s="1"/>
  <c r="B43" i="64"/>
  <c r="A43" i="64"/>
  <c r="E42" i="64"/>
  <c r="E42" i="65" s="1"/>
  <c r="E42" i="66" s="1"/>
  <c r="D42" i="64"/>
  <c r="D42" i="65" s="1"/>
  <c r="D42" i="66" s="1"/>
  <c r="C42" i="64"/>
  <c r="C42" i="65" s="1"/>
  <c r="C42" i="66" s="1"/>
  <c r="B42" i="64"/>
  <c r="A42" i="64"/>
  <c r="A42" i="65" s="1"/>
  <c r="A43" i="66" s="1"/>
  <c r="E41" i="64"/>
  <c r="E41" i="65" s="1"/>
  <c r="E41" i="66" s="1"/>
  <c r="D41" i="64"/>
  <c r="D41" i="65" s="1"/>
  <c r="D41" i="66" s="1"/>
  <c r="C41" i="64"/>
  <c r="C41" i="65" s="1"/>
  <c r="C41" i="66" s="1"/>
  <c r="B41" i="64"/>
  <c r="A41" i="64"/>
  <c r="E40" i="64"/>
  <c r="E40" i="65" s="1"/>
  <c r="E40" i="66" s="1"/>
  <c r="D40" i="64"/>
  <c r="D40" i="65" s="1"/>
  <c r="D40" i="66" s="1"/>
  <c r="C40" i="64"/>
  <c r="C40" i="65" s="1"/>
  <c r="C40" i="66" s="1"/>
  <c r="B40" i="64"/>
  <c r="A40" i="64"/>
  <c r="A40" i="65" s="1"/>
  <c r="A41" i="66" s="1"/>
  <c r="E39" i="64"/>
  <c r="E39" i="65" s="1"/>
  <c r="E39" i="66" s="1"/>
  <c r="D39" i="64"/>
  <c r="D39" i="65" s="1"/>
  <c r="D39" i="66" s="1"/>
  <c r="C39" i="64"/>
  <c r="C39" i="65" s="1"/>
  <c r="C39" i="66" s="1"/>
  <c r="B39" i="64"/>
  <c r="A39" i="64"/>
  <c r="E38" i="64"/>
  <c r="E38" i="65" s="1"/>
  <c r="E38" i="66" s="1"/>
  <c r="D38" i="64"/>
  <c r="D38" i="65" s="1"/>
  <c r="D38" i="66" s="1"/>
  <c r="C38" i="64"/>
  <c r="C38" i="65" s="1"/>
  <c r="C38" i="66" s="1"/>
  <c r="B38" i="64"/>
  <c r="A38" i="64"/>
  <c r="E37" i="64"/>
  <c r="E37" i="65" s="1"/>
  <c r="E37" i="66" s="1"/>
  <c r="D37" i="64"/>
  <c r="D37" i="65" s="1"/>
  <c r="D37" i="66" s="1"/>
  <c r="C37" i="64"/>
  <c r="C37" i="65" s="1"/>
  <c r="C37" i="66" s="1"/>
  <c r="B37" i="64"/>
  <c r="B37" i="65" s="1"/>
  <c r="A37" i="64"/>
  <c r="A37" i="65" s="1"/>
  <c r="A38" i="66" s="1"/>
  <c r="E36" i="64"/>
  <c r="E36" i="65" s="1"/>
  <c r="E36" i="66" s="1"/>
  <c r="D36" i="64"/>
  <c r="D36" i="65" s="1"/>
  <c r="D36" i="66" s="1"/>
  <c r="C36" i="64"/>
  <c r="C36" i="65" s="1"/>
  <c r="C36" i="66" s="1"/>
  <c r="B36" i="64"/>
  <c r="A36" i="64"/>
  <c r="E35" i="64"/>
  <c r="E35" i="65" s="1"/>
  <c r="E35" i="66" s="1"/>
  <c r="D35" i="64"/>
  <c r="D35" i="65" s="1"/>
  <c r="D35" i="66" s="1"/>
  <c r="C35" i="64"/>
  <c r="C35" i="65" s="1"/>
  <c r="C35" i="66" s="1"/>
  <c r="B35" i="64"/>
  <c r="A35" i="64"/>
  <c r="E34" i="64"/>
  <c r="E34" i="65" s="1"/>
  <c r="E34" i="66" s="1"/>
  <c r="D34" i="64"/>
  <c r="D34" i="65" s="1"/>
  <c r="D34" i="66" s="1"/>
  <c r="C34" i="64"/>
  <c r="C34" i="65" s="1"/>
  <c r="C34" i="66" s="1"/>
  <c r="B34" i="64"/>
  <c r="B34" i="65" s="1"/>
  <c r="A34" i="64"/>
  <c r="A34" i="65" s="1"/>
  <c r="A35" i="66" s="1"/>
  <c r="E33" i="64"/>
  <c r="E33" i="65" s="1"/>
  <c r="E33" i="66" s="1"/>
  <c r="D33" i="64"/>
  <c r="D33" i="65" s="1"/>
  <c r="D33" i="66" s="1"/>
  <c r="C33" i="64"/>
  <c r="C33" i="65" s="1"/>
  <c r="C33" i="66" s="1"/>
  <c r="B33" i="64"/>
  <c r="A33" i="64"/>
  <c r="A33" i="65" s="1"/>
  <c r="A34" i="66" s="1"/>
  <c r="E32" i="64"/>
  <c r="E32" i="65" s="1"/>
  <c r="E32" i="66" s="1"/>
  <c r="D32" i="64"/>
  <c r="D32" i="65" s="1"/>
  <c r="D32" i="66" s="1"/>
  <c r="C32" i="64"/>
  <c r="C32" i="65" s="1"/>
  <c r="C32" i="66" s="1"/>
  <c r="B32" i="64"/>
  <c r="A32" i="64"/>
  <c r="A32" i="65" s="1"/>
  <c r="A33" i="66" s="1"/>
  <c r="E31" i="64"/>
  <c r="E31" i="65" s="1"/>
  <c r="E31" i="66" s="1"/>
  <c r="D31" i="64"/>
  <c r="D31" i="65" s="1"/>
  <c r="D31" i="66" s="1"/>
  <c r="C31" i="64"/>
  <c r="C31" i="65" s="1"/>
  <c r="C31" i="66" s="1"/>
  <c r="B31" i="64"/>
  <c r="A31" i="64"/>
  <c r="E30" i="64"/>
  <c r="E30" i="65" s="1"/>
  <c r="E30" i="66" s="1"/>
  <c r="D30" i="64"/>
  <c r="D30" i="65" s="1"/>
  <c r="D30" i="66" s="1"/>
  <c r="C30" i="64"/>
  <c r="C30" i="65" s="1"/>
  <c r="C30" i="66" s="1"/>
  <c r="B30" i="64"/>
  <c r="A30" i="64"/>
  <c r="E29" i="64"/>
  <c r="E29" i="65" s="1"/>
  <c r="E29" i="66" s="1"/>
  <c r="D29" i="64"/>
  <c r="D29" i="65" s="1"/>
  <c r="D29" i="66" s="1"/>
  <c r="C29" i="64"/>
  <c r="C29" i="65" s="1"/>
  <c r="C29" i="66" s="1"/>
  <c r="B29" i="64"/>
  <c r="A29" i="64"/>
  <c r="E28" i="64"/>
  <c r="E28" i="65" s="1"/>
  <c r="E28" i="66" s="1"/>
  <c r="D28" i="64"/>
  <c r="D28" i="65" s="1"/>
  <c r="D28" i="66" s="1"/>
  <c r="C28" i="64"/>
  <c r="C28" i="65" s="1"/>
  <c r="C28" i="66" s="1"/>
  <c r="B28" i="64"/>
  <c r="A28" i="64"/>
  <c r="E27" i="64"/>
  <c r="E27" i="65" s="1"/>
  <c r="E27" i="66" s="1"/>
  <c r="D27" i="64"/>
  <c r="D27" i="65" s="1"/>
  <c r="D27" i="66" s="1"/>
  <c r="C27" i="64"/>
  <c r="C27" i="65" s="1"/>
  <c r="C27" i="66" s="1"/>
  <c r="B27" i="64"/>
  <c r="A27" i="64"/>
  <c r="E26" i="64"/>
  <c r="E26" i="65" s="1"/>
  <c r="E26" i="66" s="1"/>
  <c r="D26" i="64"/>
  <c r="D26" i="65" s="1"/>
  <c r="D26" i="66" s="1"/>
  <c r="C26" i="64"/>
  <c r="C26" i="65" s="1"/>
  <c r="C26" i="66" s="1"/>
  <c r="B26" i="64"/>
  <c r="A26" i="64"/>
  <c r="E25" i="64"/>
  <c r="E25" i="65" s="1"/>
  <c r="E25" i="66" s="1"/>
  <c r="D25" i="64"/>
  <c r="D25" i="65" s="1"/>
  <c r="D25" i="66" s="1"/>
  <c r="C25" i="64"/>
  <c r="C25" i="65" s="1"/>
  <c r="C25" i="66" s="1"/>
  <c r="B25" i="64"/>
  <c r="A25" i="64"/>
  <c r="E24" i="64"/>
  <c r="E24" i="65" s="1"/>
  <c r="E24" i="66" s="1"/>
  <c r="D24" i="64"/>
  <c r="D24" i="65" s="1"/>
  <c r="D24" i="66" s="1"/>
  <c r="C24" i="64"/>
  <c r="C24" i="65" s="1"/>
  <c r="C24" i="66" s="1"/>
  <c r="B24" i="64"/>
  <c r="A24" i="64"/>
  <c r="E23" i="64"/>
  <c r="E23" i="65" s="1"/>
  <c r="E23" i="66" s="1"/>
  <c r="D23" i="64"/>
  <c r="D23" i="65" s="1"/>
  <c r="D23" i="66" s="1"/>
  <c r="C23" i="64"/>
  <c r="C23" i="65" s="1"/>
  <c r="C23" i="66" s="1"/>
  <c r="B23" i="64"/>
  <c r="A23" i="64"/>
  <c r="E22" i="64"/>
  <c r="E22" i="65" s="1"/>
  <c r="E22" i="66" s="1"/>
  <c r="D22" i="64"/>
  <c r="D22" i="65" s="1"/>
  <c r="D22" i="66" s="1"/>
  <c r="C22" i="64"/>
  <c r="C22" i="65" s="1"/>
  <c r="C22" i="66" s="1"/>
  <c r="B22" i="64"/>
  <c r="A22" i="64"/>
  <c r="A22" i="65" s="1"/>
  <c r="A23" i="66" s="1"/>
  <c r="E21" i="64"/>
  <c r="E21" i="65" s="1"/>
  <c r="E21" i="66" s="1"/>
  <c r="D21" i="64"/>
  <c r="D21" i="65" s="1"/>
  <c r="D21" i="66" s="1"/>
  <c r="C21" i="64"/>
  <c r="C21" i="65" s="1"/>
  <c r="C21" i="66" s="1"/>
  <c r="B21" i="64"/>
  <c r="A21" i="64"/>
  <c r="E20" i="64"/>
  <c r="E20" i="65" s="1"/>
  <c r="E20" i="66" s="1"/>
  <c r="D20" i="64"/>
  <c r="D20" i="65" s="1"/>
  <c r="D20" i="66" s="1"/>
  <c r="C20" i="64"/>
  <c r="C20" i="65" s="1"/>
  <c r="C20" i="66" s="1"/>
  <c r="B20" i="64"/>
  <c r="A20" i="64"/>
  <c r="E19" i="64"/>
  <c r="E19" i="65" s="1"/>
  <c r="E19" i="66" s="1"/>
  <c r="D19" i="64"/>
  <c r="D19" i="65" s="1"/>
  <c r="D19" i="66" s="1"/>
  <c r="C19" i="64"/>
  <c r="C19" i="65" s="1"/>
  <c r="C19" i="66" s="1"/>
  <c r="B19" i="64"/>
  <c r="B19" i="65" s="1"/>
  <c r="A19" i="64"/>
  <c r="E18" i="64"/>
  <c r="E18" i="65" s="1"/>
  <c r="E18" i="66" s="1"/>
  <c r="D18" i="64"/>
  <c r="D18" i="65" s="1"/>
  <c r="D18" i="66" s="1"/>
  <c r="C18" i="64"/>
  <c r="C18" i="65" s="1"/>
  <c r="C18" i="66" s="1"/>
  <c r="B18" i="64"/>
  <c r="A18" i="64"/>
  <c r="E17" i="64"/>
  <c r="E17" i="65" s="1"/>
  <c r="E17" i="66" s="1"/>
  <c r="D17" i="64"/>
  <c r="D17" i="65" s="1"/>
  <c r="D17" i="66" s="1"/>
  <c r="C17" i="64"/>
  <c r="C17" i="65" s="1"/>
  <c r="C17" i="66" s="1"/>
  <c r="B17" i="64"/>
  <c r="B17" i="65" s="1"/>
  <c r="A17" i="64"/>
  <c r="A17" i="65" s="1"/>
  <c r="A18" i="66" s="1"/>
  <c r="E16" i="64"/>
  <c r="E16" i="65" s="1"/>
  <c r="E16" i="66" s="1"/>
  <c r="D16" i="64"/>
  <c r="D16" i="65" s="1"/>
  <c r="D16" i="66" s="1"/>
  <c r="C16" i="64"/>
  <c r="C16" i="65" s="1"/>
  <c r="C16" i="66" s="1"/>
  <c r="B16" i="64"/>
  <c r="B16" i="65" s="1"/>
  <c r="A16" i="64"/>
  <c r="A16" i="65" s="1"/>
  <c r="A17" i="66" s="1"/>
  <c r="E15" i="64"/>
  <c r="E15" i="65" s="1"/>
  <c r="E15" i="66" s="1"/>
  <c r="D15" i="64"/>
  <c r="D15" i="65" s="1"/>
  <c r="D15" i="66" s="1"/>
  <c r="C15" i="64"/>
  <c r="C15" i="65" s="1"/>
  <c r="C15" i="66" s="1"/>
  <c r="B15" i="64"/>
  <c r="B15" i="65" s="1"/>
  <c r="A15" i="64"/>
  <c r="E14" i="64"/>
  <c r="E14" i="65" s="1"/>
  <c r="E14" i="66" s="1"/>
  <c r="D14" i="64"/>
  <c r="D14" i="65" s="1"/>
  <c r="D14" i="66" s="1"/>
  <c r="C14" i="64"/>
  <c r="C14" i="65" s="1"/>
  <c r="C14" i="66" s="1"/>
  <c r="B14" i="64"/>
  <c r="A14" i="64"/>
  <c r="E13" i="64"/>
  <c r="E13" i="65" s="1"/>
  <c r="E13" i="66" s="1"/>
  <c r="D13" i="64"/>
  <c r="D13" i="65" s="1"/>
  <c r="D13" i="66" s="1"/>
  <c r="C13" i="64"/>
  <c r="C13" i="65" s="1"/>
  <c r="C13" i="66" s="1"/>
  <c r="B13" i="64"/>
  <c r="B13" i="65" s="1"/>
  <c r="A13" i="64"/>
  <c r="E12" i="64"/>
  <c r="E12" i="65" s="1"/>
  <c r="E12" i="66" s="1"/>
  <c r="D12" i="64"/>
  <c r="D12" i="65" s="1"/>
  <c r="D12" i="66" s="1"/>
  <c r="C12" i="64"/>
  <c r="C12" i="65" s="1"/>
  <c r="C12" i="66" s="1"/>
  <c r="B12" i="64"/>
  <c r="B12" i="65" s="1"/>
  <c r="A12" i="64"/>
  <c r="A12" i="65" s="1"/>
  <c r="A13" i="66" s="1"/>
  <c r="E11" i="64"/>
  <c r="E11" i="65" s="1"/>
  <c r="E11" i="66" s="1"/>
  <c r="D11" i="64"/>
  <c r="D11" i="65" s="1"/>
  <c r="D11" i="66" s="1"/>
  <c r="C11" i="64"/>
  <c r="C11" i="65" s="1"/>
  <c r="C11" i="66" s="1"/>
  <c r="B11" i="64"/>
  <c r="A11" i="64"/>
  <c r="E10" i="64"/>
  <c r="E10" i="65" s="1"/>
  <c r="E10" i="66" s="1"/>
  <c r="D10" i="64"/>
  <c r="D10" i="65" s="1"/>
  <c r="D10" i="66" s="1"/>
  <c r="C10" i="64"/>
  <c r="C10" i="65" s="1"/>
  <c r="C10" i="66" s="1"/>
  <c r="B10" i="64"/>
  <c r="A10" i="64"/>
  <c r="A10" i="65" s="1"/>
  <c r="A11" i="66" s="1"/>
  <c r="E9" i="64"/>
  <c r="E9" i="65" s="1"/>
  <c r="E9" i="66" s="1"/>
  <c r="D9" i="64"/>
  <c r="D9" i="65" s="1"/>
  <c r="D9" i="66" s="1"/>
  <c r="C9" i="64"/>
  <c r="C9" i="65" s="1"/>
  <c r="B9" i="64"/>
  <c r="A9" i="64"/>
  <c r="A9" i="65" s="1"/>
  <c r="A10" i="66" s="1"/>
  <c r="E8" i="64"/>
  <c r="E8" i="65" s="1"/>
  <c r="E8" i="66" s="1"/>
  <c r="D8" i="64"/>
  <c r="D8" i="65" s="1"/>
  <c r="D8" i="66" s="1"/>
  <c r="C8" i="64"/>
  <c r="C8" i="65" s="1"/>
  <c r="C8" i="66" s="1"/>
  <c r="B8" i="64"/>
  <c r="A8" i="64"/>
  <c r="E7" i="64"/>
  <c r="E7" i="65" s="1"/>
  <c r="E7" i="66" s="1"/>
  <c r="D7" i="64"/>
  <c r="D7" i="65" s="1"/>
  <c r="D7" i="66" s="1"/>
  <c r="C7" i="64"/>
  <c r="C7" i="65" s="1"/>
  <c r="B7" i="64"/>
  <c r="B7" i="65" s="1"/>
  <c r="A7" i="64"/>
  <c r="A7" i="65" s="1"/>
  <c r="A8" i="66" s="1"/>
  <c r="E6" i="64"/>
  <c r="E6" i="65" s="1"/>
  <c r="E6" i="66" s="1"/>
  <c r="D6" i="64"/>
  <c r="D6" i="65" s="1"/>
  <c r="D6" i="66" s="1"/>
  <c r="C6" i="64"/>
  <c r="C6" i="65" s="1"/>
  <c r="C6" i="66" s="1"/>
  <c r="B6" i="64"/>
  <c r="A6" i="64"/>
  <c r="A6" i="65" s="1"/>
  <c r="A7" i="66" s="1"/>
  <c r="E5" i="64"/>
  <c r="E5" i="65" s="1"/>
  <c r="E5" i="66" s="1"/>
  <c r="D5" i="64"/>
  <c r="D5" i="65" s="1"/>
  <c r="D5" i="66" s="1"/>
  <c r="C5" i="64"/>
  <c r="C5" i="65" s="1"/>
  <c r="C5" i="66" s="1"/>
  <c r="B5" i="64"/>
  <c r="A5" i="64"/>
  <c r="A1" i="64"/>
  <c r="O151" i="79"/>
  <c r="M150" i="79"/>
  <c r="W150" i="79" s="1"/>
  <c r="L150" i="79"/>
  <c r="K150" i="79"/>
  <c r="J150" i="79"/>
  <c r="I150" i="79"/>
  <c r="H150" i="79"/>
  <c r="G150" i="79"/>
  <c r="F150" i="79"/>
  <c r="E150" i="79"/>
  <c r="D150" i="79"/>
  <c r="C150" i="79"/>
  <c r="B150" i="79"/>
  <c r="O150" i="79" s="1"/>
  <c r="A150" i="79"/>
  <c r="M149" i="79"/>
  <c r="L149" i="79"/>
  <c r="K149" i="79"/>
  <c r="J149" i="79"/>
  <c r="I149" i="79"/>
  <c r="H149" i="79"/>
  <c r="G149" i="79"/>
  <c r="F149" i="79"/>
  <c r="E149" i="79"/>
  <c r="D149" i="79"/>
  <c r="C149" i="79"/>
  <c r="B149" i="79"/>
  <c r="O149" i="79" s="1"/>
  <c r="V149" i="79" s="1"/>
  <c r="A149" i="79"/>
  <c r="M148" i="79"/>
  <c r="L148" i="79"/>
  <c r="K148" i="79"/>
  <c r="J148" i="79"/>
  <c r="I148" i="79"/>
  <c r="H148" i="79"/>
  <c r="G148" i="79"/>
  <c r="F148" i="79"/>
  <c r="E148" i="79"/>
  <c r="D148" i="79"/>
  <c r="C148" i="79"/>
  <c r="B148" i="79"/>
  <c r="O148" i="79" s="1"/>
  <c r="A148" i="79"/>
  <c r="M147" i="79"/>
  <c r="L147" i="79"/>
  <c r="K147" i="79"/>
  <c r="J147" i="79"/>
  <c r="I147" i="79"/>
  <c r="H147" i="79"/>
  <c r="G147" i="79"/>
  <c r="F147" i="79"/>
  <c r="E147" i="79"/>
  <c r="D147" i="79"/>
  <c r="C147" i="79"/>
  <c r="B147" i="79"/>
  <c r="O147" i="79" s="1"/>
  <c r="A147" i="79"/>
  <c r="M146" i="79"/>
  <c r="L146" i="79"/>
  <c r="K146" i="79"/>
  <c r="J146" i="79"/>
  <c r="I146" i="79"/>
  <c r="H146" i="79"/>
  <c r="G146" i="79"/>
  <c r="F146" i="79"/>
  <c r="E146" i="79"/>
  <c r="D146" i="79"/>
  <c r="C146" i="79"/>
  <c r="B146" i="79"/>
  <c r="O146" i="79" s="1"/>
  <c r="A146" i="79"/>
  <c r="M145" i="79"/>
  <c r="L145" i="79"/>
  <c r="K145" i="79"/>
  <c r="J145" i="79"/>
  <c r="I145" i="79"/>
  <c r="H145" i="79"/>
  <c r="G145" i="79"/>
  <c r="F145" i="79"/>
  <c r="E145" i="79"/>
  <c r="D145" i="79"/>
  <c r="C145" i="79"/>
  <c r="B145" i="79"/>
  <c r="O145" i="79" s="1"/>
  <c r="V145" i="79" s="1"/>
  <c r="A145" i="79"/>
  <c r="M144" i="79"/>
  <c r="L144" i="79"/>
  <c r="K144" i="79"/>
  <c r="J144" i="79"/>
  <c r="I144" i="79"/>
  <c r="H144" i="79"/>
  <c r="G144" i="79"/>
  <c r="F144" i="79"/>
  <c r="E144" i="79"/>
  <c r="D144" i="79"/>
  <c r="C144" i="79"/>
  <c r="B144" i="79"/>
  <c r="O144" i="79" s="1"/>
  <c r="T144" i="79" s="1"/>
  <c r="A144" i="79"/>
  <c r="M143" i="79"/>
  <c r="L143" i="79"/>
  <c r="K143" i="79"/>
  <c r="J143" i="79"/>
  <c r="I143" i="79"/>
  <c r="H143" i="79"/>
  <c r="G143" i="79"/>
  <c r="F143" i="79"/>
  <c r="E143" i="79"/>
  <c r="D143" i="79"/>
  <c r="C143" i="79"/>
  <c r="B143" i="79"/>
  <c r="O143" i="79" s="1"/>
  <c r="A143" i="79"/>
  <c r="M142" i="79"/>
  <c r="L142" i="79"/>
  <c r="K142" i="79"/>
  <c r="J142" i="79"/>
  <c r="I142" i="79"/>
  <c r="H142" i="79"/>
  <c r="G142" i="79"/>
  <c r="F142" i="79"/>
  <c r="E142" i="79"/>
  <c r="D142" i="79"/>
  <c r="C142" i="79"/>
  <c r="B142" i="79"/>
  <c r="O142" i="79" s="1"/>
  <c r="A142" i="79"/>
  <c r="M141" i="79"/>
  <c r="L141" i="79"/>
  <c r="K141" i="79"/>
  <c r="J141" i="79"/>
  <c r="I141" i="79"/>
  <c r="H141" i="79"/>
  <c r="G141" i="79"/>
  <c r="F141" i="79"/>
  <c r="E141" i="79"/>
  <c r="D141" i="79"/>
  <c r="C141" i="79"/>
  <c r="B141" i="79"/>
  <c r="O141" i="79" s="1"/>
  <c r="A141" i="79"/>
  <c r="M140" i="79"/>
  <c r="L140" i="79"/>
  <c r="K140" i="79"/>
  <c r="J140" i="79"/>
  <c r="I140" i="79"/>
  <c r="H140" i="79"/>
  <c r="G140" i="79"/>
  <c r="F140" i="79"/>
  <c r="E140" i="79"/>
  <c r="D140" i="79"/>
  <c r="C140" i="79"/>
  <c r="B140" i="79"/>
  <c r="O140" i="79" s="1"/>
  <c r="A140" i="79"/>
  <c r="M139" i="79"/>
  <c r="L139" i="79"/>
  <c r="K139" i="79"/>
  <c r="J139" i="79"/>
  <c r="I139" i="79"/>
  <c r="H139" i="79"/>
  <c r="G139" i="79"/>
  <c r="F139" i="79"/>
  <c r="E139" i="79"/>
  <c r="D139" i="79"/>
  <c r="C139" i="79"/>
  <c r="B139" i="79"/>
  <c r="O139" i="79" s="1"/>
  <c r="A139" i="79"/>
  <c r="M138" i="79"/>
  <c r="L138" i="79"/>
  <c r="K138" i="79"/>
  <c r="J138" i="79"/>
  <c r="I138" i="79"/>
  <c r="H138" i="79"/>
  <c r="G138" i="79"/>
  <c r="F138" i="79"/>
  <c r="E138" i="79"/>
  <c r="D138" i="79"/>
  <c r="C138" i="79"/>
  <c r="B138" i="79"/>
  <c r="O138" i="79" s="1"/>
  <c r="A138" i="79"/>
  <c r="M137" i="79"/>
  <c r="L137" i="79"/>
  <c r="K137" i="79"/>
  <c r="J137" i="79"/>
  <c r="I137" i="79"/>
  <c r="H137" i="79"/>
  <c r="G137" i="79"/>
  <c r="F137" i="79"/>
  <c r="E137" i="79"/>
  <c r="D137" i="79"/>
  <c r="C137" i="79"/>
  <c r="B137" i="79"/>
  <c r="O137" i="79" s="1"/>
  <c r="A137" i="79"/>
  <c r="M136" i="79"/>
  <c r="L136" i="79"/>
  <c r="K136" i="79"/>
  <c r="J136" i="79"/>
  <c r="I136" i="79"/>
  <c r="H136" i="79"/>
  <c r="G136" i="79"/>
  <c r="F136" i="79"/>
  <c r="E136" i="79"/>
  <c r="D136" i="79"/>
  <c r="C136" i="79"/>
  <c r="B136" i="79"/>
  <c r="O136" i="79" s="1"/>
  <c r="A136" i="79"/>
  <c r="M135" i="79"/>
  <c r="L135" i="79"/>
  <c r="K135" i="79"/>
  <c r="J135" i="79"/>
  <c r="I135" i="79"/>
  <c r="H135" i="79"/>
  <c r="G135" i="79"/>
  <c r="F135" i="79"/>
  <c r="E135" i="79"/>
  <c r="D135" i="79"/>
  <c r="C135" i="79"/>
  <c r="B135" i="79"/>
  <c r="O135" i="79" s="1"/>
  <c r="A135" i="79"/>
  <c r="M134" i="79"/>
  <c r="L134" i="79"/>
  <c r="K134" i="79"/>
  <c r="J134" i="79"/>
  <c r="I134" i="79"/>
  <c r="H134" i="79"/>
  <c r="G134" i="79"/>
  <c r="F134" i="79"/>
  <c r="E134" i="79"/>
  <c r="D134" i="79"/>
  <c r="C134" i="79"/>
  <c r="B134" i="79"/>
  <c r="O134" i="79" s="1"/>
  <c r="A134" i="79"/>
  <c r="M133" i="79"/>
  <c r="L133" i="79"/>
  <c r="K133" i="79"/>
  <c r="J133" i="79"/>
  <c r="I133" i="79"/>
  <c r="H133" i="79"/>
  <c r="G133" i="79"/>
  <c r="F133" i="79"/>
  <c r="E133" i="79"/>
  <c r="D133" i="79"/>
  <c r="C133" i="79"/>
  <c r="B133" i="79"/>
  <c r="O133" i="79" s="1"/>
  <c r="S133" i="79" s="1"/>
  <c r="A133" i="79"/>
  <c r="M132" i="79"/>
  <c r="L132" i="79"/>
  <c r="K132" i="79"/>
  <c r="J132" i="79"/>
  <c r="I132" i="79"/>
  <c r="H132" i="79"/>
  <c r="G132" i="79"/>
  <c r="F132" i="79"/>
  <c r="E132" i="79"/>
  <c r="D132" i="79"/>
  <c r="C132" i="79"/>
  <c r="B132" i="79"/>
  <c r="O132" i="79" s="1"/>
  <c r="A132" i="79"/>
  <c r="M131" i="79"/>
  <c r="L131" i="79"/>
  <c r="K131" i="79"/>
  <c r="J131" i="79"/>
  <c r="I131" i="79"/>
  <c r="H131" i="79"/>
  <c r="G131" i="79"/>
  <c r="F131" i="79"/>
  <c r="E131" i="79"/>
  <c r="D131" i="79"/>
  <c r="C131" i="79"/>
  <c r="B131" i="79"/>
  <c r="O131" i="79" s="1"/>
  <c r="S131" i="79" s="1"/>
  <c r="A131" i="79"/>
  <c r="M130" i="79"/>
  <c r="L130" i="79"/>
  <c r="K130" i="79"/>
  <c r="J130" i="79"/>
  <c r="I130" i="79"/>
  <c r="H130" i="79"/>
  <c r="G130" i="79"/>
  <c r="F130" i="79"/>
  <c r="E130" i="79"/>
  <c r="D130" i="79"/>
  <c r="C130" i="79"/>
  <c r="B130" i="79"/>
  <c r="O130" i="79" s="1"/>
  <c r="A130" i="79"/>
  <c r="M129" i="79"/>
  <c r="L129" i="79"/>
  <c r="K129" i="79"/>
  <c r="J129" i="79"/>
  <c r="I129" i="79"/>
  <c r="H129" i="79"/>
  <c r="G129" i="79"/>
  <c r="F129" i="79"/>
  <c r="E129" i="79"/>
  <c r="D129" i="79"/>
  <c r="C129" i="79"/>
  <c r="B129" i="79"/>
  <c r="O129" i="79" s="1"/>
  <c r="A129" i="79"/>
  <c r="M128" i="79"/>
  <c r="L128" i="79"/>
  <c r="K128" i="79"/>
  <c r="J128" i="79"/>
  <c r="I128" i="79"/>
  <c r="H128" i="79"/>
  <c r="G128" i="79"/>
  <c r="F128" i="79"/>
  <c r="E128" i="79"/>
  <c r="D128" i="79"/>
  <c r="C128" i="79"/>
  <c r="B128" i="79"/>
  <c r="O128" i="79" s="1"/>
  <c r="A128" i="79"/>
  <c r="M127" i="79"/>
  <c r="L127" i="79"/>
  <c r="K127" i="79"/>
  <c r="J127" i="79"/>
  <c r="I127" i="79"/>
  <c r="H127" i="79"/>
  <c r="G127" i="79"/>
  <c r="F127" i="79"/>
  <c r="E127" i="79"/>
  <c r="D127" i="79"/>
  <c r="C127" i="79"/>
  <c r="B127" i="79"/>
  <c r="O127" i="79" s="1"/>
  <c r="A127" i="79"/>
  <c r="M126" i="79"/>
  <c r="L126" i="79"/>
  <c r="K126" i="79"/>
  <c r="J126" i="79"/>
  <c r="I126" i="79"/>
  <c r="H126" i="79"/>
  <c r="G126" i="79"/>
  <c r="F126" i="79"/>
  <c r="E126" i="79"/>
  <c r="D126" i="79"/>
  <c r="C126" i="79"/>
  <c r="B126" i="79"/>
  <c r="O126" i="79" s="1"/>
  <c r="A126" i="79"/>
  <c r="M125" i="79"/>
  <c r="L125" i="79"/>
  <c r="K125" i="79"/>
  <c r="J125" i="79"/>
  <c r="I125" i="79"/>
  <c r="H125" i="79"/>
  <c r="G125" i="79"/>
  <c r="F125" i="79"/>
  <c r="E125" i="79"/>
  <c r="D125" i="79"/>
  <c r="C125" i="79"/>
  <c r="B125" i="79"/>
  <c r="O125" i="79" s="1"/>
  <c r="A125" i="79"/>
  <c r="M124" i="79"/>
  <c r="L124" i="79"/>
  <c r="K124" i="79"/>
  <c r="J124" i="79"/>
  <c r="I124" i="79"/>
  <c r="H124" i="79"/>
  <c r="G124" i="79"/>
  <c r="F124" i="79"/>
  <c r="E124" i="79"/>
  <c r="D124" i="79"/>
  <c r="C124" i="79"/>
  <c r="B124" i="79"/>
  <c r="O124" i="79" s="1"/>
  <c r="A124" i="79"/>
  <c r="M123" i="79"/>
  <c r="L123" i="79"/>
  <c r="K123" i="79"/>
  <c r="J123" i="79"/>
  <c r="I123" i="79"/>
  <c r="H123" i="79"/>
  <c r="G123" i="79"/>
  <c r="F123" i="79"/>
  <c r="E123" i="79"/>
  <c r="D123" i="79"/>
  <c r="C123" i="79"/>
  <c r="B123" i="79"/>
  <c r="O123" i="79" s="1"/>
  <c r="A123" i="79"/>
  <c r="M122" i="79"/>
  <c r="L122" i="79"/>
  <c r="K122" i="79"/>
  <c r="J122" i="79"/>
  <c r="I122" i="79"/>
  <c r="H122" i="79"/>
  <c r="G122" i="79"/>
  <c r="F122" i="79"/>
  <c r="E122" i="79"/>
  <c r="D122" i="79"/>
  <c r="C122" i="79"/>
  <c r="B122" i="79"/>
  <c r="O122" i="79" s="1"/>
  <c r="A122" i="79"/>
  <c r="M121" i="79"/>
  <c r="L121" i="79"/>
  <c r="K121" i="79"/>
  <c r="J121" i="79"/>
  <c r="I121" i="79"/>
  <c r="H121" i="79"/>
  <c r="G121" i="79"/>
  <c r="F121" i="79"/>
  <c r="E121" i="79"/>
  <c r="D121" i="79"/>
  <c r="C121" i="79"/>
  <c r="B121" i="79"/>
  <c r="O121" i="79" s="1"/>
  <c r="A121" i="79"/>
  <c r="M120" i="79"/>
  <c r="L120" i="79"/>
  <c r="K120" i="79"/>
  <c r="J120" i="79"/>
  <c r="I120" i="79"/>
  <c r="H120" i="79"/>
  <c r="G120" i="79"/>
  <c r="F120" i="79"/>
  <c r="E120" i="79"/>
  <c r="D120" i="79"/>
  <c r="C120" i="79"/>
  <c r="B120" i="79"/>
  <c r="O120" i="79" s="1"/>
  <c r="A120" i="79"/>
  <c r="M119" i="79"/>
  <c r="L119" i="79"/>
  <c r="K119" i="79"/>
  <c r="J119" i="79"/>
  <c r="I119" i="79"/>
  <c r="H119" i="79"/>
  <c r="G119" i="79"/>
  <c r="F119" i="79"/>
  <c r="E119" i="79"/>
  <c r="D119" i="79"/>
  <c r="C119" i="79"/>
  <c r="B119" i="79"/>
  <c r="O119" i="79" s="1"/>
  <c r="A119" i="79"/>
  <c r="M118" i="79"/>
  <c r="L118" i="79"/>
  <c r="K118" i="79"/>
  <c r="J118" i="79"/>
  <c r="I118" i="79"/>
  <c r="H118" i="79"/>
  <c r="G118" i="79"/>
  <c r="F118" i="79"/>
  <c r="E118" i="79"/>
  <c r="D118" i="79"/>
  <c r="C118" i="79"/>
  <c r="B118" i="79"/>
  <c r="O118" i="79" s="1"/>
  <c r="A118" i="79"/>
  <c r="M117" i="79"/>
  <c r="L117" i="79"/>
  <c r="K117" i="79"/>
  <c r="J117" i="79"/>
  <c r="I117" i="79"/>
  <c r="H117" i="79"/>
  <c r="G117" i="79"/>
  <c r="F117" i="79"/>
  <c r="E117" i="79"/>
  <c r="D117" i="79"/>
  <c r="C117" i="79"/>
  <c r="B117" i="79"/>
  <c r="O117" i="79" s="1"/>
  <c r="A117" i="79"/>
  <c r="M116" i="79"/>
  <c r="L116" i="79"/>
  <c r="K116" i="79"/>
  <c r="J116" i="79"/>
  <c r="I116" i="79"/>
  <c r="H116" i="79"/>
  <c r="G116" i="79"/>
  <c r="F116" i="79"/>
  <c r="E116" i="79"/>
  <c r="D116" i="79"/>
  <c r="C116" i="79"/>
  <c r="B116" i="79"/>
  <c r="O116" i="79" s="1"/>
  <c r="A116" i="79"/>
  <c r="M115" i="79"/>
  <c r="L115" i="79"/>
  <c r="K115" i="79"/>
  <c r="J115" i="79"/>
  <c r="I115" i="79"/>
  <c r="H115" i="79"/>
  <c r="G115" i="79"/>
  <c r="F115" i="79"/>
  <c r="E115" i="79"/>
  <c r="D115" i="79"/>
  <c r="C115" i="79"/>
  <c r="B115" i="79"/>
  <c r="O115" i="79" s="1"/>
  <c r="A115" i="79"/>
  <c r="M114" i="79"/>
  <c r="L114" i="79"/>
  <c r="K114" i="79"/>
  <c r="J114" i="79"/>
  <c r="I114" i="79"/>
  <c r="H114" i="79"/>
  <c r="G114" i="79"/>
  <c r="F114" i="79"/>
  <c r="E114" i="79"/>
  <c r="D114" i="79"/>
  <c r="C114" i="79"/>
  <c r="B114" i="79"/>
  <c r="O114" i="79" s="1"/>
  <c r="A114" i="79"/>
  <c r="M113" i="79"/>
  <c r="L113" i="79"/>
  <c r="K113" i="79"/>
  <c r="J113" i="79"/>
  <c r="I113" i="79"/>
  <c r="H113" i="79"/>
  <c r="G113" i="79"/>
  <c r="F113" i="79"/>
  <c r="E113" i="79"/>
  <c r="D113" i="79"/>
  <c r="C113" i="79"/>
  <c r="B113" i="79"/>
  <c r="O113" i="79" s="1"/>
  <c r="A113" i="79"/>
  <c r="M112" i="79"/>
  <c r="L112" i="79"/>
  <c r="K112" i="79"/>
  <c r="J112" i="79"/>
  <c r="I112" i="79"/>
  <c r="H112" i="79"/>
  <c r="G112" i="79"/>
  <c r="F112" i="79"/>
  <c r="E112" i="79"/>
  <c r="D112" i="79"/>
  <c r="C112" i="79"/>
  <c r="B112" i="79"/>
  <c r="O112" i="79" s="1"/>
  <c r="A112" i="79"/>
  <c r="M111" i="79"/>
  <c r="L111" i="79"/>
  <c r="K111" i="79"/>
  <c r="J111" i="79"/>
  <c r="I111" i="79"/>
  <c r="H111" i="79"/>
  <c r="G111" i="79"/>
  <c r="F111" i="79"/>
  <c r="E111" i="79"/>
  <c r="D111" i="79"/>
  <c r="C111" i="79"/>
  <c r="B111" i="79"/>
  <c r="O111" i="79" s="1"/>
  <c r="A111" i="79"/>
  <c r="M110" i="79"/>
  <c r="L110" i="79"/>
  <c r="K110" i="79"/>
  <c r="J110" i="79"/>
  <c r="I110" i="79"/>
  <c r="H110" i="79"/>
  <c r="G110" i="79"/>
  <c r="F110" i="79"/>
  <c r="E110" i="79"/>
  <c r="D110" i="79"/>
  <c r="C110" i="79"/>
  <c r="B110" i="79"/>
  <c r="O110" i="79" s="1"/>
  <c r="R110" i="79" s="1"/>
  <c r="A110" i="79"/>
  <c r="M109" i="79"/>
  <c r="L109" i="79"/>
  <c r="K109" i="79"/>
  <c r="J109" i="79"/>
  <c r="I109" i="79"/>
  <c r="H109" i="79"/>
  <c r="G109" i="79"/>
  <c r="F109" i="79"/>
  <c r="E109" i="79"/>
  <c r="D109" i="79"/>
  <c r="C109" i="79"/>
  <c r="B109" i="79"/>
  <c r="O109" i="79" s="1"/>
  <c r="A109" i="79"/>
  <c r="M108" i="79"/>
  <c r="L108" i="79"/>
  <c r="K108" i="79"/>
  <c r="J108" i="79"/>
  <c r="I108" i="79"/>
  <c r="H108" i="79"/>
  <c r="G108" i="79"/>
  <c r="F108" i="79"/>
  <c r="E108" i="79"/>
  <c r="D108" i="79"/>
  <c r="C108" i="79"/>
  <c r="B108" i="79"/>
  <c r="O108" i="79" s="1"/>
  <c r="A108" i="79"/>
  <c r="M107" i="79"/>
  <c r="L107" i="79"/>
  <c r="K107" i="79"/>
  <c r="J107" i="79"/>
  <c r="I107" i="79"/>
  <c r="H107" i="79"/>
  <c r="G107" i="79"/>
  <c r="F107" i="79"/>
  <c r="E107" i="79"/>
  <c r="D107" i="79"/>
  <c r="C107" i="79"/>
  <c r="B107" i="79"/>
  <c r="O107" i="79" s="1"/>
  <c r="T107" i="79" s="1"/>
  <c r="A107" i="79"/>
  <c r="M106" i="79"/>
  <c r="L106" i="79"/>
  <c r="K106" i="79"/>
  <c r="J106" i="79"/>
  <c r="I106" i="79"/>
  <c r="H106" i="79"/>
  <c r="G106" i="79"/>
  <c r="F106" i="79"/>
  <c r="E106" i="79"/>
  <c r="D106" i="79"/>
  <c r="C106" i="79"/>
  <c r="B106" i="79"/>
  <c r="O106" i="79" s="1"/>
  <c r="A106" i="79"/>
  <c r="M105" i="79"/>
  <c r="L105" i="79"/>
  <c r="K105" i="79"/>
  <c r="J105" i="79"/>
  <c r="I105" i="79"/>
  <c r="H105" i="79"/>
  <c r="G105" i="79"/>
  <c r="F105" i="79"/>
  <c r="E105" i="79"/>
  <c r="D105" i="79"/>
  <c r="C105" i="79"/>
  <c r="B105" i="79"/>
  <c r="O105" i="79" s="1"/>
  <c r="A105" i="79"/>
  <c r="M104" i="79"/>
  <c r="L104" i="79"/>
  <c r="K104" i="79"/>
  <c r="J104" i="79"/>
  <c r="I104" i="79"/>
  <c r="H104" i="79"/>
  <c r="G104" i="79"/>
  <c r="F104" i="79"/>
  <c r="E104" i="79"/>
  <c r="D104" i="79"/>
  <c r="C104" i="79"/>
  <c r="B104" i="79"/>
  <c r="O104" i="79" s="1"/>
  <c r="A104" i="79"/>
  <c r="M103" i="79"/>
  <c r="L103" i="79"/>
  <c r="K103" i="79"/>
  <c r="J103" i="79"/>
  <c r="I103" i="79"/>
  <c r="H103" i="79"/>
  <c r="G103" i="79"/>
  <c r="F103" i="79"/>
  <c r="E103" i="79"/>
  <c r="D103" i="79"/>
  <c r="C103" i="79"/>
  <c r="B103" i="79"/>
  <c r="O103" i="79" s="1"/>
  <c r="A103" i="79"/>
  <c r="M102" i="79"/>
  <c r="L102" i="79"/>
  <c r="K102" i="79"/>
  <c r="J102" i="79"/>
  <c r="I102" i="79"/>
  <c r="H102" i="79"/>
  <c r="G102" i="79"/>
  <c r="F102" i="79"/>
  <c r="E102" i="79"/>
  <c r="D102" i="79"/>
  <c r="C102" i="79"/>
  <c r="B102" i="79"/>
  <c r="O102" i="79" s="1"/>
  <c r="A102" i="79"/>
  <c r="M101" i="79"/>
  <c r="L101" i="79"/>
  <c r="K101" i="79"/>
  <c r="J101" i="79"/>
  <c r="I101" i="79"/>
  <c r="H101" i="79"/>
  <c r="G101" i="79"/>
  <c r="F101" i="79"/>
  <c r="E101" i="79"/>
  <c r="D101" i="79"/>
  <c r="C101" i="79"/>
  <c r="B101" i="79"/>
  <c r="O101" i="79" s="1"/>
  <c r="A101" i="79"/>
  <c r="M100" i="79"/>
  <c r="L100" i="79"/>
  <c r="K100" i="79"/>
  <c r="J100" i="79"/>
  <c r="I100" i="79"/>
  <c r="H100" i="79"/>
  <c r="G100" i="79"/>
  <c r="F100" i="79"/>
  <c r="E100" i="79"/>
  <c r="D100" i="79"/>
  <c r="C100" i="79"/>
  <c r="B100" i="79"/>
  <c r="O100" i="79" s="1"/>
  <c r="A100" i="79"/>
  <c r="M99" i="79"/>
  <c r="L99" i="79"/>
  <c r="K99" i="79"/>
  <c r="J99" i="79"/>
  <c r="I99" i="79"/>
  <c r="H99" i="79"/>
  <c r="G99" i="79"/>
  <c r="F99" i="79"/>
  <c r="E99" i="79"/>
  <c r="D99" i="79"/>
  <c r="C99" i="79"/>
  <c r="B99" i="79"/>
  <c r="O99" i="79" s="1"/>
  <c r="A99" i="79"/>
  <c r="M98" i="79"/>
  <c r="L98" i="79"/>
  <c r="K98" i="79"/>
  <c r="J98" i="79"/>
  <c r="I98" i="79"/>
  <c r="H98" i="79"/>
  <c r="G98" i="79"/>
  <c r="F98" i="79"/>
  <c r="E98" i="79"/>
  <c r="D98" i="79"/>
  <c r="C98" i="79"/>
  <c r="B98" i="79"/>
  <c r="O98" i="79" s="1"/>
  <c r="A98" i="79"/>
  <c r="M97" i="79"/>
  <c r="L97" i="79"/>
  <c r="K97" i="79"/>
  <c r="J97" i="79"/>
  <c r="I97" i="79"/>
  <c r="H97" i="79"/>
  <c r="G97" i="79"/>
  <c r="F97" i="79"/>
  <c r="E97" i="79"/>
  <c r="D97" i="79"/>
  <c r="C97" i="79"/>
  <c r="B97" i="79"/>
  <c r="O97" i="79" s="1"/>
  <c r="A97" i="79"/>
  <c r="M96" i="79"/>
  <c r="L96" i="79"/>
  <c r="K96" i="79"/>
  <c r="J96" i="79"/>
  <c r="I96" i="79"/>
  <c r="H96" i="79"/>
  <c r="G96" i="79"/>
  <c r="F96" i="79"/>
  <c r="E96" i="79"/>
  <c r="D96" i="79"/>
  <c r="C96" i="79"/>
  <c r="B96" i="79"/>
  <c r="O96" i="79" s="1"/>
  <c r="A96" i="79"/>
  <c r="M95" i="79"/>
  <c r="L95" i="79"/>
  <c r="K95" i="79"/>
  <c r="J95" i="79"/>
  <c r="I95" i="79"/>
  <c r="H95" i="79"/>
  <c r="G95" i="79"/>
  <c r="F95" i="79"/>
  <c r="E95" i="79"/>
  <c r="D95" i="79"/>
  <c r="C95" i="79"/>
  <c r="B95" i="79"/>
  <c r="O95" i="79" s="1"/>
  <c r="A95" i="79"/>
  <c r="M94" i="79"/>
  <c r="L94" i="79"/>
  <c r="K94" i="79"/>
  <c r="J94" i="79"/>
  <c r="I94" i="79"/>
  <c r="H94" i="79"/>
  <c r="G94" i="79"/>
  <c r="F94" i="79"/>
  <c r="E94" i="79"/>
  <c r="D94" i="79"/>
  <c r="C94" i="79"/>
  <c r="B94" i="79"/>
  <c r="O94" i="79" s="1"/>
  <c r="A94" i="79"/>
  <c r="M93" i="79"/>
  <c r="L93" i="79"/>
  <c r="K93" i="79"/>
  <c r="J93" i="79"/>
  <c r="I93" i="79"/>
  <c r="H93" i="79"/>
  <c r="G93" i="79"/>
  <c r="F93" i="79"/>
  <c r="E93" i="79"/>
  <c r="D93" i="79"/>
  <c r="C93" i="79"/>
  <c r="B93" i="79"/>
  <c r="O93" i="79" s="1"/>
  <c r="A93" i="79"/>
  <c r="M92" i="79"/>
  <c r="L92" i="79"/>
  <c r="K92" i="79"/>
  <c r="J92" i="79"/>
  <c r="I92" i="79"/>
  <c r="H92" i="79"/>
  <c r="G92" i="79"/>
  <c r="F92" i="79"/>
  <c r="E92" i="79"/>
  <c r="D92" i="79"/>
  <c r="C92" i="79"/>
  <c r="B92" i="79"/>
  <c r="O92" i="79" s="1"/>
  <c r="A92" i="79"/>
  <c r="M91" i="79"/>
  <c r="L91" i="79"/>
  <c r="K91" i="79"/>
  <c r="J91" i="79"/>
  <c r="I91" i="79"/>
  <c r="H91" i="79"/>
  <c r="G91" i="79"/>
  <c r="F91" i="79"/>
  <c r="E91" i="79"/>
  <c r="D91" i="79"/>
  <c r="C91" i="79"/>
  <c r="B91" i="79"/>
  <c r="O91" i="79" s="1"/>
  <c r="T91" i="79" s="1"/>
  <c r="A91" i="79"/>
  <c r="M90" i="79"/>
  <c r="L90" i="79"/>
  <c r="K90" i="79"/>
  <c r="J90" i="79"/>
  <c r="I90" i="79"/>
  <c r="H90" i="79"/>
  <c r="G90" i="79"/>
  <c r="F90" i="79"/>
  <c r="E90" i="79"/>
  <c r="D90" i="79"/>
  <c r="C90" i="79"/>
  <c r="B90" i="79"/>
  <c r="O90" i="79" s="1"/>
  <c r="A90" i="79"/>
  <c r="M89" i="79"/>
  <c r="L89" i="79"/>
  <c r="K89" i="79"/>
  <c r="J89" i="79"/>
  <c r="I89" i="79"/>
  <c r="H89" i="79"/>
  <c r="G89" i="79"/>
  <c r="F89" i="79"/>
  <c r="E89" i="79"/>
  <c r="D89" i="79"/>
  <c r="C89" i="79"/>
  <c r="B89" i="79"/>
  <c r="O89" i="79" s="1"/>
  <c r="A89" i="79"/>
  <c r="M88" i="79"/>
  <c r="L88" i="79"/>
  <c r="K88" i="79"/>
  <c r="J88" i="79"/>
  <c r="I88" i="79"/>
  <c r="H88" i="79"/>
  <c r="G88" i="79"/>
  <c r="F88" i="79"/>
  <c r="E88" i="79"/>
  <c r="D88" i="79"/>
  <c r="C88" i="79"/>
  <c r="B88" i="79"/>
  <c r="O88" i="79" s="1"/>
  <c r="A88" i="79"/>
  <c r="M87" i="79"/>
  <c r="L87" i="79"/>
  <c r="K87" i="79"/>
  <c r="J87" i="79"/>
  <c r="I87" i="79"/>
  <c r="H87" i="79"/>
  <c r="G87" i="79"/>
  <c r="F87" i="79"/>
  <c r="E87" i="79"/>
  <c r="D87" i="79"/>
  <c r="C87" i="79"/>
  <c r="B87" i="79"/>
  <c r="O87" i="79" s="1"/>
  <c r="A87" i="79"/>
  <c r="M86" i="79"/>
  <c r="L86" i="79"/>
  <c r="K86" i="79"/>
  <c r="J86" i="79"/>
  <c r="I86" i="79"/>
  <c r="H86" i="79"/>
  <c r="G86" i="79"/>
  <c r="F86" i="79"/>
  <c r="E86" i="79"/>
  <c r="D86" i="79"/>
  <c r="C86" i="79"/>
  <c r="B86" i="79"/>
  <c r="O86" i="79" s="1"/>
  <c r="A86" i="79"/>
  <c r="M85" i="79"/>
  <c r="L85" i="79"/>
  <c r="K85" i="79"/>
  <c r="J85" i="79"/>
  <c r="I85" i="79"/>
  <c r="H85" i="79"/>
  <c r="G85" i="79"/>
  <c r="F85" i="79"/>
  <c r="E85" i="79"/>
  <c r="D85" i="79"/>
  <c r="C85" i="79"/>
  <c r="B85" i="79"/>
  <c r="O85" i="79" s="1"/>
  <c r="A85" i="79"/>
  <c r="M84" i="79"/>
  <c r="L84" i="79"/>
  <c r="K84" i="79"/>
  <c r="J84" i="79"/>
  <c r="I84" i="79"/>
  <c r="H84" i="79"/>
  <c r="G84" i="79"/>
  <c r="F84" i="79"/>
  <c r="E84" i="79"/>
  <c r="D84" i="79"/>
  <c r="C84" i="79"/>
  <c r="B84" i="79"/>
  <c r="O84" i="79" s="1"/>
  <c r="A84" i="79"/>
  <c r="M83" i="79"/>
  <c r="L83" i="79"/>
  <c r="K83" i="79"/>
  <c r="J83" i="79"/>
  <c r="I83" i="79"/>
  <c r="H83" i="79"/>
  <c r="G83" i="79"/>
  <c r="F83" i="79"/>
  <c r="E83" i="79"/>
  <c r="D83" i="79"/>
  <c r="C83" i="79"/>
  <c r="B83" i="79"/>
  <c r="O83" i="79" s="1"/>
  <c r="T83" i="79" s="1"/>
  <c r="A83" i="79"/>
  <c r="M82" i="79"/>
  <c r="L82" i="79"/>
  <c r="K82" i="79"/>
  <c r="J82" i="79"/>
  <c r="I82" i="79"/>
  <c r="H82" i="79"/>
  <c r="G82" i="79"/>
  <c r="F82" i="79"/>
  <c r="E82" i="79"/>
  <c r="D82" i="79"/>
  <c r="C82" i="79"/>
  <c r="B82" i="79"/>
  <c r="O82" i="79" s="1"/>
  <c r="A82" i="79"/>
  <c r="M81" i="79"/>
  <c r="L81" i="79"/>
  <c r="K81" i="79"/>
  <c r="J81" i="79"/>
  <c r="I81" i="79"/>
  <c r="H81" i="79"/>
  <c r="G81" i="79"/>
  <c r="F81" i="79"/>
  <c r="E81" i="79"/>
  <c r="D81" i="79"/>
  <c r="C81" i="79"/>
  <c r="B81" i="79"/>
  <c r="O81" i="79" s="1"/>
  <c r="A81" i="79"/>
  <c r="M80" i="79"/>
  <c r="L80" i="79"/>
  <c r="K80" i="79"/>
  <c r="J80" i="79"/>
  <c r="I80" i="79"/>
  <c r="H80" i="79"/>
  <c r="G80" i="79"/>
  <c r="F80" i="79"/>
  <c r="E80" i="79"/>
  <c r="D80" i="79"/>
  <c r="C80" i="79"/>
  <c r="B80" i="79"/>
  <c r="O80" i="79" s="1"/>
  <c r="A80" i="79"/>
  <c r="M79" i="79"/>
  <c r="L79" i="79"/>
  <c r="K79" i="79"/>
  <c r="J79" i="79"/>
  <c r="I79" i="79"/>
  <c r="H79" i="79"/>
  <c r="G79" i="79"/>
  <c r="F79" i="79"/>
  <c r="E79" i="79"/>
  <c r="D79" i="79"/>
  <c r="C79" i="79"/>
  <c r="B79" i="79"/>
  <c r="O79" i="79" s="1"/>
  <c r="U79" i="79" s="1"/>
  <c r="A79" i="79"/>
  <c r="M78" i="79"/>
  <c r="L78" i="79"/>
  <c r="K78" i="79"/>
  <c r="J78" i="79"/>
  <c r="I78" i="79"/>
  <c r="H78" i="79"/>
  <c r="G78" i="79"/>
  <c r="F78" i="79"/>
  <c r="E78" i="79"/>
  <c r="D78" i="79"/>
  <c r="C78" i="79"/>
  <c r="B78" i="79"/>
  <c r="O78" i="79" s="1"/>
  <c r="A78" i="79"/>
  <c r="M77" i="79"/>
  <c r="L77" i="79"/>
  <c r="K77" i="79"/>
  <c r="J77" i="79"/>
  <c r="I77" i="79"/>
  <c r="H77" i="79"/>
  <c r="G77" i="79"/>
  <c r="F77" i="79"/>
  <c r="E77" i="79"/>
  <c r="D77" i="79"/>
  <c r="C77" i="79"/>
  <c r="B77" i="79"/>
  <c r="O77" i="79" s="1"/>
  <c r="A77" i="79"/>
  <c r="M76" i="79"/>
  <c r="L76" i="79"/>
  <c r="K76" i="79"/>
  <c r="J76" i="79"/>
  <c r="I76" i="79"/>
  <c r="H76" i="79"/>
  <c r="G76" i="79"/>
  <c r="F76" i="79"/>
  <c r="E76" i="79"/>
  <c r="D76" i="79"/>
  <c r="C76" i="79"/>
  <c r="B76" i="79"/>
  <c r="O76" i="79" s="1"/>
  <c r="A76" i="79"/>
  <c r="M75" i="79"/>
  <c r="L75" i="79"/>
  <c r="K75" i="79"/>
  <c r="J75" i="79"/>
  <c r="I75" i="79"/>
  <c r="H75" i="79"/>
  <c r="G75" i="79"/>
  <c r="F75" i="79"/>
  <c r="E75" i="79"/>
  <c r="D75" i="79"/>
  <c r="C75" i="79"/>
  <c r="B75" i="79"/>
  <c r="O75" i="79" s="1"/>
  <c r="A75" i="79"/>
  <c r="M74" i="79"/>
  <c r="L74" i="79"/>
  <c r="K74" i="79"/>
  <c r="J74" i="79"/>
  <c r="I74" i="79"/>
  <c r="H74" i="79"/>
  <c r="G74" i="79"/>
  <c r="F74" i="79"/>
  <c r="E74" i="79"/>
  <c r="D74" i="79"/>
  <c r="C74" i="79"/>
  <c r="B74" i="79"/>
  <c r="O74" i="79" s="1"/>
  <c r="A74" i="79"/>
  <c r="M73" i="79"/>
  <c r="L73" i="79"/>
  <c r="K73" i="79"/>
  <c r="J73" i="79"/>
  <c r="I73" i="79"/>
  <c r="H73" i="79"/>
  <c r="G73" i="79"/>
  <c r="F73" i="79"/>
  <c r="E73" i="79"/>
  <c r="D73" i="79"/>
  <c r="C73" i="79"/>
  <c r="B73" i="79"/>
  <c r="O73" i="79" s="1"/>
  <c r="A73" i="79"/>
  <c r="M72" i="79"/>
  <c r="L72" i="79"/>
  <c r="K72" i="79"/>
  <c r="J72" i="79"/>
  <c r="I72" i="79"/>
  <c r="H72" i="79"/>
  <c r="G72" i="79"/>
  <c r="F72" i="79"/>
  <c r="E72" i="79"/>
  <c r="D72" i="79"/>
  <c r="C72" i="79"/>
  <c r="B72" i="79"/>
  <c r="O72" i="79" s="1"/>
  <c r="A72" i="79"/>
  <c r="M71" i="79"/>
  <c r="L71" i="79"/>
  <c r="K71" i="79"/>
  <c r="J71" i="79"/>
  <c r="I71" i="79"/>
  <c r="H71" i="79"/>
  <c r="G71" i="79"/>
  <c r="F71" i="79"/>
  <c r="E71" i="79"/>
  <c r="D71" i="79"/>
  <c r="C71" i="79"/>
  <c r="B71" i="79"/>
  <c r="O71" i="79" s="1"/>
  <c r="A71" i="79"/>
  <c r="M70" i="79"/>
  <c r="L70" i="79"/>
  <c r="K70" i="79"/>
  <c r="J70" i="79"/>
  <c r="I70" i="79"/>
  <c r="H70" i="79"/>
  <c r="G70" i="79"/>
  <c r="F70" i="79"/>
  <c r="E70" i="79"/>
  <c r="D70" i="79"/>
  <c r="C70" i="79"/>
  <c r="B70" i="79"/>
  <c r="O70" i="79" s="1"/>
  <c r="A70" i="79"/>
  <c r="M69" i="79"/>
  <c r="L69" i="79"/>
  <c r="K69" i="79"/>
  <c r="J69" i="79"/>
  <c r="I69" i="79"/>
  <c r="H69" i="79"/>
  <c r="G69" i="79"/>
  <c r="F69" i="79"/>
  <c r="E69" i="79"/>
  <c r="D69" i="79"/>
  <c r="C69" i="79"/>
  <c r="B69" i="79"/>
  <c r="O69" i="79" s="1"/>
  <c r="A69" i="79"/>
  <c r="M68" i="79"/>
  <c r="L68" i="79"/>
  <c r="K68" i="79"/>
  <c r="J68" i="79"/>
  <c r="I68" i="79"/>
  <c r="H68" i="79"/>
  <c r="G68" i="79"/>
  <c r="F68" i="79"/>
  <c r="E68" i="79"/>
  <c r="D68" i="79"/>
  <c r="C68" i="79"/>
  <c r="B68" i="79"/>
  <c r="O68" i="79" s="1"/>
  <c r="A68" i="79"/>
  <c r="M67" i="79"/>
  <c r="L67" i="79"/>
  <c r="K67" i="79"/>
  <c r="J67" i="79"/>
  <c r="I67" i="79"/>
  <c r="H67" i="79"/>
  <c r="G67" i="79"/>
  <c r="F67" i="79"/>
  <c r="E67" i="79"/>
  <c r="D67" i="79"/>
  <c r="C67" i="79"/>
  <c r="B67" i="79"/>
  <c r="O67" i="79" s="1"/>
  <c r="A67" i="79"/>
  <c r="M66" i="79"/>
  <c r="L66" i="79"/>
  <c r="K66" i="79"/>
  <c r="J66" i="79"/>
  <c r="I66" i="79"/>
  <c r="H66" i="79"/>
  <c r="G66" i="79"/>
  <c r="F66" i="79"/>
  <c r="E66" i="79"/>
  <c r="D66" i="79"/>
  <c r="C66" i="79"/>
  <c r="B66" i="79"/>
  <c r="O66" i="79" s="1"/>
  <c r="A66" i="79"/>
  <c r="M65" i="79"/>
  <c r="L65" i="79"/>
  <c r="K65" i="79"/>
  <c r="J65" i="79"/>
  <c r="I65" i="79"/>
  <c r="H65" i="79"/>
  <c r="G65" i="79"/>
  <c r="F65" i="79"/>
  <c r="E65" i="79"/>
  <c r="D65" i="79"/>
  <c r="C65" i="79"/>
  <c r="B65" i="79"/>
  <c r="O65" i="79" s="1"/>
  <c r="A65" i="79"/>
  <c r="M64" i="79"/>
  <c r="L64" i="79"/>
  <c r="K64" i="79"/>
  <c r="J64" i="79"/>
  <c r="I64" i="79"/>
  <c r="H64" i="79"/>
  <c r="G64" i="79"/>
  <c r="F64" i="79"/>
  <c r="E64" i="79"/>
  <c r="D64" i="79"/>
  <c r="C64" i="79"/>
  <c r="B64" i="79"/>
  <c r="O64" i="79" s="1"/>
  <c r="A64" i="79"/>
  <c r="M63" i="79"/>
  <c r="L63" i="79"/>
  <c r="K63" i="79"/>
  <c r="J63" i="79"/>
  <c r="I63" i="79"/>
  <c r="H63" i="79"/>
  <c r="G63" i="79"/>
  <c r="F63" i="79"/>
  <c r="E63" i="79"/>
  <c r="D63" i="79"/>
  <c r="C63" i="79"/>
  <c r="B63" i="79"/>
  <c r="O63" i="79" s="1"/>
  <c r="A63" i="79"/>
  <c r="M62" i="79"/>
  <c r="L62" i="79"/>
  <c r="K62" i="79"/>
  <c r="J62" i="79"/>
  <c r="I62" i="79"/>
  <c r="H62" i="79"/>
  <c r="G62" i="79"/>
  <c r="F62" i="79"/>
  <c r="E62" i="79"/>
  <c r="D62" i="79"/>
  <c r="C62" i="79"/>
  <c r="B62" i="79"/>
  <c r="O62" i="79" s="1"/>
  <c r="T62" i="79" s="1"/>
  <c r="A62" i="79"/>
  <c r="M61" i="79"/>
  <c r="L61" i="79"/>
  <c r="K61" i="79"/>
  <c r="J61" i="79"/>
  <c r="I61" i="79"/>
  <c r="H61" i="79"/>
  <c r="G61" i="79"/>
  <c r="F61" i="79"/>
  <c r="E61" i="79"/>
  <c r="D61" i="79"/>
  <c r="C61" i="79"/>
  <c r="B61" i="79"/>
  <c r="O61" i="79" s="1"/>
  <c r="A61" i="79"/>
  <c r="M60" i="79"/>
  <c r="L60" i="79"/>
  <c r="K60" i="79"/>
  <c r="J60" i="79"/>
  <c r="I60" i="79"/>
  <c r="H60" i="79"/>
  <c r="G60" i="79"/>
  <c r="F60" i="79"/>
  <c r="E60" i="79"/>
  <c r="D60" i="79"/>
  <c r="C60" i="79"/>
  <c r="B60" i="79"/>
  <c r="O60" i="79" s="1"/>
  <c r="A60" i="79"/>
  <c r="M59" i="79"/>
  <c r="L59" i="79"/>
  <c r="K59" i="79"/>
  <c r="J59" i="79"/>
  <c r="I59" i="79"/>
  <c r="H59" i="79"/>
  <c r="G59" i="79"/>
  <c r="F59" i="79"/>
  <c r="E59" i="79"/>
  <c r="D59" i="79"/>
  <c r="C59" i="79"/>
  <c r="B59" i="79"/>
  <c r="O59" i="79" s="1"/>
  <c r="A59" i="79"/>
  <c r="M58" i="79"/>
  <c r="L58" i="79"/>
  <c r="K58" i="79"/>
  <c r="J58" i="79"/>
  <c r="I58" i="79"/>
  <c r="H58" i="79"/>
  <c r="G58" i="79"/>
  <c r="F58" i="79"/>
  <c r="E58" i="79"/>
  <c r="D58" i="79"/>
  <c r="C58" i="79"/>
  <c r="B58" i="79"/>
  <c r="O58" i="79" s="1"/>
  <c r="S58" i="79" s="1"/>
  <c r="A58" i="79"/>
  <c r="M57" i="79"/>
  <c r="L57" i="79"/>
  <c r="K57" i="79"/>
  <c r="J57" i="79"/>
  <c r="I57" i="79"/>
  <c r="H57" i="79"/>
  <c r="G57" i="79"/>
  <c r="F57" i="79"/>
  <c r="E57" i="79"/>
  <c r="D57" i="79"/>
  <c r="C57" i="79"/>
  <c r="B57" i="79"/>
  <c r="O57" i="79" s="1"/>
  <c r="A57" i="79"/>
  <c r="M56" i="79"/>
  <c r="L56" i="79"/>
  <c r="K56" i="79"/>
  <c r="J56" i="79"/>
  <c r="I56" i="79"/>
  <c r="H56" i="79"/>
  <c r="G56" i="79"/>
  <c r="F56" i="79"/>
  <c r="E56" i="79"/>
  <c r="D56" i="79"/>
  <c r="C56" i="79"/>
  <c r="B56" i="79"/>
  <c r="O56" i="79" s="1"/>
  <c r="A56" i="79"/>
  <c r="M55" i="79"/>
  <c r="L55" i="79"/>
  <c r="K55" i="79"/>
  <c r="J55" i="79"/>
  <c r="I55" i="79"/>
  <c r="H55" i="79"/>
  <c r="G55" i="79"/>
  <c r="F55" i="79"/>
  <c r="E55" i="79"/>
  <c r="D55" i="79"/>
  <c r="C55" i="79"/>
  <c r="B55" i="79"/>
  <c r="O55" i="79" s="1"/>
  <c r="A55" i="79"/>
  <c r="M54" i="79"/>
  <c r="L54" i="79"/>
  <c r="K54" i="79"/>
  <c r="J54" i="79"/>
  <c r="I54" i="79"/>
  <c r="H54" i="79"/>
  <c r="G54" i="79"/>
  <c r="F54" i="79"/>
  <c r="E54" i="79"/>
  <c r="D54" i="79"/>
  <c r="C54" i="79"/>
  <c r="B54" i="79"/>
  <c r="O54" i="79" s="1"/>
  <c r="R54" i="79" s="1"/>
  <c r="A54" i="79"/>
  <c r="M53" i="79"/>
  <c r="L53" i="79"/>
  <c r="K53" i="79"/>
  <c r="J53" i="79"/>
  <c r="I53" i="79"/>
  <c r="H53" i="79"/>
  <c r="G53" i="79"/>
  <c r="F53" i="79"/>
  <c r="E53" i="79"/>
  <c r="D53" i="79"/>
  <c r="C53" i="79"/>
  <c r="B53" i="79"/>
  <c r="O53" i="79" s="1"/>
  <c r="A53" i="79"/>
  <c r="M52" i="79"/>
  <c r="L52" i="79"/>
  <c r="K52" i="79"/>
  <c r="J52" i="79"/>
  <c r="I52" i="79"/>
  <c r="H52" i="79"/>
  <c r="G52" i="79"/>
  <c r="F52" i="79"/>
  <c r="E52" i="79"/>
  <c r="D52" i="79"/>
  <c r="C52" i="79"/>
  <c r="B52" i="79"/>
  <c r="O52" i="79" s="1"/>
  <c r="A52" i="79"/>
  <c r="M51" i="79"/>
  <c r="L51" i="79"/>
  <c r="K51" i="79"/>
  <c r="J51" i="79"/>
  <c r="I51" i="79"/>
  <c r="H51" i="79"/>
  <c r="G51" i="79"/>
  <c r="F51" i="79"/>
  <c r="E51" i="79"/>
  <c r="D51" i="79"/>
  <c r="C51" i="79"/>
  <c r="B51" i="79"/>
  <c r="O51" i="79" s="1"/>
  <c r="A51" i="79"/>
  <c r="M50" i="79"/>
  <c r="L50" i="79"/>
  <c r="K50" i="79"/>
  <c r="J50" i="79"/>
  <c r="I50" i="79"/>
  <c r="H50" i="79"/>
  <c r="G50" i="79"/>
  <c r="F50" i="79"/>
  <c r="E50" i="79"/>
  <c r="D50" i="79"/>
  <c r="C50" i="79"/>
  <c r="B50" i="79"/>
  <c r="O50" i="79" s="1"/>
  <c r="A50" i="79"/>
  <c r="M49" i="79"/>
  <c r="L49" i="79"/>
  <c r="K49" i="79"/>
  <c r="J49" i="79"/>
  <c r="I49" i="79"/>
  <c r="H49" i="79"/>
  <c r="G49" i="79"/>
  <c r="F49" i="79"/>
  <c r="E49" i="79"/>
  <c r="D49" i="79"/>
  <c r="C49" i="79"/>
  <c r="B49" i="79"/>
  <c r="O49" i="79" s="1"/>
  <c r="A49" i="79"/>
  <c r="M48" i="79"/>
  <c r="L48" i="79"/>
  <c r="K48" i="79"/>
  <c r="J48" i="79"/>
  <c r="I48" i="79"/>
  <c r="H48" i="79"/>
  <c r="G48" i="79"/>
  <c r="F48" i="79"/>
  <c r="E48" i="79"/>
  <c r="D48" i="79"/>
  <c r="C48" i="79"/>
  <c r="B48" i="79"/>
  <c r="O48" i="79" s="1"/>
  <c r="A48" i="79"/>
  <c r="M47" i="79"/>
  <c r="L47" i="79"/>
  <c r="K47" i="79"/>
  <c r="J47" i="79"/>
  <c r="I47" i="79"/>
  <c r="H47" i="79"/>
  <c r="G47" i="79"/>
  <c r="F47" i="79"/>
  <c r="E47" i="79"/>
  <c r="D47" i="79"/>
  <c r="C47" i="79"/>
  <c r="B47" i="79"/>
  <c r="O47" i="79" s="1"/>
  <c r="A47" i="79"/>
  <c r="M46" i="79"/>
  <c r="L46" i="79"/>
  <c r="K46" i="79"/>
  <c r="J46" i="79"/>
  <c r="I46" i="79"/>
  <c r="H46" i="79"/>
  <c r="G46" i="79"/>
  <c r="F46" i="79"/>
  <c r="E46" i="79"/>
  <c r="D46" i="79"/>
  <c r="C46" i="79"/>
  <c r="B46" i="79"/>
  <c r="O46" i="79" s="1"/>
  <c r="A46" i="79"/>
  <c r="M45" i="79"/>
  <c r="L45" i="79"/>
  <c r="K45" i="79"/>
  <c r="J45" i="79"/>
  <c r="I45" i="79"/>
  <c r="H45" i="79"/>
  <c r="G45" i="79"/>
  <c r="F45" i="79"/>
  <c r="E45" i="79"/>
  <c r="D45" i="79"/>
  <c r="C45" i="79"/>
  <c r="B45" i="79"/>
  <c r="O45" i="79" s="1"/>
  <c r="S45" i="79" s="1"/>
  <c r="A45" i="79"/>
  <c r="M44" i="79"/>
  <c r="L44" i="79"/>
  <c r="K44" i="79"/>
  <c r="J44" i="79"/>
  <c r="I44" i="79"/>
  <c r="H44" i="79"/>
  <c r="G44" i="79"/>
  <c r="F44" i="79"/>
  <c r="E44" i="79"/>
  <c r="D44" i="79"/>
  <c r="C44" i="79"/>
  <c r="B44" i="79"/>
  <c r="O44" i="79" s="1"/>
  <c r="A44" i="79"/>
  <c r="M43" i="79"/>
  <c r="L43" i="79"/>
  <c r="K43" i="79"/>
  <c r="J43" i="79"/>
  <c r="I43" i="79"/>
  <c r="H43" i="79"/>
  <c r="G43" i="79"/>
  <c r="F43" i="79"/>
  <c r="E43" i="79"/>
  <c r="D43" i="79"/>
  <c r="C43" i="79"/>
  <c r="B43" i="79"/>
  <c r="O43" i="79" s="1"/>
  <c r="A43" i="79"/>
  <c r="M42" i="79"/>
  <c r="L42" i="79"/>
  <c r="K42" i="79"/>
  <c r="J42" i="79"/>
  <c r="I42" i="79"/>
  <c r="H42" i="79"/>
  <c r="G42" i="79"/>
  <c r="F42" i="79"/>
  <c r="E42" i="79"/>
  <c r="D42" i="79"/>
  <c r="C42" i="79"/>
  <c r="B42" i="79"/>
  <c r="O42" i="79" s="1"/>
  <c r="A42" i="79"/>
  <c r="M41" i="79"/>
  <c r="L41" i="79"/>
  <c r="K41" i="79"/>
  <c r="J41" i="79"/>
  <c r="I41" i="79"/>
  <c r="H41" i="79"/>
  <c r="G41" i="79"/>
  <c r="F41" i="79"/>
  <c r="E41" i="79"/>
  <c r="D41" i="79"/>
  <c r="C41" i="79"/>
  <c r="B41" i="79"/>
  <c r="O41" i="79" s="1"/>
  <c r="A41" i="79"/>
  <c r="M40" i="79"/>
  <c r="L40" i="79"/>
  <c r="K40" i="79"/>
  <c r="J40" i="79"/>
  <c r="I40" i="79"/>
  <c r="H40" i="79"/>
  <c r="G40" i="79"/>
  <c r="F40" i="79"/>
  <c r="E40" i="79"/>
  <c r="D40" i="79"/>
  <c r="C40" i="79"/>
  <c r="B40" i="79"/>
  <c r="O40" i="79" s="1"/>
  <c r="A40" i="79"/>
  <c r="M39" i="79"/>
  <c r="L39" i="79"/>
  <c r="K39" i="79"/>
  <c r="J39" i="79"/>
  <c r="I39" i="79"/>
  <c r="H39" i="79"/>
  <c r="G39" i="79"/>
  <c r="F39" i="79"/>
  <c r="E39" i="79"/>
  <c r="D39" i="79"/>
  <c r="C39" i="79"/>
  <c r="B39" i="79"/>
  <c r="O39" i="79" s="1"/>
  <c r="A39" i="79"/>
  <c r="M38" i="79"/>
  <c r="L38" i="79"/>
  <c r="K38" i="79"/>
  <c r="J38" i="79"/>
  <c r="I38" i="79"/>
  <c r="H38" i="79"/>
  <c r="G38" i="79"/>
  <c r="F38" i="79"/>
  <c r="E38" i="79"/>
  <c r="D38" i="79"/>
  <c r="C38" i="79"/>
  <c r="B38" i="79"/>
  <c r="O38" i="79" s="1"/>
  <c r="A38" i="79"/>
  <c r="M37" i="79"/>
  <c r="L37" i="79"/>
  <c r="K37" i="79"/>
  <c r="J37" i="79"/>
  <c r="I37" i="79"/>
  <c r="H37" i="79"/>
  <c r="G37" i="79"/>
  <c r="F37" i="79"/>
  <c r="E37" i="79"/>
  <c r="D37" i="79"/>
  <c r="C37" i="79"/>
  <c r="B37" i="79"/>
  <c r="O37" i="79" s="1"/>
  <c r="A37" i="79"/>
  <c r="M36" i="79"/>
  <c r="L36" i="79"/>
  <c r="K36" i="79"/>
  <c r="J36" i="79"/>
  <c r="I36" i="79"/>
  <c r="H36" i="79"/>
  <c r="G36" i="79"/>
  <c r="F36" i="79"/>
  <c r="E36" i="79"/>
  <c r="D36" i="79"/>
  <c r="C36" i="79"/>
  <c r="B36" i="79"/>
  <c r="O36" i="79" s="1"/>
  <c r="A36" i="79"/>
  <c r="M35" i="79"/>
  <c r="L35" i="79"/>
  <c r="K35" i="79"/>
  <c r="J35" i="79"/>
  <c r="I35" i="79"/>
  <c r="H35" i="79"/>
  <c r="G35" i="79"/>
  <c r="F35" i="79"/>
  <c r="E35" i="79"/>
  <c r="D35" i="79"/>
  <c r="C35" i="79"/>
  <c r="B35" i="79"/>
  <c r="O35" i="79" s="1"/>
  <c r="A35" i="79"/>
  <c r="M34" i="79"/>
  <c r="L34" i="79"/>
  <c r="K34" i="79"/>
  <c r="J34" i="79"/>
  <c r="I34" i="79"/>
  <c r="H34" i="79"/>
  <c r="G34" i="79"/>
  <c r="F34" i="79"/>
  <c r="E34" i="79"/>
  <c r="D34" i="79"/>
  <c r="C34" i="79"/>
  <c r="B34" i="79"/>
  <c r="O34" i="79" s="1"/>
  <c r="A34" i="79"/>
  <c r="M33" i="79"/>
  <c r="L33" i="79"/>
  <c r="K33" i="79"/>
  <c r="J33" i="79"/>
  <c r="I33" i="79"/>
  <c r="H33" i="79"/>
  <c r="G33" i="79"/>
  <c r="F33" i="79"/>
  <c r="E33" i="79"/>
  <c r="D33" i="79"/>
  <c r="C33" i="79"/>
  <c r="B33" i="79"/>
  <c r="O33" i="79" s="1"/>
  <c r="A33" i="79"/>
  <c r="M32" i="79"/>
  <c r="L32" i="79"/>
  <c r="K32" i="79"/>
  <c r="J32" i="79"/>
  <c r="I32" i="79"/>
  <c r="H32" i="79"/>
  <c r="G32" i="79"/>
  <c r="F32" i="79"/>
  <c r="E32" i="79"/>
  <c r="D32" i="79"/>
  <c r="C32" i="79"/>
  <c r="B32" i="79"/>
  <c r="O32" i="79" s="1"/>
  <c r="A32" i="79"/>
  <c r="M31" i="79"/>
  <c r="L31" i="79"/>
  <c r="K31" i="79"/>
  <c r="J31" i="79"/>
  <c r="I31" i="79"/>
  <c r="H31" i="79"/>
  <c r="G31" i="79"/>
  <c r="F31" i="79"/>
  <c r="E31" i="79"/>
  <c r="D31" i="79"/>
  <c r="C31" i="79"/>
  <c r="B31" i="79"/>
  <c r="O31" i="79" s="1"/>
  <c r="A31" i="79"/>
  <c r="M30" i="79"/>
  <c r="L30" i="79"/>
  <c r="K30" i="79"/>
  <c r="J30" i="79"/>
  <c r="I30" i="79"/>
  <c r="H30" i="79"/>
  <c r="G30" i="79"/>
  <c r="F30" i="79"/>
  <c r="E30" i="79"/>
  <c r="D30" i="79"/>
  <c r="C30" i="79"/>
  <c r="B30" i="79"/>
  <c r="O30" i="79" s="1"/>
  <c r="A30" i="79"/>
  <c r="M29" i="79"/>
  <c r="L29" i="79"/>
  <c r="K29" i="79"/>
  <c r="J29" i="79"/>
  <c r="I29" i="79"/>
  <c r="H29" i="79"/>
  <c r="G29" i="79"/>
  <c r="F29" i="79"/>
  <c r="E29" i="79"/>
  <c r="D29" i="79"/>
  <c r="C29" i="79"/>
  <c r="B29" i="79"/>
  <c r="O29" i="79" s="1"/>
  <c r="A29" i="79"/>
  <c r="M28" i="79"/>
  <c r="L28" i="79"/>
  <c r="K28" i="79"/>
  <c r="J28" i="79"/>
  <c r="I28" i="79"/>
  <c r="H28" i="79"/>
  <c r="G28" i="79"/>
  <c r="F28" i="79"/>
  <c r="E28" i="79"/>
  <c r="D28" i="79"/>
  <c r="C28" i="79"/>
  <c r="B28" i="79"/>
  <c r="O28" i="79" s="1"/>
  <c r="S28" i="79" s="1"/>
  <c r="A28" i="79"/>
  <c r="M27" i="79"/>
  <c r="L27" i="79"/>
  <c r="K27" i="79"/>
  <c r="J27" i="79"/>
  <c r="I27" i="79"/>
  <c r="H27" i="79"/>
  <c r="G27" i="79"/>
  <c r="F27" i="79"/>
  <c r="E27" i="79"/>
  <c r="D27" i="79"/>
  <c r="C27" i="79"/>
  <c r="B27" i="79"/>
  <c r="O27" i="79" s="1"/>
  <c r="A27" i="79"/>
  <c r="M26" i="79"/>
  <c r="L26" i="79"/>
  <c r="K26" i="79"/>
  <c r="J26" i="79"/>
  <c r="I26" i="79"/>
  <c r="H26" i="79"/>
  <c r="G26" i="79"/>
  <c r="F26" i="79"/>
  <c r="E26" i="79"/>
  <c r="D26" i="79"/>
  <c r="C26" i="79"/>
  <c r="B26" i="79"/>
  <c r="O26" i="79" s="1"/>
  <c r="A26" i="79"/>
  <c r="M25" i="79"/>
  <c r="L25" i="79"/>
  <c r="K25" i="79"/>
  <c r="J25" i="79"/>
  <c r="I25" i="79"/>
  <c r="H25" i="79"/>
  <c r="G25" i="79"/>
  <c r="F25" i="79"/>
  <c r="E25" i="79"/>
  <c r="D25" i="79"/>
  <c r="C25" i="79"/>
  <c r="B25" i="79"/>
  <c r="O25" i="79" s="1"/>
  <c r="A25" i="79"/>
  <c r="M24" i="79"/>
  <c r="L24" i="79"/>
  <c r="K24" i="79"/>
  <c r="J24" i="79"/>
  <c r="I24" i="79"/>
  <c r="H24" i="79"/>
  <c r="G24" i="79"/>
  <c r="F24" i="79"/>
  <c r="E24" i="79"/>
  <c r="D24" i="79"/>
  <c r="C24" i="79"/>
  <c r="B24" i="79"/>
  <c r="O24" i="79" s="1"/>
  <c r="A24" i="79"/>
  <c r="M23" i="79"/>
  <c r="L23" i="79"/>
  <c r="K23" i="79"/>
  <c r="J23" i="79"/>
  <c r="I23" i="79"/>
  <c r="H23" i="79"/>
  <c r="G23" i="79"/>
  <c r="F23" i="79"/>
  <c r="E23" i="79"/>
  <c r="D23" i="79"/>
  <c r="C23" i="79"/>
  <c r="B23" i="79"/>
  <c r="O23" i="79" s="1"/>
  <c r="A23" i="79"/>
  <c r="M22" i="79"/>
  <c r="L22" i="79"/>
  <c r="K22" i="79"/>
  <c r="J22" i="79"/>
  <c r="I22" i="79"/>
  <c r="H22" i="79"/>
  <c r="G22" i="79"/>
  <c r="F22" i="79"/>
  <c r="E22" i="79"/>
  <c r="D22" i="79"/>
  <c r="C22" i="79"/>
  <c r="B22" i="79"/>
  <c r="O22" i="79" s="1"/>
  <c r="A22" i="79"/>
  <c r="M21" i="79"/>
  <c r="L21" i="79"/>
  <c r="K21" i="79"/>
  <c r="J21" i="79"/>
  <c r="I21" i="79"/>
  <c r="H21" i="79"/>
  <c r="G21" i="79"/>
  <c r="F21" i="79"/>
  <c r="E21" i="79"/>
  <c r="D21" i="79"/>
  <c r="C21" i="79"/>
  <c r="B21" i="79"/>
  <c r="O21" i="79" s="1"/>
  <c r="A21" i="79"/>
  <c r="M20" i="79"/>
  <c r="L20" i="79"/>
  <c r="K20" i="79"/>
  <c r="J20" i="79"/>
  <c r="I20" i="79"/>
  <c r="H20" i="79"/>
  <c r="G20" i="79"/>
  <c r="F20" i="79"/>
  <c r="E20" i="79"/>
  <c r="D20" i="79"/>
  <c r="C20" i="79"/>
  <c r="B20" i="79"/>
  <c r="O20" i="79" s="1"/>
  <c r="A20" i="79"/>
  <c r="M19" i="79"/>
  <c r="L19" i="79"/>
  <c r="K19" i="79"/>
  <c r="J19" i="79"/>
  <c r="I19" i="79"/>
  <c r="H19" i="79"/>
  <c r="G19" i="79"/>
  <c r="F19" i="79"/>
  <c r="E19" i="79"/>
  <c r="D19" i="79"/>
  <c r="C19" i="79"/>
  <c r="B19" i="79"/>
  <c r="O19" i="79" s="1"/>
  <c r="V19" i="79" s="1"/>
  <c r="A19" i="79"/>
  <c r="M18" i="79"/>
  <c r="L18" i="79"/>
  <c r="K18" i="79"/>
  <c r="J18" i="79"/>
  <c r="I18" i="79"/>
  <c r="H18" i="79"/>
  <c r="G18" i="79"/>
  <c r="F18" i="79"/>
  <c r="E18" i="79"/>
  <c r="D18" i="79"/>
  <c r="C18" i="79"/>
  <c r="B18" i="79"/>
  <c r="O18" i="79" s="1"/>
  <c r="A18" i="79"/>
  <c r="M17" i="79"/>
  <c r="L17" i="79"/>
  <c r="K17" i="79"/>
  <c r="J17" i="79"/>
  <c r="I17" i="79"/>
  <c r="H17" i="79"/>
  <c r="G17" i="79"/>
  <c r="F17" i="79"/>
  <c r="E17" i="79"/>
  <c r="D17" i="79"/>
  <c r="C17" i="79"/>
  <c r="B17" i="79"/>
  <c r="A17" i="79"/>
  <c r="M16" i="79"/>
  <c r="L16" i="79"/>
  <c r="K16" i="79"/>
  <c r="J16" i="79"/>
  <c r="I16" i="79"/>
  <c r="H16" i="79"/>
  <c r="G16" i="79"/>
  <c r="F16" i="79"/>
  <c r="E16" i="79"/>
  <c r="D16" i="79"/>
  <c r="C16" i="79"/>
  <c r="B16" i="79"/>
  <c r="O16" i="79" s="1"/>
  <c r="A16" i="79"/>
  <c r="M15" i="79"/>
  <c r="L15" i="79"/>
  <c r="K15" i="79"/>
  <c r="J15" i="79"/>
  <c r="I15" i="79"/>
  <c r="H15" i="79"/>
  <c r="G15" i="79"/>
  <c r="F15" i="79"/>
  <c r="E15" i="79"/>
  <c r="D15" i="79"/>
  <c r="C15" i="79"/>
  <c r="B15" i="79"/>
  <c r="O15" i="79" s="1"/>
  <c r="U15" i="79" s="1"/>
  <c r="A15" i="79"/>
  <c r="M14" i="79"/>
  <c r="L14" i="79"/>
  <c r="K14" i="79"/>
  <c r="J14" i="79"/>
  <c r="I14" i="79"/>
  <c r="H14" i="79"/>
  <c r="G14" i="79"/>
  <c r="F14" i="79"/>
  <c r="E14" i="79"/>
  <c r="D14" i="79"/>
  <c r="C14" i="79"/>
  <c r="B14" i="79"/>
  <c r="O14" i="79" s="1"/>
  <c r="A14" i="79"/>
  <c r="M13" i="79"/>
  <c r="L13" i="79"/>
  <c r="K13" i="79"/>
  <c r="J13" i="79"/>
  <c r="I13" i="79"/>
  <c r="H13" i="79"/>
  <c r="G13" i="79"/>
  <c r="F13" i="79"/>
  <c r="E13" i="79"/>
  <c r="D13" i="79"/>
  <c r="C13" i="79"/>
  <c r="B13" i="79"/>
  <c r="O13" i="79" s="1"/>
  <c r="A13" i="79"/>
  <c r="M12" i="79"/>
  <c r="L12" i="79"/>
  <c r="K12" i="79"/>
  <c r="J12" i="79"/>
  <c r="I12" i="79"/>
  <c r="H12" i="79"/>
  <c r="G12" i="79"/>
  <c r="F12" i="79"/>
  <c r="E12" i="79"/>
  <c r="D12" i="79"/>
  <c r="C12" i="79"/>
  <c r="B12" i="79"/>
  <c r="O12" i="79" s="1"/>
  <c r="A12" i="79"/>
  <c r="M11" i="79"/>
  <c r="L11" i="79"/>
  <c r="K11" i="79"/>
  <c r="J11" i="79"/>
  <c r="I11" i="79"/>
  <c r="H11" i="79"/>
  <c r="G11" i="79"/>
  <c r="F11" i="79"/>
  <c r="E11" i="79"/>
  <c r="D11" i="79"/>
  <c r="C11" i="79"/>
  <c r="B11" i="79"/>
  <c r="O11" i="79" s="1"/>
  <c r="A11" i="79"/>
  <c r="M10" i="79"/>
  <c r="L10" i="79"/>
  <c r="K10" i="79"/>
  <c r="J10" i="79"/>
  <c r="I10" i="79"/>
  <c r="H10" i="79"/>
  <c r="G10" i="79"/>
  <c r="F10" i="79"/>
  <c r="E10" i="79"/>
  <c r="D10" i="79"/>
  <c r="C10" i="79"/>
  <c r="B10" i="79"/>
  <c r="O10" i="79" s="1"/>
  <c r="A10" i="79"/>
  <c r="M9" i="79"/>
  <c r="L9" i="79"/>
  <c r="K9" i="79"/>
  <c r="J9" i="79"/>
  <c r="I9" i="79"/>
  <c r="H9" i="79"/>
  <c r="G9" i="79"/>
  <c r="F9" i="79"/>
  <c r="E9" i="79"/>
  <c r="D9" i="79"/>
  <c r="C9" i="79"/>
  <c r="B9" i="79"/>
  <c r="O9" i="79" s="1"/>
  <c r="A9" i="79"/>
  <c r="M8" i="79"/>
  <c r="L8" i="79"/>
  <c r="K8" i="79"/>
  <c r="J8" i="79"/>
  <c r="I8" i="79"/>
  <c r="H8" i="79"/>
  <c r="G8" i="79"/>
  <c r="F8" i="79"/>
  <c r="E8" i="79"/>
  <c r="D8" i="79"/>
  <c r="C8" i="79"/>
  <c r="B8" i="79"/>
  <c r="O8" i="79" s="1"/>
  <c r="A8" i="79"/>
  <c r="A1" i="104"/>
  <c r="C7" i="54"/>
  <c r="A1" i="54"/>
  <c r="M20" i="43" l="1"/>
  <c r="V128" i="79"/>
  <c r="V88" i="79"/>
  <c r="V104" i="79"/>
  <c r="L101" i="64" s="1"/>
  <c r="L101" i="66" s="1"/>
  <c r="V112" i="79"/>
  <c r="R86" i="79"/>
  <c r="H83" i="64" s="1"/>
  <c r="H83" i="66" s="1"/>
  <c r="W23" i="79"/>
  <c r="B29" i="66"/>
  <c r="B69" i="66"/>
  <c r="B101" i="66"/>
  <c r="B21" i="66"/>
  <c r="B37" i="66"/>
  <c r="B61" i="66"/>
  <c r="V141" i="79"/>
  <c r="L138" i="64" s="1"/>
  <c r="L138" i="66" s="1"/>
  <c r="B53" i="66"/>
  <c r="B77" i="66"/>
  <c r="B85" i="66"/>
  <c r="B93" i="66"/>
  <c r="B109" i="66"/>
  <c r="B117" i="66"/>
  <c r="B125" i="66"/>
  <c r="B133" i="66"/>
  <c r="B141" i="66"/>
  <c r="C4" i="77"/>
  <c r="B24" i="66"/>
  <c r="B32" i="66"/>
  <c r="B40" i="66"/>
  <c r="B48" i="66"/>
  <c r="B56" i="66"/>
  <c r="B64" i="66"/>
  <c r="B72" i="66"/>
  <c r="B80" i="66"/>
  <c r="B96" i="66"/>
  <c r="B104" i="66"/>
  <c r="B112" i="66"/>
  <c r="B128" i="66"/>
  <c r="B136" i="66"/>
  <c r="B144" i="66"/>
  <c r="R47" i="79"/>
  <c r="H44" i="64" s="1"/>
  <c r="H44" i="66" s="1"/>
  <c r="S47" i="79"/>
  <c r="I44" i="64" s="1"/>
  <c r="I44" i="66" s="1"/>
  <c r="V47" i="79"/>
  <c r="L44" i="64" s="1"/>
  <c r="L44" i="66" s="1"/>
  <c r="W47" i="79"/>
  <c r="T47" i="79"/>
  <c r="J44" i="64" s="1"/>
  <c r="J44" i="66" s="1"/>
  <c r="U47" i="79"/>
  <c r="U111" i="79"/>
  <c r="V111" i="79"/>
  <c r="R111" i="79"/>
  <c r="H108" i="64" s="1"/>
  <c r="H108" i="66" s="1"/>
  <c r="S111" i="79"/>
  <c r="I108" i="64" s="1"/>
  <c r="I108" i="66" s="1"/>
  <c r="T111" i="79"/>
  <c r="J108" i="64" s="1"/>
  <c r="J108" i="66" s="1"/>
  <c r="W111" i="79"/>
  <c r="S143" i="79"/>
  <c r="T143" i="79"/>
  <c r="J140" i="64" s="1"/>
  <c r="J140" i="66" s="1"/>
  <c r="U143" i="79"/>
  <c r="K140" i="64" s="1"/>
  <c r="K140" i="66" s="1"/>
  <c r="V143" i="79"/>
  <c r="L140" i="64" s="1"/>
  <c r="L140" i="66" s="1"/>
  <c r="W143" i="79"/>
  <c r="R12" i="79"/>
  <c r="H9" i="64" s="1"/>
  <c r="H9" i="66" s="1"/>
  <c r="T12" i="79"/>
  <c r="U12" i="79"/>
  <c r="K9" i="64" s="1"/>
  <c r="K9" i="66" s="1"/>
  <c r="S12" i="79"/>
  <c r="I9" i="64" s="1"/>
  <c r="I9" i="66" s="1"/>
  <c r="V12" i="79"/>
  <c r="L9" i="64" s="1"/>
  <c r="L9" i="66" s="1"/>
  <c r="W12" i="79"/>
  <c r="R20" i="79"/>
  <c r="T20" i="79"/>
  <c r="J17" i="64" s="1"/>
  <c r="J17" i="66" s="1"/>
  <c r="U20" i="79"/>
  <c r="K17" i="64" s="1"/>
  <c r="K17" i="66" s="1"/>
  <c r="S20" i="79"/>
  <c r="W20" i="79"/>
  <c r="V20" i="79"/>
  <c r="R28" i="79"/>
  <c r="H25" i="64" s="1"/>
  <c r="H25" i="66" s="1"/>
  <c r="T28" i="79"/>
  <c r="J25" i="64" s="1"/>
  <c r="J25" i="66" s="1"/>
  <c r="U28" i="79"/>
  <c r="K25" i="64" s="1"/>
  <c r="K25" i="66" s="1"/>
  <c r="V28" i="79"/>
  <c r="L25" i="64" s="1"/>
  <c r="L25" i="66" s="1"/>
  <c r="W28" i="79"/>
  <c r="R36" i="79"/>
  <c r="T36" i="79"/>
  <c r="J33" i="64" s="1"/>
  <c r="J33" i="66" s="1"/>
  <c r="U36" i="79"/>
  <c r="S36" i="79"/>
  <c r="I33" i="64" s="1"/>
  <c r="I33" i="66" s="1"/>
  <c r="V36" i="79"/>
  <c r="L33" i="64" s="1"/>
  <c r="L33" i="66" s="1"/>
  <c r="R44" i="79"/>
  <c r="H41" i="64" s="1"/>
  <c r="H41" i="66" s="1"/>
  <c r="T44" i="79"/>
  <c r="J41" i="64" s="1"/>
  <c r="J41" i="66" s="1"/>
  <c r="U44" i="79"/>
  <c r="K41" i="64" s="1"/>
  <c r="K41" i="66" s="1"/>
  <c r="S44" i="79"/>
  <c r="V44" i="79"/>
  <c r="L41" i="64" s="1"/>
  <c r="L41" i="66" s="1"/>
  <c r="W44" i="79"/>
  <c r="R52" i="79"/>
  <c r="H49" i="64" s="1"/>
  <c r="H49" i="66" s="1"/>
  <c r="T52" i="79"/>
  <c r="J49" i="64" s="1"/>
  <c r="J49" i="66" s="1"/>
  <c r="U52" i="79"/>
  <c r="K49" i="64" s="1"/>
  <c r="K49" i="66" s="1"/>
  <c r="S52" i="79"/>
  <c r="I49" i="64" s="1"/>
  <c r="I49" i="66" s="1"/>
  <c r="W52" i="79"/>
  <c r="V52" i="79"/>
  <c r="R60" i="79"/>
  <c r="T60" i="79"/>
  <c r="J57" i="64" s="1"/>
  <c r="J57" i="66" s="1"/>
  <c r="U60" i="79"/>
  <c r="V60" i="79"/>
  <c r="L57" i="64" s="1"/>
  <c r="L57" i="66" s="1"/>
  <c r="W60" i="79"/>
  <c r="S60" i="79"/>
  <c r="I57" i="64" s="1"/>
  <c r="I57" i="66" s="1"/>
  <c r="R68" i="79"/>
  <c r="H65" i="64" s="1"/>
  <c r="H65" i="66" s="1"/>
  <c r="T68" i="79"/>
  <c r="U68" i="79"/>
  <c r="S68" i="79"/>
  <c r="V68" i="79"/>
  <c r="L65" i="64" s="1"/>
  <c r="L65" i="66" s="1"/>
  <c r="W68" i="79"/>
  <c r="R76" i="79"/>
  <c r="H73" i="64" s="1"/>
  <c r="H73" i="66" s="1"/>
  <c r="T76" i="79"/>
  <c r="J73" i="64" s="1"/>
  <c r="J73" i="66" s="1"/>
  <c r="U76" i="79"/>
  <c r="K73" i="64" s="1"/>
  <c r="K73" i="66" s="1"/>
  <c r="S76" i="79"/>
  <c r="V76" i="79"/>
  <c r="L73" i="64" s="1"/>
  <c r="L73" i="66" s="1"/>
  <c r="W76" i="79"/>
  <c r="W84" i="79"/>
  <c r="R84" i="79"/>
  <c r="H81" i="64" s="1"/>
  <c r="H81" i="66" s="1"/>
  <c r="S84" i="79"/>
  <c r="I81" i="64" s="1"/>
  <c r="I81" i="66" s="1"/>
  <c r="T84" i="79"/>
  <c r="J81" i="64" s="1"/>
  <c r="J81" i="66" s="1"/>
  <c r="U84" i="79"/>
  <c r="K81" i="64" s="1"/>
  <c r="K81" i="66" s="1"/>
  <c r="V84" i="79"/>
  <c r="W92" i="79"/>
  <c r="R92" i="79"/>
  <c r="S92" i="79"/>
  <c r="I89" i="64" s="1"/>
  <c r="I89" i="66" s="1"/>
  <c r="T92" i="79"/>
  <c r="J89" i="64" s="1"/>
  <c r="J89" i="66" s="1"/>
  <c r="U92" i="79"/>
  <c r="K89" i="64" s="1"/>
  <c r="K89" i="66" s="1"/>
  <c r="V92" i="79"/>
  <c r="L89" i="64" s="1"/>
  <c r="L89" i="66" s="1"/>
  <c r="W100" i="79"/>
  <c r="R100" i="79"/>
  <c r="S100" i="79"/>
  <c r="I97" i="64" s="1"/>
  <c r="I97" i="66" s="1"/>
  <c r="T100" i="79"/>
  <c r="J97" i="64" s="1"/>
  <c r="J97" i="66" s="1"/>
  <c r="U100" i="79"/>
  <c r="K97" i="64" s="1"/>
  <c r="K97" i="66" s="1"/>
  <c r="V100" i="79"/>
  <c r="L97" i="64" s="1"/>
  <c r="L97" i="66" s="1"/>
  <c r="W108" i="79"/>
  <c r="R108" i="79"/>
  <c r="H105" i="64" s="1"/>
  <c r="H105" i="66" s="1"/>
  <c r="S108" i="79"/>
  <c r="I105" i="64" s="1"/>
  <c r="I105" i="66" s="1"/>
  <c r="T108" i="79"/>
  <c r="U108" i="79"/>
  <c r="K105" i="64" s="1"/>
  <c r="K105" i="66" s="1"/>
  <c r="V108" i="79"/>
  <c r="L105" i="64" s="1"/>
  <c r="L105" i="66" s="1"/>
  <c r="W116" i="79"/>
  <c r="R116" i="79"/>
  <c r="H113" i="64" s="1"/>
  <c r="H113" i="66" s="1"/>
  <c r="S116" i="79"/>
  <c r="I113" i="64" s="1"/>
  <c r="I113" i="66" s="1"/>
  <c r="T116" i="79"/>
  <c r="J113" i="64" s="1"/>
  <c r="J113" i="66" s="1"/>
  <c r="U116" i="79"/>
  <c r="K113" i="64" s="1"/>
  <c r="K113" i="66" s="1"/>
  <c r="V116" i="79"/>
  <c r="W124" i="79"/>
  <c r="R124" i="79"/>
  <c r="H121" i="64" s="1"/>
  <c r="H121" i="66" s="1"/>
  <c r="S124" i="79"/>
  <c r="T124" i="79"/>
  <c r="J121" i="64" s="1"/>
  <c r="J121" i="66" s="1"/>
  <c r="U124" i="79"/>
  <c r="K121" i="64" s="1"/>
  <c r="K121" i="66" s="1"/>
  <c r="V124" i="79"/>
  <c r="L121" i="64" s="1"/>
  <c r="L121" i="66" s="1"/>
  <c r="W132" i="79"/>
  <c r="R132" i="79"/>
  <c r="S132" i="79"/>
  <c r="T132" i="79"/>
  <c r="U132" i="79"/>
  <c r="K129" i="64" s="1"/>
  <c r="K129" i="66" s="1"/>
  <c r="V132" i="79"/>
  <c r="L129" i="64" s="1"/>
  <c r="L129" i="66" s="1"/>
  <c r="U140" i="79"/>
  <c r="K137" i="64" s="1"/>
  <c r="K137" i="66" s="1"/>
  <c r="V140" i="79"/>
  <c r="L137" i="64" s="1"/>
  <c r="L137" i="66" s="1"/>
  <c r="W140" i="79"/>
  <c r="R140" i="79"/>
  <c r="S140" i="79"/>
  <c r="U148" i="79"/>
  <c r="V148" i="79"/>
  <c r="L145" i="64" s="1"/>
  <c r="L145" i="66" s="1"/>
  <c r="W148" i="79"/>
  <c r="R148" i="79"/>
  <c r="H145" i="64" s="1"/>
  <c r="H145" i="66" s="1"/>
  <c r="S148" i="79"/>
  <c r="I145" i="64" s="1"/>
  <c r="I145" i="66" s="1"/>
  <c r="A5" i="65"/>
  <c r="A6" i="66" s="1"/>
  <c r="I11" i="43"/>
  <c r="B7" i="40"/>
  <c r="I15" i="43"/>
  <c r="B11" i="40"/>
  <c r="I19" i="43"/>
  <c r="B15" i="40"/>
  <c r="C9" i="66"/>
  <c r="R31" i="79"/>
  <c r="H28" i="64" s="1"/>
  <c r="H28" i="66" s="1"/>
  <c r="S31" i="79"/>
  <c r="U31" i="79"/>
  <c r="V31" i="79"/>
  <c r="L28" i="64" s="1"/>
  <c r="L28" i="66" s="1"/>
  <c r="T31" i="79"/>
  <c r="W31" i="79"/>
  <c r="R71" i="79"/>
  <c r="H68" i="64" s="1"/>
  <c r="H68" i="66" s="1"/>
  <c r="S71" i="79"/>
  <c r="I68" i="64" s="1"/>
  <c r="I68" i="66" s="1"/>
  <c r="T71" i="79"/>
  <c r="J68" i="64" s="1"/>
  <c r="J68" i="66" s="1"/>
  <c r="U71" i="79"/>
  <c r="W71" i="79"/>
  <c r="V71" i="79"/>
  <c r="L68" i="64" s="1"/>
  <c r="L68" i="66" s="1"/>
  <c r="P87" i="79"/>
  <c r="F84" i="64" s="1"/>
  <c r="U87" i="79"/>
  <c r="K84" i="64" s="1"/>
  <c r="K84" i="66" s="1"/>
  <c r="V87" i="79"/>
  <c r="L84" i="64" s="1"/>
  <c r="L84" i="66" s="1"/>
  <c r="R87" i="79"/>
  <c r="H84" i="64" s="1"/>
  <c r="H84" i="66" s="1"/>
  <c r="S87" i="79"/>
  <c r="I84" i="64" s="1"/>
  <c r="I84" i="66" s="1"/>
  <c r="T87" i="79"/>
  <c r="W87" i="79"/>
  <c r="U119" i="79"/>
  <c r="K116" i="64" s="1"/>
  <c r="K116" i="66" s="1"/>
  <c r="V119" i="79"/>
  <c r="L116" i="64" s="1"/>
  <c r="L116" i="66" s="1"/>
  <c r="R119" i="79"/>
  <c r="H116" i="64" s="1"/>
  <c r="H116" i="66" s="1"/>
  <c r="S119" i="79"/>
  <c r="I116" i="64" s="1"/>
  <c r="I116" i="66" s="1"/>
  <c r="T119" i="79"/>
  <c r="J116" i="64" s="1"/>
  <c r="J116" i="66" s="1"/>
  <c r="W119" i="79"/>
  <c r="F19" i="38"/>
  <c r="O10" i="40"/>
  <c r="T9" i="79"/>
  <c r="J6" i="64" s="1"/>
  <c r="J6" i="66" s="1"/>
  <c r="V9" i="79"/>
  <c r="L6" i="64" s="1"/>
  <c r="L6" i="66" s="1"/>
  <c r="W9" i="79"/>
  <c r="S9" i="79"/>
  <c r="I6" i="64" s="1"/>
  <c r="I6" i="66" s="1"/>
  <c r="U9" i="79"/>
  <c r="K6" i="64" s="1"/>
  <c r="K6" i="66" s="1"/>
  <c r="R9" i="79"/>
  <c r="H6" i="64" s="1"/>
  <c r="H6" i="66" s="1"/>
  <c r="T25" i="79"/>
  <c r="V25" i="79"/>
  <c r="W25" i="79"/>
  <c r="R25" i="79"/>
  <c r="S25" i="79"/>
  <c r="I22" i="64" s="1"/>
  <c r="I22" i="66" s="1"/>
  <c r="U25" i="79"/>
  <c r="K22" i="64" s="1"/>
  <c r="K22" i="66" s="1"/>
  <c r="T33" i="79"/>
  <c r="J30" i="64" s="1"/>
  <c r="J30" i="66" s="1"/>
  <c r="V33" i="79"/>
  <c r="L30" i="64" s="1"/>
  <c r="L30" i="66" s="1"/>
  <c r="W33" i="79"/>
  <c r="R33" i="79"/>
  <c r="H30" i="64" s="1"/>
  <c r="H30" i="66" s="1"/>
  <c r="U33" i="79"/>
  <c r="K30" i="64" s="1"/>
  <c r="K30" i="66" s="1"/>
  <c r="S33" i="79"/>
  <c r="I30" i="64" s="1"/>
  <c r="I30" i="66" s="1"/>
  <c r="T41" i="79"/>
  <c r="J38" i="64" s="1"/>
  <c r="J38" i="66" s="1"/>
  <c r="V41" i="79"/>
  <c r="W41" i="79"/>
  <c r="S41" i="79"/>
  <c r="I38" i="64" s="1"/>
  <c r="I38" i="66" s="1"/>
  <c r="U41" i="79"/>
  <c r="T49" i="79"/>
  <c r="V49" i="79"/>
  <c r="L46" i="64" s="1"/>
  <c r="L46" i="66" s="1"/>
  <c r="W49" i="79"/>
  <c r="R49" i="79"/>
  <c r="H46" i="64" s="1"/>
  <c r="H46" i="66" s="1"/>
  <c r="S49" i="79"/>
  <c r="I46" i="64" s="1"/>
  <c r="I46" i="66" s="1"/>
  <c r="T57" i="79"/>
  <c r="J54" i="64" s="1"/>
  <c r="J54" i="66" s="1"/>
  <c r="V57" i="79"/>
  <c r="L54" i="64" s="1"/>
  <c r="L54" i="66" s="1"/>
  <c r="W57" i="79"/>
  <c r="R57" i="79"/>
  <c r="S57" i="79"/>
  <c r="I54" i="64" s="1"/>
  <c r="I54" i="66" s="1"/>
  <c r="U57" i="79"/>
  <c r="K54" i="64" s="1"/>
  <c r="K54" i="66" s="1"/>
  <c r="T65" i="79"/>
  <c r="J62" i="64" s="1"/>
  <c r="J62" i="66" s="1"/>
  <c r="V65" i="79"/>
  <c r="L62" i="64" s="1"/>
  <c r="L62" i="66" s="1"/>
  <c r="W65" i="79"/>
  <c r="R65" i="79"/>
  <c r="H62" i="64" s="1"/>
  <c r="H62" i="66" s="1"/>
  <c r="U65" i="79"/>
  <c r="S65" i="79"/>
  <c r="T73" i="79"/>
  <c r="J70" i="64" s="1"/>
  <c r="J70" i="66" s="1"/>
  <c r="V73" i="79"/>
  <c r="W73" i="79"/>
  <c r="S73" i="79"/>
  <c r="U73" i="79"/>
  <c r="K70" i="64" s="1"/>
  <c r="K70" i="66" s="1"/>
  <c r="R73" i="79"/>
  <c r="H70" i="64" s="1"/>
  <c r="H70" i="66" s="1"/>
  <c r="T81" i="79"/>
  <c r="V81" i="79"/>
  <c r="W81" i="79"/>
  <c r="R81" i="79"/>
  <c r="H78" i="64" s="1"/>
  <c r="H78" i="66" s="1"/>
  <c r="S81" i="79"/>
  <c r="I78" i="64" s="1"/>
  <c r="I78" i="66" s="1"/>
  <c r="U81" i="79"/>
  <c r="K78" i="64" s="1"/>
  <c r="K78" i="66" s="1"/>
  <c r="R89" i="79"/>
  <c r="H86" i="64" s="1"/>
  <c r="H86" i="66" s="1"/>
  <c r="T89" i="79"/>
  <c r="J86" i="64" s="1"/>
  <c r="J86" i="66" s="1"/>
  <c r="U89" i="79"/>
  <c r="S89" i="79"/>
  <c r="V89" i="79"/>
  <c r="L86" i="64" s="1"/>
  <c r="L86" i="66" s="1"/>
  <c r="W89" i="79"/>
  <c r="R97" i="79"/>
  <c r="H94" i="64" s="1"/>
  <c r="H94" i="66" s="1"/>
  <c r="T97" i="79"/>
  <c r="J94" i="64" s="1"/>
  <c r="J94" i="66" s="1"/>
  <c r="U97" i="79"/>
  <c r="K94" i="64" s="1"/>
  <c r="K94" i="66" s="1"/>
  <c r="S97" i="79"/>
  <c r="I94" i="64" s="1"/>
  <c r="I94" i="66" s="1"/>
  <c r="V97" i="79"/>
  <c r="W97" i="79"/>
  <c r="R105" i="79"/>
  <c r="H102" i="64" s="1"/>
  <c r="H102" i="66" s="1"/>
  <c r="T105" i="79"/>
  <c r="J102" i="64" s="1"/>
  <c r="J102" i="66" s="1"/>
  <c r="U105" i="79"/>
  <c r="K102" i="64" s="1"/>
  <c r="K102" i="66" s="1"/>
  <c r="S105" i="79"/>
  <c r="I102" i="64" s="1"/>
  <c r="I102" i="66" s="1"/>
  <c r="V105" i="79"/>
  <c r="L102" i="64" s="1"/>
  <c r="L102" i="66" s="1"/>
  <c r="W105" i="79"/>
  <c r="R113" i="79"/>
  <c r="T113" i="79"/>
  <c r="U113" i="79"/>
  <c r="K110" i="64" s="1"/>
  <c r="S113" i="79"/>
  <c r="V113" i="79"/>
  <c r="L110" i="64" s="1"/>
  <c r="W113" i="79"/>
  <c r="R121" i="79"/>
  <c r="H118" i="64" s="1"/>
  <c r="H118" i="66" s="1"/>
  <c r="T121" i="79"/>
  <c r="J118" i="64" s="1"/>
  <c r="J118" i="66" s="1"/>
  <c r="U121" i="79"/>
  <c r="S121" i="79"/>
  <c r="V121" i="79"/>
  <c r="L118" i="64" s="1"/>
  <c r="L118" i="66" s="1"/>
  <c r="W121" i="79"/>
  <c r="R129" i="79"/>
  <c r="H126" i="64" s="1"/>
  <c r="H126" i="66" s="1"/>
  <c r="T129" i="79"/>
  <c r="J126" i="64" s="1"/>
  <c r="J126" i="66" s="1"/>
  <c r="U129" i="79"/>
  <c r="K126" i="64" s="1"/>
  <c r="K126" i="66" s="1"/>
  <c r="S129" i="79"/>
  <c r="I126" i="64" s="1"/>
  <c r="I126" i="66" s="1"/>
  <c r="V129" i="79"/>
  <c r="W129" i="79"/>
  <c r="T137" i="79"/>
  <c r="J134" i="64" s="1"/>
  <c r="J134" i="66" s="1"/>
  <c r="U137" i="79"/>
  <c r="K134" i="64" s="1"/>
  <c r="K134" i="66" s="1"/>
  <c r="W137" i="79"/>
  <c r="R137" i="79"/>
  <c r="H134" i="64" s="1"/>
  <c r="H134" i="66" s="1"/>
  <c r="S137" i="79"/>
  <c r="I134" i="64" s="1"/>
  <c r="I134" i="66" s="1"/>
  <c r="W145" i="79"/>
  <c r="R145" i="79"/>
  <c r="S145" i="79"/>
  <c r="T145" i="79"/>
  <c r="J142" i="64" s="1"/>
  <c r="J142" i="66" s="1"/>
  <c r="U145" i="79"/>
  <c r="K142" i="64" s="1"/>
  <c r="K142" i="66" s="1"/>
  <c r="B6" i="66"/>
  <c r="B22" i="66"/>
  <c r="B30" i="66"/>
  <c r="B46" i="66"/>
  <c r="B54" i="66"/>
  <c r="B62" i="66"/>
  <c r="B70" i="66"/>
  <c r="B78" i="66"/>
  <c r="B86" i="66"/>
  <c r="B94" i="66"/>
  <c r="B102" i="66"/>
  <c r="B118" i="66"/>
  <c r="B126" i="66"/>
  <c r="B134" i="66"/>
  <c r="B142" i="66"/>
  <c r="O7" i="40"/>
  <c r="F16" i="38"/>
  <c r="I16" i="38" s="1"/>
  <c r="F11" i="43" s="1"/>
  <c r="F20" i="38"/>
  <c r="O11" i="40"/>
  <c r="O15" i="40"/>
  <c r="F24" i="38"/>
  <c r="R143" i="79"/>
  <c r="R23" i="79"/>
  <c r="H20" i="64" s="1"/>
  <c r="H20" i="66" s="1"/>
  <c r="S23" i="79"/>
  <c r="I20" i="64" s="1"/>
  <c r="I20" i="66" s="1"/>
  <c r="T23" i="79"/>
  <c r="J20" i="64" s="1"/>
  <c r="J20" i="66" s="1"/>
  <c r="U23" i="79"/>
  <c r="K20" i="64" s="1"/>
  <c r="K20" i="66" s="1"/>
  <c r="V23" i="79"/>
  <c r="L20" i="64" s="1"/>
  <c r="L20" i="66" s="1"/>
  <c r="V70" i="79"/>
  <c r="L67" i="64" s="1"/>
  <c r="L67" i="66" s="1"/>
  <c r="R70" i="79"/>
  <c r="S70" i="79"/>
  <c r="T70" i="79"/>
  <c r="J67" i="64" s="1"/>
  <c r="J67" i="66" s="1"/>
  <c r="U70" i="79"/>
  <c r="K67" i="64" s="1"/>
  <c r="K67" i="66" s="1"/>
  <c r="S94" i="79"/>
  <c r="I91" i="64" s="1"/>
  <c r="I91" i="66" s="1"/>
  <c r="T94" i="79"/>
  <c r="J91" i="64" s="1"/>
  <c r="J91" i="66" s="1"/>
  <c r="V94" i="79"/>
  <c r="L91" i="64" s="1"/>
  <c r="L91" i="66" s="1"/>
  <c r="W94" i="79"/>
  <c r="U94" i="79"/>
  <c r="S118" i="79"/>
  <c r="I115" i="64" s="1"/>
  <c r="I115" i="66" s="1"/>
  <c r="T118" i="79"/>
  <c r="J115" i="64" s="1"/>
  <c r="J115" i="66" s="1"/>
  <c r="V118" i="79"/>
  <c r="L115" i="64" s="1"/>
  <c r="L115" i="66" s="1"/>
  <c r="W118" i="79"/>
  <c r="U118" i="79"/>
  <c r="K115" i="64" s="1"/>
  <c r="K115" i="66" s="1"/>
  <c r="Q126" i="79"/>
  <c r="G123" i="64" s="1"/>
  <c r="G123" i="66" s="1"/>
  <c r="S126" i="79"/>
  <c r="I123" i="64" s="1"/>
  <c r="I123" i="66" s="1"/>
  <c r="T126" i="79"/>
  <c r="J123" i="64" s="1"/>
  <c r="J123" i="66" s="1"/>
  <c r="V126" i="79"/>
  <c r="L123" i="64" s="1"/>
  <c r="L123" i="66" s="1"/>
  <c r="W126" i="79"/>
  <c r="U126" i="79"/>
  <c r="K123" i="64" s="1"/>
  <c r="K123" i="66" s="1"/>
  <c r="S134" i="79"/>
  <c r="I131" i="64" s="1"/>
  <c r="I131" i="66" s="1"/>
  <c r="V134" i="79"/>
  <c r="L131" i="64" s="1"/>
  <c r="L131" i="66" s="1"/>
  <c r="W134" i="79"/>
  <c r="R134" i="79"/>
  <c r="H131" i="64" s="1"/>
  <c r="H131" i="66" s="1"/>
  <c r="T134" i="79"/>
  <c r="U134" i="79"/>
  <c r="K131" i="64" s="1"/>
  <c r="K131" i="66" s="1"/>
  <c r="R142" i="79"/>
  <c r="H139" i="64" s="1"/>
  <c r="H139" i="66" s="1"/>
  <c r="S142" i="79"/>
  <c r="T142" i="79"/>
  <c r="J139" i="64" s="1"/>
  <c r="J139" i="66" s="1"/>
  <c r="U142" i="79"/>
  <c r="K139" i="64" s="1"/>
  <c r="K139" i="66" s="1"/>
  <c r="V142" i="79"/>
  <c r="L139" i="64" s="1"/>
  <c r="L139" i="66" s="1"/>
  <c r="W142" i="79"/>
  <c r="B11" i="66"/>
  <c r="B19" i="66"/>
  <c r="B67" i="66"/>
  <c r="B75" i="66"/>
  <c r="B83" i="66"/>
  <c r="B91" i="66"/>
  <c r="B99" i="66"/>
  <c r="B115" i="66"/>
  <c r="B123" i="66"/>
  <c r="B131" i="66"/>
  <c r="B139" i="66"/>
  <c r="B147" i="66"/>
  <c r="I12" i="43"/>
  <c r="B8" i="40"/>
  <c r="I16" i="43"/>
  <c r="B12" i="40"/>
  <c r="R126" i="79"/>
  <c r="U49" i="79"/>
  <c r="K46" i="64" s="1"/>
  <c r="K46" i="66" s="1"/>
  <c r="R15" i="79"/>
  <c r="H12" i="64" s="1"/>
  <c r="H12" i="66" s="1"/>
  <c r="S15" i="79"/>
  <c r="V15" i="79"/>
  <c r="L12" i="64" s="1"/>
  <c r="L12" i="66" s="1"/>
  <c r="W15" i="79"/>
  <c r="T15" i="79"/>
  <c r="J12" i="64" s="1"/>
  <c r="J12" i="66" s="1"/>
  <c r="R55" i="79"/>
  <c r="H52" i="64" s="1"/>
  <c r="H52" i="66" s="1"/>
  <c r="S55" i="79"/>
  <c r="T55" i="79"/>
  <c r="J52" i="64" s="1"/>
  <c r="J52" i="66" s="1"/>
  <c r="U55" i="79"/>
  <c r="K52" i="64" s="1"/>
  <c r="K52" i="66" s="1"/>
  <c r="V55" i="79"/>
  <c r="L52" i="64" s="1"/>
  <c r="L52" i="66" s="1"/>
  <c r="W55" i="79"/>
  <c r="U95" i="79"/>
  <c r="K92" i="64" s="1"/>
  <c r="K92" i="66" s="1"/>
  <c r="V95" i="79"/>
  <c r="L92" i="64" s="1"/>
  <c r="L92" i="66" s="1"/>
  <c r="R95" i="79"/>
  <c r="H92" i="64" s="1"/>
  <c r="H92" i="66" s="1"/>
  <c r="S95" i="79"/>
  <c r="T95" i="79"/>
  <c r="J92" i="64" s="1"/>
  <c r="J92" i="66" s="1"/>
  <c r="W95" i="79"/>
  <c r="V30" i="79"/>
  <c r="U30" i="79"/>
  <c r="K27" i="64" s="1"/>
  <c r="K27" i="66" s="1"/>
  <c r="W30" i="79"/>
  <c r="R30" i="79"/>
  <c r="H27" i="64" s="1"/>
  <c r="H27" i="66" s="1"/>
  <c r="S30" i="79"/>
  <c r="I27" i="64" s="1"/>
  <c r="I27" i="66" s="1"/>
  <c r="T30" i="79"/>
  <c r="J27" i="64" s="1"/>
  <c r="J27" i="66" s="1"/>
  <c r="V46" i="79"/>
  <c r="R46" i="79"/>
  <c r="H43" i="64" s="1"/>
  <c r="H43" i="66" s="1"/>
  <c r="T46" i="79"/>
  <c r="J43" i="64" s="1"/>
  <c r="J43" i="66" s="1"/>
  <c r="U46" i="79"/>
  <c r="K43" i="64" s="1"/>
  <c r="K43" i="66" s="1"/>
  <c r="S46" i="79"/>
  <c r="I43" i="64" s="1"/>
  <c r="I43" i="66" s="1"/>
  <c r="W46" i="79"/>
  <c r="V62" i="79"/>
  <c r="L59" i="64" s="1"/>
  <c r="L59" i="66" s="1"/>
  <c r="U62" i="79"/>
  <c r="W62" i="79"/>
  <c r="R62" i="79"/>
  <c r="S62" i="79"/>
  <c r="I59" i="64" s="1"/>
  <c r="I59" i="66" s="1"/>
  <c r="V78" i="79"/>
  <c r="L75" i="64" s="1"/>
  <c r="L75" i="66" s="1"/>
  <c r="R78" i="79"/>
  <c r="H75" i="64" s="1"/>
  <c r="H75" i="66" s="1"/>
  <c r="T78" i="79"/>
  <c r="J75" i="64" s="1"/>
  <c r="J75" i="66" s="1"/>
  <c r="U78" i="79"/>
  <c r="K75" i="64" s="1"/>
  <c r="K75" i="66" s="1"/>
  <c r="S78" i="79"/>
  <c r="I75" i="64" s="1"/>
  <c r="I75" i="66" s="1"/>
  <c r="W78" i="79"/>
  <c r="S86" i="79"/>
  <c r="I83" i="64" s="1"/>
  <c r="I83" i="66" s="1"/>
  <c r="T86" i="79"/>
  <c r="V86" i="79"/>
  <c r="L83" i="64" s="1"/>
  <c r="L83" i="66" s="1"/>
  <c r="W86" i="79"/>
  <c r="U86" i="79"/>
  <c r="K83" i="64" s="1"/>
  <c r="K83" i="66" s="1"/>
  <c r="S102" i="79"/>
  <c r="I99" i="64" s="1"/>
  <c r="I99" i="66" s="1"/>
  <c r="T102" i="79"/>
  <c r="V102" i="79"/>
  <c r="W102" i="79"/>
  <c r="U102" i="79"/>
  <c r="S110" i="79"/>
  <c r="I107" i="64" s="1"/>
  <c r="I107" i="66" s="1"/>
  <c r="T110" i="79"/>
  <c r="J107" i="64" s="1"/>
  <c r="J107" i="66" s="1"/>
  <c r="V110" i="79"/>
  <c r="L107" i="64" s="1"/>
  <c r="L107" i="66" s="1"/>
  <c r="W110" i="79"/>
  <c r="U110" i="79"/>
  <c r="K107" i="64" s="1"/>
  <c r="K107" i="66" s="1"/>
  <c r="R11" i="79"/>
  <c r="H8" i="64" s="1"/>
  <c r="H8" i="66" s="1"/>
  <c r="S11" i="79"/>
  <c r="I8" i="64" s="1"/>
  <c r="I8" i="66" s="1"/>
  <c r="U11" i="79"/>
  <c r="V11" i="79"/>
  <c r="L8" i="64" s="1"/>
  <c r="L8" i="66" s="1"/>
  <c r="W11" i="79"/>
  <c r="R19" i="79"/>
  <c r="H16" i="64" s="1"/>
  <c r="H16" i="66" s="1"/>
  <c r="S19" i="79"/>
  <c r="I16" i="64" s="1"/>
  <c r="I16" i="66" s="1"/>
  <c r="W19" i="79"/>
  <c r="T19" i="79"/>
  <c r="J16" i="64" s="1"/>
  <c r="J16" i="66" s="1"/>
  <c r="U19" i="79"/>
  <c r="K16" i="64" s="1"/>
  <c r="K16" i="66" s="1"/>
  <c r="R27" i="79"/>
  <c r="S27" i="79"/>
  <c r="I24" i="64" s="1"/>
  <c r="I24" i="66" s="1"/>
  <c r="T27" i="79"/>
  <c r="U27" i="79"/>
  <c r="K24" i="64" s="1"/>
  <c r="K24" i="66" s="1"/>
  <c r="V27" i="79"/>
  <c r="L24" i="64" s="1"/>
  <c r="L24" i="66" s="1"/>
  <c r="W27" i="79"/>
  <c r="R35" i="79"/>
  <c r="S35" i="79"/>
  <c r="I32" i="64" s="1"/>
  <c r="I32" i="66" s="1"/>
  <c r="T35" i="79"/>
  <c r="J32" i="64" s="1"/>
  <c r="J32" i="66" s="1"/>
  <c r="V35" i="79"/>
  <c r="L32" i="64" s="1"/>
  <c r="L32" i="66" s="1"/>
  <c r="W35" i="79"/>
  <c r="U35" i="79"/>
  <c r="K32" i="64" s="1"/>
  <c r="K32" i="66" s="1"/>
  <c r="R43" i="79"/>
  <c r="H40" i="64" s="1"/>
  <c r="H40" i="66" s="1"/>
  <c r="S43" i="79"/>
  <c r="I40" i="64" s="1"/>
  <c r="I40" i="66" s="1"/>
  <c r="U43" i="79"/>
  <c r="K40" i="64" s="1"/>
  <c r="K40" i="66" s="1"/>
  <c r="V43" i="79"/>
  <c r="L40" i="64" s="1"/>
  <c r="L40" i="66" s="1"/>
  <c r="T43" i="79"/>
  <c r="J40" i="64" s="1"/>
  <c r="J40" i="66" s="1"/>
  <c r="W43" i="79"/>
  <c r="P51" i="79"/>
  <c r="F48" i="64" s="1"/>
  <c r="R51" i="79"/>
  <c r="H48" i="64" s="1"/>
  <c r="H48" i="66" s="1"/>
  <c r="S51" i="79"/>
  <c r="I48" i="64" s="1"/>
  <c r="I48" i="66" s="1"/>
  <c r="W51" i="79"/>
  <c r="T51" i="79"/>
  <c r="U51" i="79"/>
  <c r="K48" i="64" s="1"/>
  <c r="K48" i="66" s="1"/>
  <c r="V51" i="79"/>
  <c r="L48" i="64" s="1"/>
  <c r="L48" i="66" s="1"/>
  <c r="R59" i="79"/>
  <c r="H56" i="64" s="1"/>
  <c r="H56" i="66" s="1"/>
  <c r="S59" i="79"/>
  <c r="I56" i="64" s="1"/>
  <c r="I56" i="66" s="1"/>
  <c r="T59" i="79"/>
  <c r="J56" i="64" s="1"/>
  <c r="J56" i="66" s="1"/>
  <c r="U59" i="79"/>
  <c r="K56" i="64" s="1"/>
  <c r="K56" i="66" s="1"/>
  <c r="V59" i="79"/>
  <c r="L56" i="64" s="1"/>
  <c r="L56" i="66" s="1"/>
  <c r="W59" i="79"/>
  <c r="R67" i="79"/>
  <c r="S67" i="79"/>
  <c r="I64" i="64" s="1"/>
  <c r="I64" i="66" s="1"/>
  <c r="T67" i="79"/>
  <c r="J64" i="64" s="1"/>
  <c r="J64" i="66" s="1"/>
  <c r="V67" i="79"/>
  <c r="L64" i="64" s="1"/>
  <c r="L64" i="66" s="1"/>
  <c r="W67" i="79"/>
  <c r="U67" i="79"/>
  <c r="K64" i="64" s="1"/>
  <c r="K64" i="66" s="1"/>
  <c r="R75" i="79"/>
  <c r="H72" i="64" s="1"/>
  <c r="H72" i="66" s="1"/>
  <c r="S75" i="79"/>
  <c r="U75" i="79"/>
  <c r="K72" i="64" s="1"/>
  <c r="K72" i="66" s="1"/>
  <c r="V75" i="79"/>
  <c r="L72" i="64" s="1"/>
  <c r="L72" i="66" s="1"/>
  <c r="W75" i="79"/>
  <c r="U83" i="79"/>
  <c r="K80" i="64" s="1"/>
  <c r="K80" i="66" s="1"/>
  <c r="V83" i="79"/>
  <c r="L80" i="64" s="1"/>
  <c r="L80" i="66" s="1"/>
  <c r="W83" i="79"/>
  <c r="R83" i="79"/>
  <c r="S83" i="79"/>
  <c r="I80" i="64" s="1"/>
  <c r="I80" i="66" s="1"/>
  <c r="U91" i="79"/>
  <c r="V91" i="79"/>
  <c r="L88" i="64" s="1"/>
  <c r="L88" i="66" s="1"/>
  <c r="W91" i="79"/>
  <c r="R91" i="79"/>
  <c r="H88" i="64" s="1"/>
  <c r="H88" i="66" s="1"/>
  <c r="S91" i="79"/>
  <c r="I88" i="64" s="1"/>
  <c r="I88" i="66" s="1"/>
  <c r="U99" i="79"/>
  <c r="K96" i="64" s="1"/>
  <c r="K96" i="66" s="1"/>
  <c r="V99" i="79"/>
  <c r="L96" i="64" s="1"/>
  <c r="L96" i="66" s="1"/>
  <c r="W99" i="79"/>
  <c r="R99" i="79"/>
  <c r="S99" i="79"/>
  <c r="I96" i="64" s="1"/>
  <c r="I96" i="66" s="1"/>
  <c r="U107" i="79"/>
  <c r="K104" i="64" s="1"/>
  <c r="K104" i="66" s="1"/>
  <c r="V107" i="79"/>
  <c r="L104" i="64" s="1"/>
  <c r="L104" i="66" s="1"/>
  <c r="W107" i="79"/>
  <c r="R107" i="79"/>
  <c r="H104" i="64" s="1"/>
  <c r="H104" i="66" s="1"/>
  <c r="S107" i="79"/>
  <c r="I104" i="64" s="1"/>
  <c r="I104" i="66" s="1"/>
  <c r="U115" i="79"/>
  <c r="V115" i="79"/>
  <c r="L112" i="64" s="1"/>
  <c r="L112" i="66" s="1"/>
  <c r="W115" i="79"/>
  <c r="R115" i="79"/>
  <c r="H112" i="64" s="1"/>
  <c r="H112" i="66" s="1"/>
  <c r="S115" i="79"/>
  <c r="I112" i="64" s="1"/>
  <c r="I112" i="66" s="1"/>
  <c r="U123" i="79"/>
  <c r="K120" i="64" s="1"/>
  <c r="K120" i="66" s="1"/>
  <c r="V123" i="79"/>
  <c r="L120" i="64" s="1"/>
  <c r="L120" i="66" s="1"/>
  <c r="W123" i="79"/>
  <c r="R123" i="79"/>
  <c r="H120" i="64" s="1"/>
  <c r="H120" i="66" s="1"/>
  <c r="S123" i="79"/>
  <c r="I120" i="64" s="1"/>
  <c r="I120" i="66" s="1"/>
  <c r="U131" i="79"/>
  <c r="K128" i="64" s="1"/>
  <c r="K128" i="66" s="1"/>
  <c r="T131" i="79"/>
  <c r="J128" i="64" s="1"/>
  <c r="J128" i="66" s="1"/>
  <c r="V131" i="79"/>
  <c r="L128" i="64" s="1"/>
  <c r="L128" i="66" s="1"/>
  <c r="W131" i="79"/>
  <c r="R131" i="79"/>
  <c r="H128" i="64" s="1"/>
  <c r="H128" i="66" s="1"/>
  <c r="S139" i="79"/>
  <c r="T139" i="79"/>
  <c r="J136" i="64" s="1"/>
  <c r="J136" i="66" s="1"/>
  <c r="U139" i="79"/>
  <c r="V139" i="79"/>
  <c r="L136" i="64" s="1"/>
  <c r="L136" i="66" s="1"/>
  <c r="W139" i="79"/>
  <c r="S147" i="79"/>
  <c r="I144" i="64" s="1"/>
  <c r="I144" i="66" s="1"/>
  <c r="T147" i="79"/>
  <c r="J144" i="64" s="1"/>
  <c r="J144" i="66" s="1"/>
  <c r="U147" i="79"/>
  <c r="K144" i="64" s="1"/>
  <c r="K144" i="66" s="1"/>
  <c r="V147" i="79"/>
  <c r="W147" i="79"/>
  <c r="F17" i="38"/>
  <c r="O8" i="40"/>
  <c r="F21" i="38"/>
  <c r="O12" i="40"/>
  <c r="T140" i="79"/>
  <c r="J137" i="64" s="1"/>
  <c r="J137" i="66" s="1"/>
  <c r="T123" i="79"/>
  <c r="J120" i="64" s="1"/>
  <c r="J120" i="66" s="1"/>
  <c r="R102" i="79"/>
  <c r="T11" i="79"/>
  <c r="J8" i="64" s="1"/>
  <c r="J8" i="66" s="1"/>
  <c r="V14" i="79"/>
  <c r="L11" i="64" s="1"/>
  <c r="L11" i="66" s="1"/>
  <c r="R14" i="79"/>
  <c r="H11" i="64" s="1"/>
  <c r="H11" i="66" s="1"/>
  <c r="T14" i="79"/>
  <c r="J11" i="64" s="1"/>
  <c r="J11" i="66" s="1"/>
  <c r="U14" i="79"/>
  <c r="K11" i="64" s="1"/>
  <c r="K11" i="66" s="1"/>
  <c r="S14" i="79"/>
  <c r="I11" i="64" s="1"/>
  <c r="I11" i="66" s="1"/>
  <c r="W14" i="79"/>
  <c r="V38" i="79"/>
  <c r="R38" i="79"/>
  <c r="S38" i="79"/>
  <c r="I35" i="64" s="1"/>
  <c r="I35" i="66" s="1"/>
  <c r="T38" i="79"/>
  <c r="J35" i="64" s="1"/>
  <c r="J35" i="66" s="1"/>
  <c r="U38" i="79"/>
  <c r="K35" i="64" s="1"/>
  <c r="K35" i="66" s="1"/>
  <c r="W38" i="79"/>
  <c r="V54" i="79"/>
  <c r="L51" i="64" s="1"/>
  <c r="L51" i="66" s="1"/>
  <c r="S54" i="79"/>
  <c r="I51" i="64" s="1"/>
  <c r="I51" i="66" s="1"/>
  <c r="T54" i="79"/>
  <c r="W54" i="79"/>
  <c r="U54" i="79"/>
  <c r="K51" i="64" s="1"/>
  <c r="K51" i="66" s="1"/>
  <c r="R16" i="79"/>
  <c r="H13" i="64" s="1"/>
  <c r="H13" i="66" s="1"/>
  <c r="T16" i="79"/>
  <c r="J13" i="64" s="1"/>
  <c r="J13" i="66" s="1"/>
  <c r="U16" i="79"/>
  <c r="K13" i="64" s="1"/>
  <c r="K13" i="66" s="1"/>
  <c r="V16" i="79"/>
  <c r="L13" i="64" s="1"/>
  <c r="L13" i="66" s="1"/>
  <c r="W16" i="79"/>
  <c r="S16" i="79"/>
  <c r="R40" i="79"/>
  <c r="H37" i="64" s="1"/>
  <c r="H37" i="66" s="1"/>
  <c r="T40" i="79"/>
  <c r="J37" i="64" s="1"/>
  <c r="J37" i="66" s="1"/>
  <c r="U40" i="79"/>
  <c r="K37" i="64" s="1"/>
  <c r="K37" i="66" s="1"/>
  <c r="S40" i="79"/>
  <c r="I37" i="64" s="1"/>
  <c r="I37" i="66" s="1"/>
  <c r="V40" i="79"/>
  <c r="L37" i="64" s="1"/>
  <c r="L37" i="66" s="1"/>
  <c r="W40" i="79"/>
  <c r="W104" i="79"/>
  <c r="R104" i="79"/>
  <c r="S104" i="79"/>
  <c r="T104" i="79"/>
  <c r="U104" i="79"/>
  <c r="W120" i="79"/>
  <c r="R120" i="79"/>
  <c r="H117" i="64" s="1"/>
  <c r="H117" i="66" s="1"/>
  <c r="S120" i="79"/>
  <c r="I117" i="64" s="1"/>
  <c r="I117" i="66" s="1"/>
  <c r="T120" i="79"/>
  <c r="J117" i="64" s="1"/>
  <c r="J117" i="66" s="1"/>
  <c r="U120" i="79"/>
  <c r="W128" i="79"/>
  <c r="R128" i="79"/>
  <c r="H125" i="64" s="1"/>
  <c r="H125" i="66" s="1"/>
  <c r="S128" i="79"/>
  <c r="I125" i="64" s="1"/>
  <c r="I125" i="66" s="1"/>
  <c r="T128" i="79"/>
  <c r="J125" i="64" s="1"/>
  <c r="J125" i="66" s="1"/>
  <c r="U128" i="79"/>
  <c r="K125" i="64" s="1"/>
  <c r="K125" i="66" s="1"/>
  <c r="W136" i="79"/>
  <c r="R136" i="79"/>
  <c r="H133" i="64" s="1"/>
  <c r="H133" i="66" s="1"/>
  <c r="S136" i="79"/>
  <c r="T136" i="79"/>
  <c r="J133" i="64" s="1"/>
  <c r="J133" i="66" s="1"/>
  <c r="U136" i="79"/>
  <c r="K133" i="64" s="1"/>
  <c r="K133" i="66" s="1"/>
  <c r="V136" i="79"/>
  <c r="L133" i="64" s="1"/>
  <c r="L133" i="66" s="1"/>
  <c r="C6" i="38"/>
  <c r="C7" i="66"/>
  <c r="I13" i="43"/>
  <c r="B9" i="40"/>
  <c r="I17" i="43"/>
  <c r="B13" i="40"/>
  <c r="N148" i="66"/>
  <c r="R139" i="79"/>
  <c r="H136" i="64" s="1"/>
  <c r="H136" i="66" s="1"/>
  <c r="V120" i="79"/>
  <c r="L117" i="64" s="1"/>
  <c r="L117" i="66" s="1"/>
  <c r="T99" i="79"/>
  <c r="J96" i="64" s="1"/>
  <c r="J96" i="66" s="1"/>
  <c r="T75" i="79"/>
  <c r="J72" i="64" s="1"/>
  <c r="J72" i="66" s="1"/>
  <c r="R41" i="79"/>
  <c r="H38" i="64" s="1"/>
  <c r="H38" i="66" s="1"/>
  <c r="U127" i="79"/>
  <c r="V127" i="79"/>
  <c r="L124" i="64" s="1"/>
  <c r="L124" i="66" s="1"/>
  <c r="R127" i="79"/>
  <c r="H124" i="64" s="1"/>
  <c r="H124" i="66" s="1"/>
  <c r="S127" i="79"/>
  <c r="I124" i="64" s="1"/>
  <c r="I124" i="66" s="1"/>
  <c r="T127" i="79"/>
  <c r="J124" i="64" s="1"/>
  <c r="J124" i="66" s="1"/>
  <c r="W127" i="79"/>
  <c r="V22" i="79"/>
  <c r="L19" i="64" s="1"/>
  <c r="L19" i="66" s="1"/>
  <c r="S22" i="79"/>
  <c r="I19" i="64" s="1"/>
  <c r="I19" i="66" s="1"/>
  <c r="T22" i="79"/>
  <c r="W22" i="79"/>
  <c r="R22" i="79"/>
  <c r="H19" i="64" s="1"/>
  <c r="H19" i="66" s="1"/>
  <c r="U22" i="79"/>
  <c r="K19" i="64" s="1"/>
  <c r="K19" i="66" s="1"/>
  <c r="Q8" i="79"/>
  <c r="G5" i="64" s="1"/>
  <c r="G5" i="66" s="1"/>
  <c r="S8" i="79"/>
  <c r="I5" i="64" s="1"/>
  <c r="I5" i="66" s="1"/>
  <c r="T8" i="79"/>
  <c r="J5" i="64" s="1"/>
  <c r="J5" i="66" s="1"/>
  <c r="U8" i="79"/>
  <c r="K5" i="64" s="1"/>
  <c r="K5" i="66" s="1"/>
  <c r="V8" i="79"/>
  <c r="W8" i="79"/>
  <c r="R8" i="79"/>
  <c r="H5" i="64" s="1"/>
  <c r="H5" i="66" s="1"/>
  <c r="R24" i="79"/>
  <c r="H21" i="64" s="1"/>
  <c r="H21" i="66" s="1"/>
  <c r="T24" i="79"/>
  <c r="J21" i="64" s="1"/>
  <c r="J21" i="66" s="1"/>
  <c r="U24" i="79"/>
  <c r="K21" i="64" s="1"/>
  <c r="K21" i="66" s="1"/>
  <c r="S24" i="79"/>
  <c r="I21" i="64" s="1"/>
  <c r="I21" i="66" s="1"/>
  <c r="V24" i="79"/>
  <c r="L21" i="64" s="1"/>
  <c r="L21" i="66" s="1"/>
  <c r="W24" i="79"/>
  <c r="R32" i="79"/>
  <c r="H29" i="64" s="1"/>
  <c r="H29" i="66" s="1"/>
  <c r="T32" i="79"/>
  <c r="J29" i="64" s="1"/>
  <c r="J29" i="66" s="1"/>
  <c r="U32" i="79"/>
  <c r="K29" i="64" s="1"/>
  <c r="K29" i="66" s="1"/>
  <c r="W32" i="79"/>
  <c r="S32" i="79"/>
  <c r="R48" i="79"/>
  <c r="H45" i="64" s="1"/>
  <c r="H45" i="66" s="1"/>
  <c r="T48" i="79"/>
  <c r="J45" i="64" s="1"/>
  <c r="J45" i="66" s="1"/>
  <c r="U48" i="79"/>
  <c r="V48" i="79"/>
  <c r="L45" i="64" s="1"/>
  <c r="L45" i="66" s="1"/>
  <c r="W48" i="79"/>
  <c r="S48" i="79"/>
  <c r="I45" i="64" s="1"/>
  <c r="I45" i="66" s="1"/>
  <c r="R56" i="79"/>
  <c r="H53" i="64" s="1"/>
  <c r="H53" i="66" s="1"/>
  <c r="T56" i="79"/>
  <c r="J53" i="64" s="1"/>
  <c r="J53" i="66" s="1"/>
  <c r="U56" i="79"/>
  <c r="K53" i="64" s="1"/>
  <c r="K53" i="66" s="1"/>
  <c r="S56" i="79"/>
  <c r="I53" i="64" s="1"/>
  <c r="I53" i="66" s="1"/>
  <c r="V56" i="79"/>
  <c r="L53" i="64" s="1"/>
  <c r="L53" i="66" s="1"/>
  <c r="W56" i="79"/>
  <c r="R64" i="79"/>
  <c r="H61" i="64" s="1"/>
  <c r="H61" i="66" s="1"/>
  <c r="T64" i="79"/>
  <c r="J61" i="64" s="1"/>
  <c r="J61" i="66" s="1"/>
  <c r="U64" i="79"/>
  <c r="K61" i="64" s="1"/>
  <c r="K61" i="66" s="1"/>
  <c r="W64" i="79"/>
  <c r="S64" i="79"/>
  <c r="I61" i="64" s="1"/>
  <c r="I61" i="66" s="1"/>
  <c r="V64" i="79"/>
  <c r="L61" i="64" s="1"/>
  <c r="L61" i="66" s="1"/>
  <c r="R72" i="79"/>
  <c r="T72" i="79"/>
  <c r="U72" i="79"/>
  <c r="K69" i="64" s="1"/>
  <c r="K69" i="66" s="1"/>
  <c r="S72" i="79"/>
  <c r="I69" i="64" s="1"/>
  <c r="I69" i="66" s="1"/>
  <c r="V72" i="79"/>
  <c r="L69" i="64" s="1"/>
  <c r="L69" i="66" s="1"/>
  <c r="W72" i="79"/>
  <c r="R80" i="79"/>
  <c r="H77" i="64" s="1"/>
  <c r="H77" i="66" s="1"/>
  <c r="T80" i="79"/>
  <c r="J77" i="64" s="1"/>
  <c r="J77" i="66" s="1"/>
  <c r="U80" i="79"/>
  <c r="V80" i="79"/>
  <c r="L77" i="64" s="1"/>
  <c r="L77" i="66" s="1"/>
  <c r="W80" i="79"/>
  <c r="S80" i="79"/>
  <c r="I77" i="64" s="1"/>
  <c r="I77" i="66" s="1"/>
  <c r="W88" i="79"/>
  <c r="R88" i="79"/>
  <c r="H85" i="64" s="1"/>
  <c r="H85" i="66" s="1"/>
  <c r="S88" i="79"/>
  <c r="I85" i="64" s="1"/>
  <c r="I85" i="66" s="1"/>
  <c r="T88" i="79"/>
  <c r="J85" i="64" s="1"/>
  <c r="J85" i="66" s="1"/>
  <c r="U88" i="79"/>
  <c r="K85" i="64" s="1"/>
  <c r="K85" i="66" s="1"/>
  <c r="W96" i="79"/>
  <c r="R96" i="79"/>
  <c r="H93" i="64" s="1"/>
  <c r="H93" i="66" s="1"/>
  <c r="S96" i="79"/>
  <c r="I93" i="64" s="1"/>
  <c r="I93" i="66" s="1"/>
  <c r="T96" i="79"/>
  <c r="J93" i="64" s="1"/>
  <c r="J93" i="66" s="1"/>
  <c r="U96" i="79"/>
  <c r="K93" i="64" s="1"/>
  <c r="K93" i="66" s="1"/>
  <c r="W112" i="79"/>
  <c r="R112" i="79"/>
  <c r="H109" i="64" s="1"/>
  <c r="S112" i="79"/>
  <c r="T112" i="79"/>
  <c r="J109" i="64" s="1"/>
  <c r="U112" i="79"/>
  <c r="K109" i="64" s="1"/>
  <c r="U144" i="79"/>
  <c r="K141" i="64" s="1"/>
  <c r="K141" i="66" s="1"/>
  <c r="V144" i="79"/>
  <c r="L141" i="64" s="1"/>
  <c r="L141" i="66" s="1"/>
  <c r="W144" i="79"/>
  <c r="R144" i="79"/>
  <c r="H141" i="64" s="1"/>
  <c r="H141" i="66" s="1"/>
  <c r="S144" i="79"/>
  <c r="I141" i="64" s="1"/>
  <c r="I141" i="66" s="1"/>
  <c r="T13" i="79"/>
  <c r="V13" i="79"/>
  <c r="L10" i="64" s="1"/>
  <c r="L10" i="66" s="1"/>
  <c r="W13" i="79"/>
  <c r="U13" i="79"/>
  <c r="K10" i="64" s="1"/>
  <c r="K10" i="66" s="1"/>
  <c r="R13" i="79"/>
  <c r="H10" i="64" s="1"/>
  <c r="H10" i="66" s="1"/>
  <c r="S13" i="79"/>
  <c r="I10" i="64" s="1"/>
  <c r="I10" i="66" s="1"/>
  <c r="T21" i="79"/>
  <c r="J18" i="64" s="1"/>
  <c r="J18" i="66" s="1"/>
  <c r="V21" i="79"/>
  <c r="L18" i="64" s="1"/>
  <c r="L18" i="66" s="1"/>
  <c r="W21" i="79"/>
  <c r="R21" i="79"/>
  <c r="H18" i="64" s="1"/>
  <c r="H18" i="66" s="1"/>
  <c r="S21" i="79"/>
  <c r="I18" i="64" s="1"/>
  <c r="I18" i="66" s="1"/>
  <c r="U21" i="79"/>
  <c r="K18" i="64" s="1"/>
  <c r="K18" i="66" s="1"/>
  <c r="T29" i="79"/>
  <c r="J26" i="64" s="1"/>
  <c r="J26" i="66" s="1"/>
  <c r="V29" i="79"/>
  <c r="L26" i="64" s="1"/>
  <c r="L26" i="66" s="1"/>
  <c r="W29" i="79"/>
  <c r="S29" i="79"/>
  <c r="I26" i="64" s="1"/>
  <c r="I26" i="66" s="1"/>
  <c r="U29" i="79"/>
  <c r="R29" i="79"/>
  <c r="T37" i="79"/>
  <c r="J34" i="64" s="1"/>
  <c r="J34" i="66" s="1"/>
  <c r="V37" i="79"/>
  <c r="W37" i="79"/>
  <c r="R37" i="79"/>
  <c r="H34" i="64" s="1"/>
  <c r="H34" i="66" s="1"/>
  <c r="S37" i="79"/>
  <c r="I34" i="64" s="1"/>
  <c r="I34" i="66" s="1"/>
  <c r="U37" i="79"/>
  <c r="K34" i="64" s="1"/>
  <c r="K34" i="66" s="1"/>
  <c r="T45" i="79"/>
  <c r="V45" i="79"/>
  <c r="W45" i="79"/>
  <c r="U45" i="79"/>
  <c r="K42" i="64" s="1"/>
  <c r="K42" i="66" s="1"/>
  <c r="R45" i="79"/>
  <c r="H42" i="64" s="1"/>
  <c r="H42" i="66" s="1"/>
  <c r="T53" i="79"/>
  <c r="J50" i="64" s="1"/>
  <c r="J50" i="66" s="1"/>
  <c r="V53" i="79"/>
  <c r="L50" i="64" s="1"/>
  <c r="L50" i="66" s="1"/>
  <c r="W53" i="79"/>
  <c r="R53" i="79"/>
  <c r="S53" i="79"/>
  <c r="I50" i="64" s="1"/>
  <c r="I50" i="66" s="1"/>
  <c r="U53" i="79"/>
  <c r="K50" i="64" s="1"/>
  <c r="K50" i="66" s="1"/>
  <c r="T61" i="79"/>
  <c r="J58" i="64" s="1"/>
  <c r="J58" i="66" s="1"/>
  <c r="V61" i="79"/>
  <c r="L58" i="64" s="1"/>
  <c r="L58" i="66" s="1"/>
  <c r="W61" i="79"/>
  <c r="S61" i="79"/>
  <c r="I58" i="64" s="1"/>
  <c r="I58" i="66" s="1"/>
  <c r="U61" i="79"/>
  <c r="K58" i="64" s="1"/>
  <c r="K58" i="66" s="1"/>
  <c r="R61" i="79"/>
  <c r="H58" i="64" s="1"/>
  <c r="H58" i="66" s="1"/>
  <c r="T69" i="79"/>
  <c r="J66" i="64" s="1"/>
  <c r="J66" i="66" s="1"/>
  <c r="V69" i="79"/>
  <c r="L66" i="64" s="1"/>
  <c r="L66" i="66" s="1"/>
  <c r="W69" i="79"/>
  <c r="R69" i="79"/>
  <c r="H66" i="64" s="1"/>
  <c r="H66" i="66" s="1"/>
  <c r="S69" i="79"/>
  <c r="I66" i="64" s="1"/>
  <c r="I66" i="66" s="1"/>
  <c r="U69" i="79"/>
  <c r="K66" i="64" s="1"/>
  <c r="K66" i="66" s="1"/>
  <c r="T77" i="79"/>
  <c r="J74" i="64" s="1"/>
  <c r="J74" i="66" s="1"/>
  <c r="V77" i="79"/>
  <c r="L74" i="64" s="1"/>
  <c r="L74" i="66" s="1"/>
  <c r="W77" i="79"/>
  <c r="U77" i="79"/>
  <c r="K74" i="64" s="1"/>
  <c r="K74" i="66" s="1"/>
  <c r="R77" i="79"/>
  <c r="S77" i="79"/>
  <c r="I74" i="64" s="1"/>
  <c r="I74" i="66" s="1"/>
  <c r="R85" i="79"/>
  <c r="H82" i="64" s="1"/>
  <c r="H82" i="66" s="1"/>
  <c r="T85" i="79"/>
  <c r="J82" i="64" s="1"/>
  <c r="J82" i="66" s="1"/>
  <c r="U85" i="79"/>
  <c r="K82" i="64" s="1"/>
  <c r="K82" i="66" s="1"/>
  <c r="S85" i="79"/>
  <c r="V85" i="79"/>
  <c r="W85" i="79"/>
  <c r="R93" i="79"/>
  <c r="H90" i="64" s="1"/>
  <c r="H90" i="66" s="1"/>
  <c r="T93" i="79"/>
  <c r="J90" i="64" s="1"/>
  <c r="J90" i="66" s="1"/>
  <c r="U93" i="79"/>
  <c r="K90" i="64" s="1"/>
  <c r="K90" i="66" s="1"/>
  <c r="S93" i="79"/>
  <c r="I90" i="64" s="1"/>
  <c r="I90" i="66" s="1"/>
  <c r="V93" i="79"/>
  <c r="L90" i="64" s="1"/>
  <c r="L90" i="66" s="1"/>
  <c r="W93" i="79"/>
  <c r="R101" i="79"/>
  <c r="H98" i="64" s="1"/>
  <c r="H98" i="66" s="1"/>
  <c r="T101" i="79"/>
  <c r="J98" i="64" s="1"/>
  <c r="J98" i="66" s="1"/>
  <c r="U101" i="79"/>
  <c r="K98" i="64" s="1"/>
  <c r="K98" i="66" s="1"/>
  <c r="S101" i="79"/>
  <c r="I98" i="64" s="1"/>
  <c r="I98" i="66" s="1"/>
  <c r="V101" i="79"/>
  <c r="L98" i="64" s="1"/>
  <c r="L98" i="66" s="1"/>
  <c r="W101" i="79"/>
  <c r="R109" i="79"/>
  <c r="H106" i="64" s="1"/>
  <c r="H106" i="66" s="1"/>
  <c r="T109" i="79"/>
  <c r="U109" i="79"/>
  <c r="K106" i="64" s="1"/>
  <c r="K106" i="66" s="1"/>
  <c r="S109" i="79"/>
  <c r="I106" i="64" s="1"/>
  <c r="I106" i="66" s="1"/>
  <c r="V109" i="79"/>
  <c r="L106" i="64" s="1"/>
  <c r="L106" i="66" s="1"/>
  <c r="W109" i="79"/>
  <c r="R117" i="79"/>
  <c r="H114" i="64" s="1"/>
  <c r="H114" i="66" s="1"/>
  <c r="T117" i="79"/>
  <c r="J114" i="64" s="1"/>
  <c r="J114" i="66" s="1"/>
  <c r="U117" i="79"/>
  <c r="K114" i="64" s="1"/>
  <c r="K114" i="66" s="1"/>
  <c r="S117" i="79"/>
  <c r="V117" i="79"/>
  <c r="W117" i="79"/>
  <c r="R125" i="79"/>
  <c r="H122" i="64" s="1"/>
  <c r="H122" i="66" s="1"/>
  <c r="T125" i="79"/>
  <c r="J122" i="64" s="1"/>
  <c r="J122" i="66" s="1"/>
  <c r="U125" i="79"/>
  <c r="K122" i="64" s="1"/>
  <c r="K122" i="66" s="1"/>
  <c r="S125" i="79"/>
  <c r="I122" i="64" s="1"/>
  <c r="I122" i="66" s="1"/>
  <c r="V125" i="79"/>
  <c r="L122" i="64" s="1"/>
  <c r="L122" i="66" s="1"/>
  <c r="W125" i="79"/>
  <c r="T133" i="79"/>
  <c r="J130" i="64" s="1"/>
  <c r="J130" i="66" s="1"/>
  <c r="U133" i="79"/>
  <c r="K130" i="64" s="1"/>
  <c r="K130" i="66" s="1"/>
  <c r="V133" i="79"/>
  <c r="W133" i="79"/>
  <c r="R133" i="79"/>
  <c r="H130" i="64" s="1"/>
  <c r="H130" i="66" s="1"/>
  <c r="W141" i="79"/>
  <c r="R141" i="79"/>
  <c r="H138" i="64" s="1"/>
  <c r="H138" i="66" s="1"/>
  <c r="S141" i="79"/>
  <c r="T141" i="79"/>
  <c r="J138" i="64" s="1"/>
  <c r="J138" i="66" s="1"/>
  <c r="U141" i="79"/>
  <c r="K138" i="64" s="1"/>
  <c r="K138" i="66" s="1"/>
  <c r="W149" i="79"/>
  <c r="R149" i="79"/>
  <c r="H146" i="64" s="1"/>
  <c r="H146" i="66" s="1"/>
  <c r="S149" i="79"/>
  <c r="I146" i="64" s="1"/>
  <c r="I146" i="66" s="1"/>
  <c r="T149" i="79"/>
  <c r="J146" i="64" s="1"/>
  <c r="J146" i="66" s="1"/>
  <c r="U149" i="79"/>
  <c r="K146" i="64" s="1"/>
  <c r="K146" i="66" s="1"/>
  <c r="B10" i="66"/>
  <c r="B26" i="66"/>
  <c r="B34" i="66"/>
  <c r="B42" i="66"/>
  <c r="B50" i="66"/>
  <c r="B58" i="66"/>
  <c r="B66" i="66"/>
  <c r="B82" i="66"/>
  <c r="B90" i="66"/>
  <c r="B98" i="66"/>
  <c r="B106" i="66"/>
  <c r="B114" i="66"/>
  <c r="B122" i="66"/>
  <c r="B130" i="66"/>
  <c r="B138" i="66"/>
  <c r="F18" i="38"/>
  <c r="O9" i="40"/>
  <c r="F22" i="38"/>
  <c r="O13" i="40"/>
  <c r="T148" i="79"/>
  <c r="J145" i="64" s="1"/>
  <c r="J145" i="66" s="1"/>
  <c r="V137" i="79"/>
  <c r="L134" i="64" s="1"/>
  <c r="L134" i="66" s="1"/>
  <c r="R118" i="79"/>
  <c r="H115" i="64" s="1"/>
  <c r="H115" i="66" s="1"/>
  <c r="V96" i="79"/>
  <c r="L93" i="64" s="1"/>
  <c r="L93" i="66" s="1"/>
  <c r="W70" i="79"/>
  <c r="W36" i="79"/>
  <c r="R39" i="79"/>
  <c r="S39" i="79"/>
  <c r="I36" i="64" s="1"/>
  <c r="I36" i="66" s="1"/>
  <c r="T39" i="79"/>
  <c r="J36" i="64" s="1"/>
  <c r="J36" i="66" s="1"/>
  <c r="U39" i="79"/>
  <c r="K36" i="64" s="1"/>
  <c r="K36" i="66" s="1"/>
  <c r="W39" i="79"/>
  <c r="V39" i="79"/>
  <c r="L36" i="64" s="1"/>
  <c r="L36" i="66" s="1"/>
  <c r="R63" i="79"/>
  <c r="H60" i="64" s="1"/>
  <c r="H60" i="66" s="1"/>
  <c r="S63" i="79"/>
  <c r="U63" i="79"/>
  <c r="V63" i="79"/>
  <c r="L60" i="64" s="1"/>
  <c r="L60" i="66" s="1"/>
  <c r="T63" i="79"/>
  <c r="W63" i="79"/>
  <c r="R79" i="79"/>
  <c r="H76" i="64" s="1"/>
  <c r="H76" i="66" s="1"/>
  <c r="S79" i="79"/>
  <c r="I76" i="64" s="1"/>
  <c r="I76" i="66" s="1"/>
  <c r="V79" i="79"/>
  <c r="L76" i="64" s="1"/>
  <c r="L76" i="66" s="1"/>
  <c r="W79" i="79"/>
  <c r="T79" i="79"/>
  <c r="J76" i="64" s="1"/>
  <c r="J76" i="66" s="1"/>
  <c r="U103" i="79"/>
  <c r="K100" i="64" s="1"/>
  <c r="K100" i="66" s="1"/>
  <c r="V103" i="79"/>
  <c r="L100" i="64" s="1"/>
  <c r="L100" i="66" s="1"/>
  <c r="R103" i="79"/>
  <c r="H100" i="64" s="1"/>
  <c r="H100" i="66" s="1"/>
  <c r="S103" i="79"/>
  <c r="I100" i="64" s="1"/>
  <c r="I100" i="66" s="1"/>
  <c r="T103" i="79"/>
  <c r="J100" i="64" s="1"/>
  <c r="J100" i="66" s="1"/>
  <c r="W103" i="79"/>
  <c r="U135" i="79"/>
  <c r="V135" i="79"/>
  <c r="L132" i="64" s="1"/>
  <c r="L132" i="66" s="1"/>
  <c r="W135" i="79"/>
  <c r="R135" i="79"/>
  <c r="H132" i="64" s="1"/>
  <c r="H132" i="66" s="1"/>
  <c r="S135" i="79"/>
  <c r="I132" i="64" s="1"/>
  <c r="I132" i="66" s="1"/>
  <c r="I10" i="43"/>
  <c r="B6" i="40"/>
  <c r="O14" i="40"/>
  <c r="F23" i="38"/>
  <c r="V10" i="79"/>
  <c r="L7" i="64" s="1"/>
  <c r="L7" i="66" s="1"/>
  <c r="S10" i="79"/>
  <c r="I7" i="64" s="1"/>
  <c r="I7" i="66" s="1"/>
  <c r="T10" i="79"/>
  <c r="R10" i="79"/>
  <c r="H7" i="64" s="1"/>
  <c r="H7" i="66" s="1"/>
  <c r="U10" i="79"/>
  <c r="K7" i="64" s="1"/>
  <c r="K7" i="66" s="1"/>
  <c r="W10" i="79"/>
  <c r="V18" i="79"/>
  <c r="L15" i="64" s="1"/>
  <c r="L15" i="66" s="1"/>
  <c r="R18" i="79"/>
  <c r="S18" i="79"/>
  <c r="I15" i="64" s="1"/>
  <c r="I15" i="66" s="1"/>
  <c r="U18" i="79"/>
  <c r="K15" i="64" s="1"/>
  <c r="K15" i="66" s="1"/>
  <c r="W18" i="79"/>
  <c r="T18" i="79"/>
  <c r="J15" i="64" s="1"/>
  <c r="J15" i="66" s="1"/>
  <c r="V26" i="79"/>
  <c r="L23" i="64" s="1"/>
  <c r="L23" i="66" s="1"/>
  <c r="T26" i="79"/>
  <c r="J23" i="64" s="1"/>
  <c r="J23" i="66" s="1"/>
  <c r="U26" i="79"/>
  <c r="K23" i="64" s="1"/>
  <c r="K23" i="66" s="1"/>
  <c r="R26" i="79"/>
  <c r="S26" i="79"/>
  <c r="I23" i="64" s="1"/>
  <c r="I23" i="66" s="1"/>
  <c r="W26" i="79"/>
  <c r="V34" i="79"/>
  <c r="W34" i="79"/>
  <c r="R34" i="79"/>
  <c r="S34" i="79"/>
  <c r="I31" i="64" s="1"/>
  <c r="I31" i="66" s="1"/>
  <c r="T34" i="79"/>
  <c r="J31" i="64" s="1"/>
  <c r="J31" i="66" s="1"/>
  <c r="U34" i="79"/>
  <c r="K31" i="64" s="1"/>
  <c r="K31" i="66" s="1"/>
  <c r="V42" i="79"/>
  <c r="L39" i="64" s="1"/>
  <c r="L39" i="66" s="1"/>
  <c r="S42" i="79"/>
  <c r="I39" i="64" s="1"/>
  <c r="I39" i="66" s="1"/>
  <c r="T42" i="79"/>
  <c r="J39" i="64" s="1"/>
  <c r="J39" i="66" s="1"/>
  <c r="R42" i="79"/>
  <c r="H39" i="64" s="1"/>
  <c r="H39" i="66" s="1"/>
  <c r="U42" i="79"/>
  <c r="K39" i="64" s="1"/>
  <c r="K39" i="66" s="1"/>
  <c r="W42" i="79"/>
  <c r="V50" i="79"/>
  <c r="L47" i="64" s="1"/>
  <c r="L47" i="66" s="1"/>
  <c r="R50" i="79"/>
  <c r="S50" i="79"/>
  <c r="U50" i="79"/>
  <c r="K47" i="64" s="1"/>
  <c r="K47" i="66" s="1"/>
  <c r="W50" i="79"/>
  <c r="T50" i="79"/>
  <c r="J47" i="64" s="1"/>
  <c r="J47" i="66" s="1"/>
  <c r="V58" i="79"/>
  <c r="L55" i="64" s="1"/>
  <c r="L55" i="66" s="1"/>
  <c r="T58" i="79"/>
  <c r="J55" i="64" s="1"/>
  <c r="J55" i="66" s="1"/>
  <c r="U58" i="79"/>
  <c r="K55" i="64" s="1"/>
  <c r="K55" i="66" s="1"/>
  <c r="W58" i="79"/>
  <c r="R58" i="79"/>
  <c r="V66" i="79"/>
  <c r="L63" i="64" s="1"/>
  <c r="L63" i="66" s="1"/>
  <c r="W66" i="79"/>
  <c r="R66" i="79"/>
  <c r="H63" i="64" s="1"/>
  <c r="H63" i="66" s="1"/>
  <c r="S66" i="79"/>
  <c r="I63" i="64" s="1"/>
  <c r="I63" i="66" s="1"/>
  <c r="T66" i="79"/>
  <c r="J63" i="64" s="1"/>
  <c r="J63" i="66" s="1"/>
  <c r="V74" i="79"/>
  <c r="L71" i="64" s="1"/>
  <c r="L71" i="66" s="1"/>
  <c r="S74" i="79"/>
  <c r="T74" i="79"/>
  <c r="J71" i="64" s="1"/>
  <c r="J71" i="66" s="1"/>
  <c r="R74" i="79"/>
  <c r="H71" i="64" s="1"/>
  <c r="H71" i="66" s="1"/>
  <c r="U74" i="79"/>
  <c r="K71" i="64" s="1"/>
  <c r="K71" i="66" s="1"/>
  <c r="W74" i="79"/>
  <c r="V82" i="79"/>
  <c r="R82" i="79"/>
  <c r="H79" i="64" s="1"/>
  <c r="H79" i="66" s="1"/>
  <c r="S82" i="79"/>
  <c r="I79" i="64" s="1"/>
  <c r="I79" i="66" s="1"/>
  <c r="U82" i="79"/>
  <c r="K79" i="64" s="1"/>
  <c r="K79" i="66" s="1"/>
  <c r="W82" i="79"/>
  <c r="T82" i="79"/>
  <c r="J79" i="64" s="1"/>
  <c r="J79" i="66" s="1"/>
  <c r="S90" i="79"/>
  <c r="I87" i="64" s="1"/>
  <c r="I87" i="66" s="1"/>
  <c r="T90" i="79"/>
  <c r="J87" i="64" s="1"/>
  <c r="J87" i="66" s="1"/>
  <c r="V90" i="79"/>
  <c r="L87" i="64" s="1"/>
  <c r="L87" i="66" s="1"/>
  <c r="W90" i="79"/>
  <c r="R90" i="79"/>
  <c r="H87" i="64" s="1"/>
  <c r="H87" i="66" s="1"/>
  <c r="U90" i="79"/>
  <c r="S98" i="79"/>
  <c r="I95" i="64" s="1"/>
  <c r="I95" i="66" s="1"/>
  <c r="T98" i="79"/>
  <c r="J95" i="64" s="1"/>
  <c r="J95" i="66" s="1"/>
  <c r="V98" i="79"/>
  <c r="L95" i="64" s="1"/>
  <c r="L95" i="66" s="1"/>
  <c r="W98" i="79"/>
  <c r="R98" i="79"/>
  <c r="H95" i="64" s="1"/>
  <c r="H95" i="66" s="1"/>
  <c r="U98" i="79"/>
  <c r="K95" i="64" s="1"/>
  <c r="K95" i="66" s="1"/>
  <c r="S106" i="79"/>
  <c r="I103" i="64" s="1"/>
  <c r="I103" i="66" s="1"/>
  <c r="T106" i="79"/>
  <c r="V106" i="79"/>
  <c r="W106" i="79"/>
  <c r="R106" i="79"/>
  <c r="H103" i="64" s="1"/>
  <c r="H103" i="66" s="1"/>
  <c r="U106" i="79"/>
  <c r="K103" i="64" s="1"/>
  <c r="K103" i="66" s="1"/>
  <c r="S114" i="79"/>
  <c r="I111" i="64" s="1"/>
  <c r="T114" i="79"/>
  <c r="J111" i="64" s="1"/>
  <c r="V114" i="79"/>
  <c r="L111" i="64" s="1"/>
  <c r="W114" i="79"/>
  <c r="R114" i="79"/>
  <c r="H111" i="64" s="1"/>
  <c r="U114" i="79"/>
  <c r="K111" i="64" s="1"/>
  <c r="S122" i="79"/>
  <c r="I119" i="64" s="1"/>
  <c r="I119" i="66" s="1"/>
  <c r="T122" i="79"/>
  <c r="J119" i="64" s="1"/>
  <c r="J119" i="66" s="1"/>
  <c r="V122" i="79"/>
  <c r="L119" i="64" s="1"/>
  <c r="L119" i="66" s="1"/>
  <c r="W122" i="79"/>
  <c r="R122" i="79"/>
  <c r="H119" i="64" s="1"/>
  <c r="H119" i="66" s="1"/>
  <c r="U122" i="79"/>
  <c r="S130" i="79"/>
  <c r="V130" i="79"/>
  <c r="L127" i="64" s="1"/>
  <c r="L127" i="66" s="1"/>
  <c r="W130" i="79"/>
  <c r="R130" i="79"/>
  <c r="H127" i="64" s="1"/>
  <c r="H127" i="66" s="1"/>
  <c r="T130" i="79"/>
  <c r="J127" i="64" s="1"/>
  <c r="J127" i="66" s="1"/>
  <c r="U130" i="79"/>
  <c r="K127" i="64" s="1"/>
  <c r="K127" i="66" s="1"/>
  <c r="R138" i="79"/>
  <c r="H135" i="64" s="1"/>
  <c r="H135" i="66" s="1"/>
  <c r="S138" i="79"/>
  <c r="T138" i="79"/>
  <c r="J135" i="64" s="1"/>
  <c r="J135" i="66" s="1"/>
  <c r="U138" i="79"/>
  <c r="K135" i="64" s="1"/>
  <c r="K135" i="66" s="1"/>
  <c r="V138" i="79"/>
  <c r="L135" i="64" s="1"/>
  <c r="L135" i="66" s="1"/>
  <c r="W138" i="79"/>
  <c r="R146" i="79"/>
  <c r="H143" i="64" s="1"/>
  <c r="H143" i="66" s="1"/>
  <c r="S146" i="79"/>
  <c r="I143" i="64" s="1"/>
  <c r="I143" i="66" s="1"/>
  <c r="T146" i="79"/>
  <c r="J143" i="64" s="1"/>
  <c r="J143" i="66" s="1"/>
  <c r="U146" i="79"/>
  <c r="K143" i="64" s="1"/>
  <c r="K143" i="66" s="1"/>
  <c r="V146" i="79"/>
  <c r="L143" i="64" s="1"/>
  <c r="L143" i="66" s="1"/>
  <c r="W146" i="79"/>
  <c r="F14" i="38"/>
  <c r="O5" i="40"/>
  <c r="I14" i="43"/>
  <c r="B10" i="40"/>
  <c r="I18" i="43"/>
  <c r="B14" i="40"/>
  <c r="R147" i="79"/>
  <c r="H144" i="64" s="1"/>
  <c r="H144" i="66" s="1"/>
  <c r="T135" i="79"/>
  <c r="J132" i="64" s="1"/>
  <c r="J132" i="66" s="1"/>
  <c r="T115" i="79"/>
  <c r="J112" i="64" s="1"/>
  <c r="J112" i="66" s="1"/>
  <c r="R94" i="79"/>
  <c r="H91" i="64" s="1"/>
  <c r="H91" i="66" s="1"/>
  <c r="U66" i="79"/>
  <c r="K63" i="64" s="1"/>
  <c r="K63" i="66" s="1"/>
  <c r="V32" i="79"/>
  <c r="L29" i="64" s="1"/>
  <c r="L29" i="66" s="1"/>
  <c r="B143" i="65"/>
  <c r="B135" i="65"/>
  <c r="B127" i="65"/>
  <c r="B111" i="65"/>
  <c r="B103" i="65"/>
  <c r="B95" i="65"/>
  <c r="B79" i="65"/>
  <c r="B71" i="65"/>
  <c r="B63" i="65"/>
  <c r="B55" i="65"/>
  <c r="B47" i="65"/>
  <c r="B39" i="65"/>
  <c r="B31" i="65"/>
  <c r="B23" i="65"/>
  <c r="B7" i="66"/>
  <c r="B15" i="66"/>
  <c r="B23" i="66"/>
  <c r="B31" i="66"/>
  <c r="B39" i="66"/>
  <c r="B55" i="66"/>
  <c r="B87" i="66"/>
  <c r="B95" i="66"/>
  <c r="B103" i="66"/>
  <c r="B111" i="66"/>
  <c r="B127" i="66"/>
  <c r="B135" i="66"/>
  <c r="B134" i="65"/>
  <c r="B126" i="65"/>
  <c r="B110" i="65"/>
  <c r="B102" i="65"/>
  <c r="B94" i="65"/>
  <c r="B86" i="65"/>
  <c r="B54" i="65"/>
  <c r="B38" i="65"/>
  <c r="B30" i="65"/>
  <c r="B22" i="65"/>
  <c r="B14" i="65"/>
  <c r="B6" i="65"/>
  <c r="B12" i="66"/>
  <c r="B28" i="66"/>
  <c r="B36" i="66"/>
  <c r="B44" i="66"/>
  <c r="B60" i="66"/>
  <c r="B68" i="66"/>
  <c r="B76" i="66"/>
  <c r="B84" i="66"/>
  <c r="B92" i="66"/>
  <c r="B100" i="66"/>
  <c r="B108" i="66"/>
  <c r="B116" i="66"/>
  <c r="B132" i="66"/>
  <c r="B140" i="66"/>
  <c r="B141" i="65"/>
  <c r="B133" i="65"/>
  <c r="B125" i="65"/>
  <c r="B117" i="65"/>
  <c r="B101" i="65"/>
  <c r="B93" i="65"/>
  <c r="B85" i="65"/>
  <c r="B77" i="65"/>
  <c r="B69" i="65"/>
  <c r="B61" i="65"/>
  <c r="B53" i="65"/>
  <c r="B45" i="65"/>
  <c r="B29" i="65"/>
  <c r="B21" i="65"/>
  <c r="B9" i="66"/>
  <c r="B25" i="66"/>
  <c r="B33" i="66"/>
  <c r="B41" i="66"/>
  <c r="B49" i="66"/>
  <c r="B57" i="66"/>
  <c r="B65" i="66"/>
  <c r="B73" i="66"/>
  <c r="B81" i="66"/>
  <c r="B89" i="66"/>
  <c r="B97" i="66"/>
  <c r="B105" i="66"/>
  <c r="B113" i="66"/>
  <c r="B121" i="66"/>
  <c r="B129" i="66"/>
  <c r="B145" i="66"/>
  <c r="B5" i="65"/>
  <c r="B140" i="65"/>
  <c r="B132" i="65"/>
  <c r="B124" i="65"/>
  <c r="B116" i="65"/>
  <c r="B108" i="65"/>
  <c r="B100" i="65"/>
  <c r="B92" i="65"/>
  <c r="B84" i="65"/>
  <c r="B76" i="65"/>
  <c r="B68" i="65"/>
  <c r="B60" i="65"/>
  <c r="B52" i="65"/>
  <c r="B36" i="65"/>
  <c r="B28" i="65"/>
  <c r="B20" i="65"/>
  <c r="B139" i="65"/>
  <c r="B131" i="65"/>
  <c r="B115" i="65"/>
  <c r="B107" i="65"/>
  <c r="B99" i="65"/>
  <c r="B91" i="65"/>
  <c r="B83" i="65"/>
  <c r="B75" i="65"/>
  <c r="B67" i="65"/>
  <c r="B59" i="65"/>
  <c r="B43" i="65"/>
  <c r="B35" i="65"/>
  <c r="B27" i="65"/>
  <c r="B11" i="65"/>
  <c r="B27" i="66"/>
  <c r="B43" i="66"/>
  <c r="B51" i="66"/>
  <c r="B146" i="65"/>
  <c r="B138" i="65"/>
  <c r="B130" i="65"/>
  <c r="B122" i="65"/>
  <c r="B114" i="65"/>
  <c r="B98" i="65"/>
  <c r="B90" i="65"/>
  <c r="B82" i="65"/>
  <c r="B74" i="65"/>
  <c r="B66" i="65"/>
  <c r="B50" i="65"/>
  <c r="B42" i="65"/>
  <c r="B26" i="65"/>
  <c r="B18" i="65"/>
  <c r="B10" i="65"/>
  <c r="B137" i="65"/>
  <c r="B129" i="65"/>
  <c r="B121" i="65"/>
  <c r="B113" i="65"/>
  <c r="B105" i="65"/>
  <c r="B97" i="65"/>
  <c r="B89" i="65"/>
  <c r="B81" i="65"/>
  <c r="B65" i="65"/>
  <c r="B57" i="65"/>
  <c r="B49" i="65"/>
  <c r="B41" i="65"/>
  <c r="B33" i="65"/>
  <c r="B25" i="65"/>
  <c r="B9" i="65"/>
  <c r="B5" i="66"/>
  <c r="C5" i="38" s="1"/>
  <c r="B144" i="65"/>
  <c r="B128" i="65"/>
  <c r="B120" i="65"/>
  <c r="B112" i="65"/>
  <c r="B104" i="65"/>
  <c r="B96" i="65"/>
  <c r="B88" i="65"/>
  <c r="B80" i="65"/>
  <c r="B72" i="65"/>
  <c r="B64" i="65"/>
  <c r="B56" i="65"/>
  <c r="B48" i="65"/>
  <c r="B40" i="65"/>
  <c r="B32" i="65"/>
  <c r="B24" i="65"/>
  <c r="B8" i="65"/>
  <c r="P10" i="79"/>
  <c r="F7" i="64" s="1"/>
  <c r="P8" i="79"/>
  <c r="F5" i="64" s="1"/>
  <c r="K124" i="64"/>
  <c r="K124" i="66" s="1"/>
  <c r="C17" i="77"/>
  <c r="Q135" i="79"/>
  <c r="G132" i="64" s="1"/>
  <c r="G132" i="66" s="1"/>
  <c r="Q150" i="79"/>
  <c r="G147" i="64" s="1"/>
  <c r="G147" i="66" s="1"/>
  <c r="Q110" i="79"/>
  <c r="G107" i="64" s="1"/>
  <c r="G107" i="66" s="1"/>
  <c r="M81" i="64"/>
  <c r="M81" i="66" s="1"/>
  <c r="O49" i="81"/>
  <c r="L113" i="64"/>
  <c r="L113" i="66" s="1"/>
  <c r="O46" i="81"/>
  <c r="K145" i="64"/>
  <c r="K145" i="66" s="1"/>
  <c r="P105" i="79"/>
  <c r="F102" i="64" s="1"/>
  <c r="M5" i="64"/>
  <c r="M5" i="66" s="1"/>
  <c r="H67" i="64"/>
  <c r="H67" i="66" s="1"/>
  <c r="Q137" i="79"/>
  <c r="G134" i="64" s="1"/>
  <c r="G134" i="66" s="1"/>
  <c r="M44" i="64"/>
  <c r="M44" i="66" s="1"/>
  <c r="A127" i="65"/>
  <c r="A128" i="66" s="1"/>
  <c r="O26" i="81"/>
  <c r="B26" i="81"/>
  <c r="B43" i="81"/>
  <c r="Q101" i="79"/>
  <c r="G98" i="64" s="1"/>
  <c r="G98" i="66" s="1"/>
  <c r="L108" i="64"/>
  <c r="L108" i="66" s="1"/>
  <c r="P52" i="79"/>
  <c r="F49" i="64" s="1"/>
  <c r="O15" i="81"/>
  <c r="P110" i="79"/>
  <c r="F107" i="64" s="1"/>
  <c r="Q123" i="79"/>
  <c r="G120" i="64" s="1"/>
  <c r="G120" i="66" s="1"/>
  <c r="Q148" i="79"/>
  <c r="G145" i="64" s="1"/>
  <c r="G145" i="66" s="1"/>
  <c r="M11" i="64"/>
  <c r="M11" i="66" s="1"/>
  <c r="B24" i="81"/>
  <c r="B41" i="81"/>
  <c r="O24" i="81"/>
  <c r="P150" i="79"/>
  <c r="F147" i="64" s="1"/>
  <c r="O7" i="81"/>
  <c r="P97" i="79"/>
  <c r="F94" i="64" s="1"/>
  <c r="L94" i="64"/>
  <c r="L94" i="66" s="1"/>
  <c r="Q97" i="79"/>
  <c r="G94" i="64" s="1"/>
  <c r="G94" i="66" s="1"/>
  <c r="Q21" i="79"/>
  <c r="G18" i="64" s="1"/>
  <c r="G18" i="66" s="1"/>
  <c r="P21" i="79"/>
  <c r="F18" i="64" s="1"/>
  <c r="Q56" i="79"/>
  <c r="G53" i="64" s="1"/>
  <c r="G53" i="66" s="1"/>
  <c r="P56" i="79"/>
  <c r="F53" i="64" s="1"/>
  <c r="Q131" i="79"/>
  <c r="G128" i="64" s="1"/>
  <c r="G128" i="66" s="1"/>
  <c r="I128" i="64"/>
  <c r="I128" i="66" s="1"/>
  <c r="P131" i="79"/>
  <c r="F128" i="64" s="1"/>
  <c r="I121" i="64"/>
  <c r="I121" i="66" s="1"/>
  <c r="Q124" i="79"/>
  <c r="G121" i="64" s="1"/>
  <c r="G121" i="66" s="1"/>
  <c r="P124" i="79"/>
  <c r="F121" i="64" s="1"/>
  <c r="H64" i="64"/>
  <c r="H64" i="66" s="1"/>
  <c r="Q67" i="79"/>
  <c r="G64" i="64" s="1"/>
  <c r="G64" i="66" s="1"/>
  <c r="P67" i="79"/>
  <c r="F64" i="64" s="1"/>
  <c r="J28" i="64"/>
  <c r="J28" i="66" s="1"/>
  <c r="K28" i="64"/>
  <c r="K28" i="66" s="1"/>
  <c r="Q31" i="79"/>
  <c r="G28" i="64" s="1"/>
  <c r="G28" i="66" s="1"/>
  <c r="P31" i="79"/>
  <c r="F28" i="64" s="1"/>
  <c r="P61" i="79"/>
  <c r="F58" i="64" s="1"/>
  <c r="Q61" i="79"/>
  <c r="G58" i="64" s="1"/>
  <c r="G58" i="66" s="1"/>
  <c r="K68" i="64"/>
  <c r="K68" i="66" s="1"/>
  <c r="Q71" i="79"/>
  <c r="G68" i="64" s="1"/>
  <c r="G68" i="66" s="1"/>
  <c r="P71" i="79"/>
  <c r="F68" i="64" s="1"/>
  <c r="P92" i="79"/>
  <c r="F89" i="64" s="1"/>
  <c r="H89" i="64"/>
  <c r="H89" i="66" s="1"/>
  <c r="Q92" i="79"/>
  <c r="G89" i="64" s="1"/>
  <c r="G89" i="66" s="1"/>
  <c r="Q40" i="79"/>
  <c r="G37" i="64" s="1"/>
  <c r="G37" i="66" s="1"/>
  <c r="P40" i="79"/>
  <c r="F37" i="64" s="1"/>
  <c r="I109" i="64"/>
  <c r="L109" i="64"/>
  <c r="P112" i="79"/>
  <c r="F109" i="64" s="1"/>
  <c r="Q112" i="79"/>
  <c r="G109" i="64" s="1"/>
  <c r="G109" i="66" s="1"/>
  <c r="P25" i="79"/>
  <c r="F22" i="64" s="1"/>
  <c r="L22" i="64"/>
  <c r="L22" i="66" s="1"/>
  <c r="J22" i="64"/>
  <c r="J22" i="66" s="1"/>
  <c r="H22" i="64"/>
  <c r="H22" i="66" s="1"/>
  <c r="Q25" i="79"/>
  <c r="G22" i="64" s="1"/>
  <c r="G22" i="66" s="1"/>
  <c r="P114" i="79"/>
  <c r="F111" i="64" s="1"/>
  <c r="Q114" i="79"/>
  <c r="G111" i="64" s="1"/>
  <c r="G111" i="66" s="1"/>
  <c r="P146" i="79"/>
  <c r="F143" i="64" s="1"/>
  <c r="Q146" i="79"/>
  <c r="G143" i="64" s="1"/>
  <c r="G143" i="66" s="1"/>
  <c r="P42" i="79"/>
  <c r="F39" i="64" s="1"/>
  <c r="Q42" i="79"/>
  <c r="G39" i="64" s="1"/>
  <c r="G39" i="66" s="1"/>
  <c r="L79" i="64"/>
  <c r="L79" i="66" s="1"/>
  <c r="Q82" i="79"/>
  <c r="G79" i="64" s="1"/>
  <c r="G79" i="66" s="1"/>
  <c r="P82" i="79"/>
  <c r="F79" i="64" s="1"/>
  <c r="I133" i="64"/>
  <c r="I133" i="66" s="1"/>
  <c r="Q136" i="79"/>
  <c r="G133" i="64" s="1"/>
  <c r="G133" i="66" s="1"/>
  <c r="P136" i="79"/>
  <c r="F133" i="64" s="1"/>
  <c r="I12" i="64"/>
  <c r="I12" i="66" s="1"/>
  <c r="K12" i="64"/>
  <c r="K12" i="66" s="1"/>
  <c r="Q15" i="79"/>
  <c r="G12" i="64" s="1"/>
  <c r="G12" i="66" s="1"/>
  <c r="P15" i="79"/>
  <c r="F12" i="64" s="1"/>
  <c r="J65" i="64"/>
  <c r="J65" i="66" s="1"/>
  <c r="Q68" i="79"/>
  <c r="G65" i="64" s="1"/>
  <c r="G65" i="66" s="1"/>
  <c r="I65" i="64"/>
  <c r="I65" i="66" s="1"/>
  <c r="P68" i="79"/>
  <c r="F65" i="64" s="1"/>
  <c r="P75" i="79"/>
  <c r="F72" i="64" s="1"/>
  <c r="Q75" i="79"/>
  <c r="G72" i="64" s="1"/>
  <c r="G72" i="66" s="1"/>
  <c r="L82" i="64"/>
  <c r="L82" i="66" s="1"/>
  <c r="Q85" i="79"/>
  <c r="G82" i="64" s="1"/>
  <c r="G82" i="66" s="1"/>
  <c r="I82" i="64"/>
  <c r="I82" i="66" s="1"/>
  <c r="P85" i="79"/>
  <c r="F82" i="64" s="1"/>
  <c r="K87" i="64"/>
  <c r="K87" i="66" s="1"/>
  <c r="P90" i="79"/>
  <c r="F87" i="64" s="1"/>
  <c r="Q90" i="79"/>
  <c r="G87" i="64" s="1"/>
  <c r="G87" i="66" s="1"/>
  <c r="P93" i="79"/>
  <c r="F90" i="64" s="1"/>
  <c r="Q93" i="79"/>
  <c r="G90" i="64" s="1"/>
  <c r="G90" i="66" s="1"/>
  <c r="I139" i="64"/>
  <c r="I139" i="66" s="1"/>
  <c r="Q142" i="79"/>
  <c r="G139" i="64" s="1"/>
  <c r="G139" i="66" s="1"/>
  <c r="P142" i="79"/>
  <c r="F139" i="64" s="1"/>
  <c r="B63" i="66"/>
  <c r="B74" i="66"/>
  <c r="B120" i="66"/>
  <c r="M119" i="64"/>
  <c r="M119" i="66" s="1"/>
  <c r="K8" i="64"/>
  <c r="K8" i="66" s="1"/>
  <c r="Q11" i="79"/>
  <c r="G8" i="64" s="1"/>
  <c r="G8" i="66" s="1"/>
  <c r="P11" i="79"/>
  <c r="F8" i="64" s="1"/>
  <c r="I13" i="64"/>
  <c r="I13" i="66" s="1"/>
  <c r="Q16" i="79"/>
  <c r="G13" i="64" s="1"/>
  <c r="G13" i="66" s="1"/>
  <c r="P16" i="79"/>
  <c r="F13" i="64" s="1"/>
  <c r="Q20" i="79"/>
  <c r="G17" i="64" s="1"/>
  <c r="G17" i="66" s="1"/>
  <c r="L17" i="64"/>
  <c r="L17" i="66" s="1"/>
  <c r="I17" i="64"/>
  <c r="I17" i="66" s="1"/>
  <c r="H17" i="64"/>
  <c r="H17" i="66" s="1"/>
  <c r="P20" i="79"/>
  <c r="F17" i="64" s="1"/>
  <c r="M117" i="64"/>
  <c r="M117" i="66" s="1"/>
  <c r="I147" i="64"/>
  <c r="I147" i="66" s="1"/>
  <c r="M133" i="64"/>
  <c r="M133" i="66" s="1"/>
  <c r="M127" i="64"/>
  <c r="M127" i="66" s="1"/>
  <c r="Q64" i="79"/>
  <c r="G61" i="64" s="1"/>
  <c r="G61" i="66" s="1"/>
  <c r="P64" i="79"/>
  <c r="F61" i="64" s="1"/>
  <c r="I72" i="64"/>
  <c r="I72" i="66" s="1"/>
  <c r="J83" i="64"/>
  <c r="J83" i="66" s="1"/>
  <c r="P86" i="79"/>
  <c r="F83" i="64" s="1"/>
  <c r="Q94" i="79"/>
  <c r="G91" i="64" s="1"/>
  <c r="G91" i="66" s="1"/>
  <c r="P94" i="79"/>
  <c r="F91" i="64" s="1"/>
  <c r="P103" i="79"/>
  <c r="F100" i="64" s="1"/>
  <c r="Q103" i="79"/>
  <c r="G100" i="64" s="1"/>
  <c r="G100" i="66" s="1"/>
  <c r="J104" i="64"/>
  <c r="J104" i="66" s="1"/>
  <c r="Q107" i="79"/>
  <c r="G104" i="64" s="1"/>
  <c r="G104" i="66" s="1"/>
  <c r="P107" i="79"/>
  <c r="F104" i="64" s="1"/>
  <c r="M82" i="64"/>
  <c r="M82" i="66" s="1"/>
  <c r="J9" i="64"/>
  <c r="J9" i="66" s="1"/>
  <c r="Q12" i="79"/>
  <c r="G9" i="64" s="1"/>
  <c r="G9" i="66" s="1"/>
  <c r="P12" i="79"/>
  <c r="F9" i="64" s="1"/>
  <c r="K44" i="64"/>
  <c r="K44" i="66" s="1"/>
  <c r="Q47" i="79"/>
  <c r="G44" i="64" s="1"/>
  <c r="G44" i="66" s="1"/>
  <c r="P47" i="79"/>
  <c r="F44" i="64" s="1"/>
  <c r="I62" i="64"/>
  <c r="I62" i="66" s="1"/>
  <c r="K62" i="64"/>
  <c r="K62" i="66" s="1"/>
  <c r="P65" i="79"/>
  <c r="F62" i="64" s="1"/>
  <c r="P69" i="79"/>
  <c r="F66" i="64" s="1"/>
  <c r="Q69" i="79"/>
  <c r="G66" i="64" s="1"/>
  <c r="G66" i="66" s="1"/>
  <c r="Q86" i="79"/>
  <c r="G83" i="64" s="1"/>
  <c r="G83" i="66" s="1"/>
  <c r="K91" i="64"/>
  <c r="K91" i="66" s="1"/>
  <c r="B79" i="66"/>
  <c r="M97" i="64"/>
  <c r="M97" i="66" s="1"/>
  <c r="M146" i="64"/>
  <c r="M146" i="66" s="1"/>
  <c r="A146" i="65"/>
  <c r="A147" i="66" s="1"/>
  <c r="O17" i="79"/>
  <c r="Q65" i="79"/>
  <c r="G62" i="64" s="1"/>
  <c r="G62" i="66" s="1"/>
  <c r="J69" i="64"/>
  <c r="J69" i="66" s="1"/>
  <c r="H69" i="64"/>
  <c r="H69" i="66" s="1"/>
  <c r="Q72" i="79"/>
  <c r="G69" i="64" s="1"/>
  <c r="G69" i="66" s="1"/>
  <c r="P72" i="79"/>
  <c r="F69" i="64" s="1"/>
  <c r="I73" i="64"/>
  <c r="I73" i="66" s="1"/>
  <c r="Q76" i="79"/>
  <c r="G73" i="64" s="1"/>
  <c r="G73" i="66" s="1"/>
  <c r="P76" i="79"/>
  <c r="F73" i="64" s="1"/>
  <c r="H97" i="64"/>
  <c r="H97" i="66" s="1"/>
  <c r="Q100" i="79"/>
  <c r="G97" i="64" s="1"/>
  <c r="G97" i="66" s="1"/>
  <c r="P100" i="79"/>
  <c r="F97" i="64" s="1"/>
  <c r="L125" i="64"/>
  <c r="L125" i="66" s="1"/>
  <c r="Q128" i="79"/>
  <c r="G125" i="64" s="1"/>
  <c r="G125" i="66" s="1"/>
  <c r="P128" i="79"/>
  <c r="F125" i="64" s="1"/>
  <c r="Q138" i="79"/>
  <c r="G135" i="64" s="1"/>
  <c r="G135" i="66" s="1"/>
  <c r="I135" i="64"/>
  <c r="I135" i="66" s="1"/>
  <c r="P138" i="79"/>
  <c r="F135" i="64" s="1"/>
  <c r="J141" i="64"/>
  <c r="J141" i="66" s="1"/>
  <c r="Q144" i="79"/>
  <c r="G141" i="64" s="1"/>
  <c r="G141" i="66" s="1"/>
  <c r="P144" i="79"/>
  <c r="F141" i="64" s="1"/>
  <c r="A14" i="65"/>
  <c r="A15" i="66" s="1"/>
  <c r="M14" i="64"/>
  <c r="M14" i="66" s="1"/>
  <c r="L5" i="64"/>
  <c r="L5" i="66" s="1"/>
  <c r="P43" i="79"/>
  <c r="F40" i="64" s="1"/>
  <c r="Q43" i="79"/>
  <c r="G40" i="64" s="1"/>
  <c r="G40" i="66" s="1"/>
  <c r="P44" i="79"/>
  <c r="F41" i="64" s="1"/>
  <c r="Q44" i="79"/>
  <c r="G41" i="64" s="1"/>
  <c r="G41" i="66" s="1"/>
  <c r="Q73" i="79"/>
  <c r="G70" i="64" s="1"/>
  <c r="G70" i="66" s="1"/>
  <c r="P73" i="79"/>
  <c r="F70" i="64" s="1"/>
  <c r="L70" i="64"/>
  <c r="L70" i="66" s="1"/>
  <c r="J106" i="64"/>
  <c r="J106" i="66" s="1"/>
  <c r="Q109" i="79"/>
  <c r="G106" i="64" s="1"/>
  <c r="G106" i="66" s="1"/>
  <c r="P109" i="79"/>
  <c r="F106" i="64" s="1"/>
  <c r="M24" i="64"/>
  <c r="M24" i="66" s="1"/>
  <c r="M31" i="64"/>
  <c r="M31" i="66" s="1"/>
  <c r="M50" i="64"/>
  <c r="M50" i="66" s="1"/>
  <c r="A50" i="65"/>
  <c r="A51" i="66" s="1"/>
  <c r="M92" i="64"/>
  <c r="M92" i="66" s="1"/>
  <c r="A92" i="65"/>
  <c r="A93" i="66" s="1"/>
  <c r="M114" i="64"/>
  <c r="M114" i="66" s="1"/>
  <c r="A114" i="65"/>
  <c r="A115" i="66" s="1"/>
  <c r="P27" i="79"/>
  <c r="F24" i="64" s="1"/>
  <c r="J24" i="64"/>
  <c r="J24" i="66" s="1"/>
  <c r="Q27" i="79"/>
  <c r="G24" i="64" s="1"/>
  <c r="G24" i="66" s="1"/>
  <c r="H24" i="64"/>
  <c r="H24" i="66" s="1"/>
  <c r="H32" i="64"/>
  <c r="H32" i="66" s="1"/>
  <c r="J10" i="64"/>
  <c r="J10" i="66" s="1"/>
  <c r="Q13" i="79"/>
  <c r="G10" i="64" s="1"/>
  <c r="G10" i="66" s="1"/>
  <c r="P13" i="79"/>
  <c r="F10" i="64" s="1"/>
  <c r="Q48" i="79"/>
  <c r="G45" i="64" s="1"/>
  <c r="G45" i="66" s="1"/>
  <c r="P48" i="79"/>
  <c r="F45" i="64" s="1"/>
  <c r="K45" i="64"/>
  <c r="K45" i="66" s="1"/>
  <c r="Q120" i="79"/>
  <c r="G117" i="64" s="1"/>
  <c r="G117" i="66" s="1"/>
  <c r="K117" i="64"/>
  <c r="K117" i="66" s="1"/>
  <c r="P120" i="79"/>
  <c r="F117" i="64" s="1"/>
  <c r="L126" i="64"/>
  <c r="L126" i="66" s="1"/>
  <c r="P129" i="79"/>
  <c r="F126" i="64" s="1"/>
  <c r="M30" i="64"/>
  <c r="M30" i="66" s="1"/>
  <c r="M49" i="64"/>
  <c r="M49" i="66" s="1"/>
  <c r="M91" i="64"/>
  <c r="M91" i="66" s="1"/>
  <c r="H35" i="64"/>
  <c r="H35" i="66" s="1"/>
  <c r="Q38" i="79"/>
  <c r="G35" i="64" s="1"/>
  <c r="G35" i="66" s="1"/>
  <c r="P38" i="79"/>
  <c r="F35" i="64" s="1"/>
  <c r="L35" i="64"/>
  <c r="L35" i="66" s="1"/>
  <c r="K57" i="64"/>
  <c r="K57" i="66" s="1"/>
  <c r="H57" i="64"/>
  <c r="H57" i="66" s="1"/>
  <c r="Q60" i="79"/>
  <c r="G57" i="64" s="1"/>
  <c r="G57" i="66" s="1"/>
  <c r="P60" i="79"/>
  <c r="F57" i="64" s="1"/>
  <c r="I70" i="64"/>
  <c r="I70" i="66" s="1"/>
  <c r="P125" i="79"/>
  <c r="F122" i="64" s="1"/>
  <c r="Q125" i="79"/>
  <c r="G122" i="64" s="1"/>
  <c r="G122" i="66" s="1"/>
  <c r="Q129" i="79"/>
  <c r="G126" i="64" s="1"/>
  <c r="G126" i="66" s="1"/>
  <c r="I41" i="64"/>
  <c r="I41" i="66" s="1"/>
  <c r="P121" i="79"/>
  <c r="F118" i="64" s="1"/>
  <c r="K118" i="64"/>
  <c r="K118" i="66" s="1"/>
  <c r="Q121" i="79"/>
  <c r="G118" i="64" s="1"/>
  <c r="G118" i="66" s="1"/>
  <c r="I118" i="64"/>
  <c r="I118" i="66" s="1"/>
  <c r="P139" i="79"/>
  <c r="F136" i="64" s="1"/>
  <c r="K136" i="64"/>
  <c r="K136" i="66" s="1"/>
  <c r="I136" i="64"/>
  <c r="I136" i="66" s="1"/>
  <c r="Q139" i="79"/>
  <c r="G136" i="64" s="1"/>
  <c r="G136" i="66" s="1"/>
  <c r="Q149" i="79"/>
  <c r="G146" i="64" s="1"/>
  <c r="G146" i="66" s="1"/>
  <c r="L146" i="64"/>
  <c r="L146" i="66" s="1"/>
  <c r="P149" i="79"/>
  <c r="F146" i="64" s="1"/>
  <c r="B13" i="66"/>
  <c r="M12" i="64"/>
  <c r="M12" i="66" s="1"/>
  <c r="M105" i="64"/>
  <c r="M105" i="66" s="1"/>
  <c r="P35" i="79"/>
  <c r="F32" i="64" s="1"/>
  <c r="P39" i="79"/>
  <c r="F36" i="64" s="1"/>
  <c r="Q39" i="79"/>
  <c r="G36" i="64" s="1"/>
  <c r="G36" i="66" s="1"/>
  <c r="H36" i="64"/>
  <c r="H36" i="66" s="1"/>
  <c r="J80" i="64"/>
  <c r="J80" i="66" s="1"/>
  <c r="H80" i="64"/>
  <c r="H80" i="66" s="1"/>
  <c r="Q83" i="79"/>
  <c r="G80" i="64" s="1"/>
  <c r="G80" i="66" s="1"/>
  <c r="P83" i="79"/>
  <c r="F80" i="64" s="1"/>
  <c r="Q96" i="79"/>
  <c r="G93" i="64" s="1"/>
  <c r="G93" i="66" s="1"/>
  <c r="P96" i="79"/>
  <c r="F93" i="64" s="1"/>
  <c r="P133" i="79"/>
  <c r="F130" i="64" s="1"/>
  <c r="L130" i="64"/>
  <c r="L130" i="66" s="1"/>
  <c r="I130" i="64"/>
  <c r="I130" i="66" s="1"/>
  <c r="Q133" i="79"/>
  <c r="G130" i="64" s="1"/>
  <c r="G130" i="66" s="1"/>
  <c r="B20" i="66"/>
  <c r="M70" i="64"/>
  <c r="M70" i="66" s="1"/>
  <c r="I25" i="64"/>
  <c r="I25" i="66" s="1"/>
  <c r="Q28" i="79"/>
  <c r="G25" i="64" s="1"/>
  <c r="G25" i="66" s="1"/>
  <c r="P28" i="79"/>
  <c r="F25" i="64" s="1"/>
  <c r="I29" i="64"/>
  <c r="I29" i="66" s="1"/>
  <c r="Q32" i="79"/>
  <c r="G29" i="64" s="1"/>
  <c r="G29" i="66" s="1"/>
  <c r="P32" i="79"/>
  <c r="F29" i="64" s="1"/>
  <c r="Q35" i="79"/>
  <c r="G32" i="64" s="1"/>
  <c r="G32" i="66" s="1"/>
  <c r="J46" i="64"/>
  <c r="J46" i="66" s="1"/>
  <c r="Q49" i="79"/>
  <c r="G46" i="64" s="1"/>
  <c r="G46" i="66" s="1"/>
  <c r="P49" i="79"/>
  <c r="F46" i="64" s="1"/>
  <c r="Q78" i="79"/>
  <c r="G75" i="64" s="1"/>
  <c r="G75" i="66" s="1"/>
  <c r="P78" i="79"/>
  <c r="F75" i="64" s="1"/>
  <c r="P134" i="79"/>
  <c r="F131" i="64" s="1"/>
  <c r="J131" i="64"/>
  <c r="J131" i="66" s="1"/>
  <c r="Q134" i="79"/>
  <c r="G131" i="64" s="1"/>
  <c r="G131" i="66" s="1"/>
  <c r="M36" i="64"/>
  <c r="M36" i="66" s="1"/>
  <c r="A36" i="65"/>
  <c r="A37" i="66" s="1"/>
  <c r="M67" i="64"/>
  <c r="M67" i="66" s="1"/>
  <c r="P29" i="79"/>
  <c r="F26" i="64" s="1"/>
  <c r="K26" i="64"/>
  <c r="K26" i="66" s="1"/>
  <c r="Q29" i="79"/>
  <c r="G26" i="64" s="1"/>
  <c r="G26" i="66" s="1"/>
  <c r="P50" i="79"/>
  <c r="F47" i="64" s="1"/>
  <c r="Q50" i="79"/>
  <c r="G47" i="64" s="1"/>
  <c r="G47" i="66" s="1"/>
  <c r="H50" i="64"/>
  <c r="H50" i="66" s="1"/>
  <c r="Q53" i="79"/>
  <c r="G50" i="64" s="1"/>
  <c r="G50" i="66" s="1"/>
  <c r="P53" i="79"/>
  <c r="F50" i="64" s="1"/>
  <c r="P79" i="79"/>
  <c r="F76" i="64" s="1"/>
  <c r="Q79" i="79"/>
  <c r="G76" i="64" s="1"/>
  <c r="G76" i="66" s="1"/>
  <c r="K76" i="64"/>
  <c r="K76" i="66" s="1"/>
  <c r="L81" i="64"/>
  <c r="L81" i="66" s="1"/>
  <c r="Q84" i="79"/>
  <c r="G81" i="64" s="1"/>
  <c r="G81" i="66" s="1"/>
  <c r="P84" i="79"/>
  <c r="F81" i="64" s="1"/>
  <c r="Q118" i="79"/>
  <c r="G115" i="64" s="1"/>
  <c r="G115" i="66" s="1"/>
  <c r="P118" i="79"/>
  <c r="F115" i="64" s="1"/>
  <c r="I138" i="64"/>
  <c r="I138" i="66" s="1"/>
  <c r="Q141" i="79"/>
  <c r="G138" i="64" s="1"/>
  <c r="G138" i="66" s="1"/>
  <c r="P141" i="79"/>
  <c r="F138" i="64" s="1"/>
  <c r="B18" i="66"/>
  <c r="M17" i="64"/>
  <c r="M17" i="66" s="1"/>
  <c r="M68" i="64"/>
  <c r="M68" i="66" s="1"/>
  <c r="H26" i="64"/>
  <c r="H26" i="66" s="1"/>
  <c r="K33" i="64"/>
  <c r="K33" i="66" s="1"/>
  <c r="H33" i="64"/>
  <c r="H33" i="66" s="1"/>
  <c r="Q36" i="79"/>
  <c r="G33" i="64" s="1"/>
  <c r="G33" i="66" s="1"/>
  <c r="P36" i="79"/>
  <c r="F33" i="64" s="1"/>
  <c r="L43" i="64"/>
  <c r="L43" i="66" s="1"/>
  <c r="P46" i="79"/>
  <c r="F43" i="64" s="1"/>
  <c r="H47" i="64"/>
  <c r="H47" i="66" s="1"/>
  <c r="P54" i="79"/>
  <c r="F51" i="64" s="1"/>
  <c r="J51" i="64"/>
  <c r="J51" i="66" s="1"/>
  <c r="Q54" i="79"/>
  <c r="G51" i="64" s="1"/>
  <c r="G51" i="66" s="1"/>
  <c r="P57" i="79"/>
  <c r="F54" i="64" s="1"/>
  <c r="Q57" i="79"/>
  <c r="G54" i="64" s="1"/>
  <c r="G54" i="66" s="1"/>
  <c r="H54" i="64"/>
  <c r="H54" i="66" s="1"/>
  <c r="I71" i="64"/>
  <c r="I71" i="66" s="1"/>
  <c r="Q74" i="79"/>
  <c r="G71" i="64" s="1"/>
  <c r="G71" i="66" s="1"/>
  <c r="P74" i="79"/>
  <c r="F71" i="64" s="1"/>
  <c r="L144" i="64"/>
  <c r="L144" i="66" s="1"/>
  <c r="Q147" i="79"/>
  <c r="G144" i="64" s="1"/>
  <c r="G144" i="66" s="1"/>
  <c r="P147" i="79"/>
  <c r="F144" i="64" s="1"/>
  <c r="Q24" i="79"/>
  <c r="G21" i="64" s="1"/>
  <c r="G21" i="66" s="1"/>
  <c r="P24" i="79"/>
  <c r="F21" i="64" s="1"/>
  <c r="Q46" i="79"/>
  <c r="G43" i="64" s="1"/>
  <c r="G43" i="66" s="1"/>
  <c r="I47" i="64"/>
  <c r="I47" i="66" s="1"/>
  <c r="H51" i="64"/>
  <c r="H51" i="66" s="1"/>
  <c r="H55" i="64"/>
  <c r="H55" i="66" s="1"/>
  <c r="Q58" i="79"/>
  <c r="G55" i="64" s="1"/>
  <c r="G55" i="66" s="1"/>
  <c r="P58" i="79"/>
  <c r="F55" i="64" s="1"/>
  <c r="I55" i="64"/>
  <c r="I55" i="66" s="1"/>
  <c r="P80" i="79"/>
  <c r="F77" i="64" s="1"/>
  <c r="Q80" i="79"/>
  <c r="G77" i="64" s="1"/>
  <c r="G77" i="66" s="1"/>
  <c r="I86" i="64"/>
  <c r="I86" i="66" s="1"/>
  <c r="K86" i="64"/>
  <c r="K86" i="66" s="1"/>
  <c r="Q89" i="79"/>
  <c r="G86" i="64" s="1"/>
  <c r="G86" i="66" s="1"/>
  <c r="P89" i="79"/>
  <c r="F86" i="64" s="1"/>
  <c r="M84" i="64"/>
  <c r="M84" i="66" s="1"/>
  <c r="A84" i="65"/>
  <c r="A85" i="66" s="1"/>
  <c r="A98" i="65"/>
  <c r="A99" i="66" s="1"/>
  <c r="M98" i="64"/>
  <c r="M98" i="66" s="1"/>
  <c r="P9" i="79"/>
  <c r="F6" i="64" s="1"/>
  <c r="P63" i="79"/>
  <c r="F60" i="64" s="1"/>
  <c r="K60" i="64"/>
  <c r="K60" i="66" s="1"/>
  <c r="J60" i="64"/>
  <c r="J60" i="66" s="1"/>
  <c r="I60" i="64"/>
  <c r="I60" i="66" s="1"/>
  <c r="Q63" i="79"/>
  <c r="G60" i="64" s="1"/>
  <c r="G60" i="66" s="1"/>
  <c r="P99" i="79"/>
  <c r="F96" i="64" s="1"/>
  <c r="H96" i="64"/>
  <c r="H96" i="66" s="1"/>
  <c r="Q99" i="79"/>
  <c r="G96" i="64" s="1"/>
  <c r="G96" i="66" s="1"/>
  <c r="K101" i="64"/>
  <c r="K101" i="66" s="1"/>
  <c r="P104" i="79"/>
  <c r="F101" i="64" s="1"/>
  <c r="J105" i="64"/>
  <c r="J105" i="66" s="1"/>
  <c r="Q108" i="79"/>
  <c r="G105" i="64" s="1"/>
  <c r="G105" i="66" s="1"/>
  <c r="P108" i="79"/>
  <c r="F105" i="64" s="1"/>
  <c r="P122" i="79"/>
  <c r="F119" i="64" s="1"/>
  <c r="Q122" i="79"/>
  <c r="G119" i="64" s="1"/>
  <c r="G119" i="66" s="1"/>
  <c r="A25" i="65"/>
  <c r="A26" i="66" s="1"/>
  <c r="M25" i="64"/>
  <c r="M25" i="66" s="1"/>
  <c r="A47" i="65"/>
  <c r="A48" i="66" s="1"/>
  <c r="M47" i="64"/>
  <c r="M47" i="66" s="1"/>
  <c r="M80" i="64"/>
  <c r="M80" i="66" s="1"/>
  <c r="M85" i="64"/>
  <c r="M85" i="66" s="1"/>
  <c r="M103" i="64"/>
  <c r="M103" i="66" s="1"/>
  <c r="M118" i="64"/>
  <c r="M118" i="66" s="1"/>
  <c r="B124" i="66"/>
  <c r="M123" i="64"/>
  <c r="M123" i="66" s="1"/>
  <c r="M128" i="64"/>
  <c r="M128" i="66" s="1"/>
  <c r="A134" i="65"/>
  <c r="A135" i="66" s="1"/>
  <c r="M141" i="64"/>
  <c r="M141" i="66" s="1"/>
  <c r="Q9" i="79"/>
  <c r="G6" i="64" s="1"/>
  <c r="G6" i="66" s="1"/>
  <c r="Q104" i="79"/>
  <c r="G101" i="64" s="1"/>
  <c r="G101" i="66" s="1"/>
  <c r="Q106" i="79"/>
  <c r="G103" i="64" s="1"/>
  <c r="G103" i="66" s="1"/>
  <c r="P115" i="79"/>
  <c r="F112" i="64" s="1"/>
  <c r="K112" i="64"/>
  <c r="K112" i="66" s="1"/>
  <c r="Q115" i="79"/>
  <c r="G112" i="64" s="1"/>
  <c r="G112" i="66" s="1"/>
  <c r="P117" i="79"/>
  <c r="F114" i="64" s="1"/>
  <c r="L114" i="64"/>
  <c r="L114" i="66" s="1"/>
  <c r="I114" i="64"/>
  <c r="I114" i="66" s="1"/>
  <c r="Q117" i="79"/>
  <c r="G114" i="64" s="1"/>
  <c r="G114" i="66" s="1"/>
  <c r="K119" i="64"/>
  <c r="K119" i="66" s="1"/>
  <c r="I129" i="64"/>
  <c r="I129" i="66" s="1"/>
  <c r="P132" i="79"/>
  <c r="F129" i="64" s="1"/>
  <c r="M33" i="64"/>
  <c r="M33" i="66" s="1"/>
  <c r="A41" i="65"/>
  <c r="A42" i="66" s="1"/>
  <c r="M41" i="64"/>
  <c r="M41" i="66" s="1"/>
  <c r="M48" i="64"/>
  <c r="M48" i="66" s="1"/>
  <c r="M55" i="64"/>
  <c r="M55" i="66" s="1"/>
  <c r="M57" i="64"/>
  <c r="M57" i="66" s="1"/>
  <c r="M60" i="64"/>
  <c r="M60" i="66" s="1"/>
  <c r="M86" i="64"/>
  <c r="M86" i="66" s="1"/>
  <c r="A86" i="65"/>
  <c r="A87" i="66" s="1"/>
  <c r="B110" i="66"/>
  <c r="M116" i="64"/>
  <c r="M116" i="66" s="1"/>
  <c r="B137" i="66"/>
  <c r="M136" i="64"/>
  <c r="M136" i="66" s="1"/>
  <c r="Q51" i="79"/>
  <c r="G48" i="64" s="1"/>
  <c r="G48" i="66" s="1"/>
  <c r="Q59" i="79"/>
  <c r="G56" i="64" s="1"/>
  <c r="G56" i="66" s="1"/>
  <c r="P59" i="79"/>
  <c r="F56" i="64" s="1"/>
  <c r="Q95" i="79"/>
  <c r="G92" i="64" s="1"/>
  <c r="G92" i="66" s="1"/>
  <c r="P95" i="79"/>
  <c r="F92" i="64" s="1"/>
  <c r="I92" i="64"/>
  <c r="I92" i="66" s="1"/>
  <c r="H101" i="64"/>
  <c r="H101" i="66" s="1"/>
  <c r="Q132" i="79"/>
  <c r="G129" i="64" s="1"/>
  <c r="G129" i="66" s="1"/>
  <c r="M9" i="64"/>
  <c r="M9" i="66" s="1"/>
  <c r="A61" i="65"/>
  <c r="A62" i="66" s="1"/>
  <c r="M66" i="64"/>
  <c r="M66" i="66" s="1"/>
  <c r="M72" i="64"/>
  <c r="M72" i="66" s="1"/>
  <c r="A72" i="65"/>
  <c r="A73" i="66" s="1"/>
  <c r="A120" i="65"/>
  <c r="A121" i="66" s="1"/>
  <c r="M120" i="64"/>
  <c r="M120" i="66" s="1"/>
  <c r="M139" i="64"/>
  <c r="M139" i="66" s="1"/>
  <c r="A128" i="65"/>
  <c r="A129" i="66" s="1"/>
  <c r="Q55" i="79"/>
  <c r="G52" i="64" s="1"/>
  <c r="G52" i="66" s="1"/>
  <c r="P55" i="79"/>
  <c r="F52" i="64" s="1"/>
  <c r="I52" i="64"/>
  <c r="I52" i="66" s="1"/>
  <c r="Q87" i="79"/>
  <c r="G84" i="64" s="1"/>
  <c r="G84" i="66" s="1"/>
  <c r="Q91" i="79"/>
  <c r="G88" i="64" s="1"/>
  <c r="G88" i="66" s="1"/>
  <c r="P91" i="79"/>
  <c r="F88" i="64" s="1"/>
  <c r="J110" i="64"/>
  <c r="P113" i="79"/>
  <c r="F110" i="64" s="1"/>
  <c r="H129" i="64"/>
  <c r="H129" i="66" s="1"/>
  <c r="A13" i="65"/>
  <c r="A14" i="66" s="1"/>
  <c r="A18" i="65"/>
  <c r="A19" i="66" s="1"/>
  <c r="M18" i="64"/>
  <c r="M18" i="66" s="1"/>
  <c r="M29" i="64"/>
  <c r="M29" i="66" s="1"/>
  <c r="M63" i="64"/>
  <c r="M63" i="66" s="1"/>
  <c r="K65" i="64"/>
  <c r="K65" i="66" s="1"/>
  <c r="A67" i="65"/>
  <c r="A68" i="66" s="1"/>
  <c r="M96" i="64"/>
  <c r="M96" i="66" s="1"/>
  <c r="M102" i="64"/>
  <c r="M102" i="66" s="1"/>
  <c r="M121" i="64"/>
  <c r="M121" i="66" s="1"/>
  <c r="M132" i="64"/>
  <c r="M132" i="66" s="1"/>
  <c r="M140" i="64"/>
  <c r="M140" i="66" s="1"/>
  <c r="H23" i="64"/>
  <c r="H23" i="66" s="1"/>
  <c r="P26" i="79"/>
  <c r="F23" i="64" s="1"/>
  <c r="Q26" i="79"/>
  <c r="G23" i="64" s="1"/>
  <c r="G23" i="66" s="1"/>
  <c r="L27" i="64"/>
  <c r="L27" i="66" s="1"/>
  <c r="Q30" i="79"/>
  <c r="G27" i="64" s="1"/>
  <c r="G27" i="66" s="1"/>
  <c r="P30" i="79"/>
  <c r="F27" i="64" s="1"/>
  <c r="L99" i="64"/>
  <c r="L99" i="66" s="1"/>
  <c r="Q102" i="79"/>
  <c r="G99" i="64" s="1"/>
  <c r="G99" i="66" s="1"/>
  <c r="P102" i="79"/>
  <c r="F99" i="64" s="1"/>
  <c r="J99" i="64"/>
  <c r="J99" i="66" s="1"/>
  <c r="H99" i="64"/>
  <c r="H99" i="66" s="1"/>
  <c r="J101" i="64"/>
  <c r="J101" i="66" s="1"/>
  <c r="J129" i="64"/>
  <c r="J129" i="66" s="1"/>
  <c r="M8" i="64"/>
  <c r="M8" i="66" s="1"/>
  <c r="M23" i="64"/>
  <c r="M23" i="66" s="1"/>
  <c r="M93" i="64"/>
  <c r="M93" i="66" s="1"/>
  <c r="M99" i="64"/>
  <c r="M99" i="66" s="1"/>
  <c r="A99" i="65"/>
  <c r="A100" i="66" s="1"/>
  <c r="A122" i="65"/>
  <c r="A123" i="66" s="1"/>
  <c r="M122" i="64"/>
  <c r="M122" i="66" s="1"/>
  <c r="A124" i="65"/>
  <c r="A125" i="66" s="1"/>
  <c r="M124" i="64"/>
  <c r="M124" i="66" s="1"/>
  <c r="M126" i="64"/>
  <c r="M126" i="66" s="1"/>
  <c r="A133" i="65"/>
  <c r="A134" i="66" s="1"/>
  <c r="M138" i="64"/>
  <c r="M138" i="66" s="1"/>
  <c r="A30" i="65"/>
  <c r="A31" i="66" s="1"/>
  <c r="M100" i="64"/>
  <c r="M100" i="66" s="1"/>
  <c r="M52" i="64"/>
  <c r="M52" i="66" s="1"/>
  <c r="M27" i="64"/>
  <c r="M27" i="66" s="1"/>
  <c r="M21" i="64"/>
  <c r="M21" i="66" s="1"/>
  <c r="M88" i="64"/>
  <c r="M88" i="66" s="1"/>
  <c r="M20" i="64"/>
  <c r="M20" i="66" s="1"/>
  <c r="M125" i="64"/>
  <c r="M125" i="66" s="1"/>
  <c r="P22" i="79"/>
  <c r="F19" i="64" s="1"/>
  <c r="Q22" i="79"/>
  <c r="G19" i="64" s="1"/>
  <c r="G19" i="66" s="1"/>
  <c r="P81" i="79"/>
  <c r="F78" i="64" s="1"/>
  <c r="J78" i="64"/>
  <c r="J78" i="66" s="1"/>
  <c r="Q81" i="79"/>
  <c r="G78" i="64" s="1"/>
  <c r="G78" i="66" s="1"/>
  <c r="I110" i="64"/>
  <c r="P116" i="79"/>
  <c r="F113" i="64" s="1"/>
  <c r="P126" i="79"/>
  <c r="F123" i="64" s="1"/>
  <c r="M7" i="64"/>
  <c r="M7" i="66" s="1"/>
  <c r="L16" i="64"/>
  <c r="L16" i="66" s="1"/>
  <c r="M28" i="64"/>
  <c r="M28" i="66" s="1"/>
  <c r="M46" i="64"/>
  <c r="M46" i="66" s="1"/>
  <c r="A66" i="65"/>
  <c r="A67" i="66" s="1"/>
  <c r="Q41" i="79"/>
  <c r="G38" i="64" s="1"/>
  <c r="G38" i="66" s="1"/>
  <c r="P41" i="79"/>
  <c r="F38" i="64" s="1"/>
  <c r="M16" i="64"/>
  <c r="M16" i="66" s="1"/>
  <c r="A29" i="65"/>
  <c r="A30" i="66" s="1"/>
  <c r="M32" i="64"/>
  <c r="M32" i="66" s="1"/>
  <c r="M61" i="64"/>
  <c r="M61" i="66" s="1"/>
  <c r="M64" i="64"/>
  <c r="M64" i="66" s="1"/>
  <c r="M142" i="64"/>
  <c r="M142" i="66" s="1"/>
  <c r="J103" i="64"/>
  <c r="J103" i="66" s="1"/>
  <c r="L103" i="64"/>
  <c r="L103" i="66" s="1"/>
  <c r="P106" i="79"/>
  <c r="F103" i="64" s="1"/>
  <c r="A11" i="65"/>
  <c r="A12" i="66" s="1"/>
  <c r="A31" i="65"/>
  <c r="A32" i="66" s="1"/>
  <c r="M54" i="64"/>
  <c r="M54" i="66" s="1"/>
  <c r="B71" i="66"/>
  <c r="M90" i="64"/>
  <c r="M90" i="66" s="1"/>
  <c r="M106" i="64"/>
  <c r="M106" i="66" s="1"/>
  <c r="J88" i="64"/>
  <c r="J88" i="66" s="1"/>
  <c r="K99" i="64"/>
  <c r="K99" i="66" s="1"/>
  <c r="Q113" i="79"/>
  <c r="G110" i="64" s="1"/>
  <c r="G110" i="66" s="1"/>
  <c r="B16" i="66"/>
  <c r="M15" i="64"/>
  <c r="M15" i="66" s="1"/>
  <c r="B52" i="66"/>
  <c r="M51" i="64"/>
  <c r="M51" i="66" s="1"/>
  <c r="M53" i="64"/>
  <c r="M53" i="66" s="1"/>
  <c r="A77" i="65"/>
  <c r="A78" i="66" s="1"/>
  <c r="M77" i="64"/>
  <c r="M77" i="66" s="1"/>
  <c r="K77" i="64"/>
  <c r="K77" i="66" s="1"/>
  <c r="A91" i="65"/>
  <c r="A92" i="66" s="1"/>
  <c r="A97" i="65"/>
  <c r="A98" i="66" s="1"/>
  <c r="B107" i="66"/>
  <c r="P45" i="79"/>
  <c r="F42" i="64" s="1"/>
  <c r="J42" i="64"/>
  <c r="J42" i="66" s="1"/>
  <c r="I42" i="64"/>
  <c r="I42" i="66" s="1"/>
  <c r="Q45" i="79"/>
  <c r="G42" i="64" s="1"/>
  <c r="G42" i="66" s="1"/>
  <c r="L42" i="64"/>
  <c r="L42" i="66" s="1"/>
  <c r="J48" i="64"/>
  <c r="J48" i="66" s="1"/>
  <c r="H59" i="64"/>
  <c r="H59" i="66" s="1"/>
  <c r="P62" i="79"/>
  <c r="F59" i="64" s="1"/>
  <c r="Q62" i="79"/>
  <c r="G59" i="64" s="1"/>
  <c r="G59" i="66" s="1"/>
  <c r="Q66" i="79"/>
  <c r="G63" i="64" s="1"/>
  <c r="G63" i="66" s="1"/>
  <c r="P66" i="79"/>
  <c r="F63" i="64" s="1"/>
  <c r="K88" i="64"/>
  <c r="K88" i="66" s="1"/>
  <c r="P98" i="79"/>
  <c r="F95" i="64" s="1"/>
  <c r="Q98" i="79"/>
  <c r="G95" i="64" s="1"/>
  <c r="G95" i="66" s="1"/>
  <c r="H110" i="64"/>
  <c r="P123" i="79"/>
  <c r="F120" i="64" s="1"/>
  <c r="H137" i="64"/>
  <c r="H137" i="66" s="1"/>
  <c r="P140" i="79"/>
  <c r="F137" i="64" s="1"/>
  <c r="Q140" i="79"/>
  <c r="G137" i="64" s="1"/>
  <c r="G137" i="66" s="1"/>
  <c r="I137" i="64"/>
  <c r="I137" i="66" s="1"/>
  <c r="P145" i="79"/>
  <c r="F142" i="64" s="1"/>
  <c r="H142" i="64"/>
  <c r="H142" i="66" s="1"/>
  <c r="Q145" i="79"/>
  <c r="G142" i="64" s="1"/>
  <c r="G142" i="66" s="1"/>
  <c r="I142" i="64"/>
  <c r="I142" i="66" s="1"/>
  <c r="A24" i="65"/>
  <c r="A25" i="66" s="1"/>
  <c r="M26" i="64"/>
  <c r="M26" i="66" s="1"/>
  <c r="L31" i="64"/>
  <c r="L31" i="66" s="1"/>
  <c r="B38" i="66"/>
  <c r="M45" i="64"/>
  <c r="M45" i="66" s="1"/>
  <c r="A54" i="65"/>
  <c r="A55" i="66" s="1"/>
  <c r="M59" i="64"/>
  <c r="M59" i="66" s="1"/>
  <c r="M65" i="64"/>
  <c r="M65" i="66" s="1"/>
  <c r="A83" i="65"/>
  <c r="A84" i="66" s="1"/>
  <c r="M83" i="64"/>
  <c r="M83" i="66" s="1"/>
  <c r="M101" i="64"/>
  <c r="M101" i="66" s="1"/>
  <c r="K108" i="64"/>
  <c r="K108" i="66" s="1"/>
  <c r="A108" i="65"/>
  <c r="A109" i="66" s="1"/>
  <c r="M108" i="64"/>
  <c r="M108" i="66" s="1"/>
  <c r="M110" i="64"/>
  <c r="M110" i="66" s="1"/>
  <c r="A110" i="65"/>
  <c r="A111" i="66" s="1"/>
  <c r="M113" i="64"/>
  <c r="M113" i="66" s="1"/>
  <c r="A129" i="65"/>
  <c r="A130" i="66" s="1"/>
  <c r="M129" i="64"/>
  <c r="M129" i="66" s="1"/>
  <c r="M131" i="64"/>
  <c r="M131" i="66" s="1"/>
  <c r="M134" i="64"/>
  <c r="M134" i="66" s="1"/>
  <c r="M137" i="64"/>
  <c r="M137" i="66" s="1"/>
  <c r="A139" i="65"/>
  <c r="A140" i="66" s="1"/>
  <c r="B146" i="66"/>
  <c r="B148" i="66"/>
  <c r="J147" i="64"/>
  <c r="J147" i="66" s="1"/>
  <c r="K147" i="64"/>
  <c r="K147" i="66" s="1"/>
  <c r="A55" i="65"/>
  <c r="A56" i="66" s="1"/>
  <c r="A103" i="65"/>
  <c r="A104" i="66" s="1"/>
  <c r="L78" i="64"/>
  <c r="L78" i="66" s="1"/>
  <c r="J84" i="64"/>
  <c r="J84" i="66" s="1"/>
  <c r="Q116" i="79"/>
  <c r="G113" i="64" s="1"/>
  <c r="G113" i="66" s="1"/>
  <c r="M40" i="64"/>
  <c r="M40" i="66" s="1"/>
  <c r="A56" i="65"/>
  <c r="A57" i="66" s="1"/>
  <c r="M56" i="64"/>
  <c r="M56" i="66" s="1"/>
  <c r="A60" i="65"/>
  <c r="A61" i="66" s="1"/>
  <c r="M69" i="64"/>
  <c r="M69" i="66" s="1"/>
  <c r="M89" i="64"/>
  <c r="M89" i="66" s="1"/>
  <c r="M95" i="64"/>
  <c r="M95" i="66" s="1"/>
  <c r="M135" i="64"/>
  <c r="M135" i="66" s="1"/>
  <c r="A135" i="65"/>
  <c r="A136" i="66" s="1"/>
  <c r="B14" i="66"/>
  <c r="B45" i="66"/>
  <c r="Q18" i="79"/>
  <c r="G15" i="64" s="1"/>
  <c r="G15" i="66" s="1"/>
  <c r="P18" i="79"/>
  <c r="F15" i="64" s="1"/>
  <c r="H15" i="64"/>
  <c r="H15" i="66" s="1"/>
  <c r="J59" i="64"/>
  <c r="J59" i="66" s="1"/>
  <c r="Q10" i="79"/>
  <c r="G7" i="64" s="1"/>
  <c r="G7" i="66" s="1"/>
  <c r="Q14" i="79"/>
  <c r="G11" i="64" s="1"/>
  <c r="G11" i="66" s="1"/>
  <c r="P14" i="79"/>
  <c r="F11" i="64" s="1"/>
  <c r="J19" i="64"/>
  <c r="J19" i="66" s="1"/>
  <c r="P33" i="79"/>
  <c r="F30" i="64" s="1"/>
  <c r="Q33" i="79"/>
  <c r="G30" i="64" s="1"/>
  <c r="G30" i="66" s="1"/>
  <c r="Q37" i="79"/>
  <c r="G34" i="64" s="1"/>
  <c r="G34" i="66" s="1"/>
  <c r="P37" i="79"/>
  <c r="F34" i="64" s="1"/>
  <c r="K38" i="64"/>
  <c r="K38" i="66" s="1"/>
  <c r="K59" i="64"/>
  <c r="K59" i="66" s="1"/>
  <c r="H74" i="64"/>
  <c r="H74" i="66" s="1"/>
  <c r="Q77" i="79"/>
  <c r="G74" i="64" s="1"/>
  <c r="G74" i="66" s="1"/>
  <c r="P77" i="79"/>
  <c r="F74" i="64" s="1"/>
  <c r="P101" i="79"/>
  <c r="F98" i="64" s="1"/>
  <c r="H123" i="64"/>
  <c r="H123" i="66" s="1"/>
  <c r="I140" i="64"/>
  <c r="I140" i="66" s="1"/>
  <c r="H140" i="64"/>
  <c r="H140" i="66" s="1"/>
  <c r="Q143" i="79"/>
  <c r="G140" i="64" s="1"/>
  <c r="G140" i="66" s="1"/>
  <c r="P143" i="79"/>
  <c r="F140" i="64" s="1"/>
  <c r="L142" i="64"/>
  <c r="L142" i="66" s="1"/>
  <c r="M6" i="64"/>
  <c r="M6" i="66" s="1"/>
  <c r="M13" i="64"/>
  <c r="M13" i="66" s="1"/>
  <c r="A19" i="65"/>
  <c r="A20" i="66" s="1"/>
  <c r="M19" i="64"/>
  <c r="M19" i="66" s="1"/>
  <c r="A23" i="65"/>
  <c r="A24" i="66" s="1"/>
  <c r="L34" i="64"/>
  <c r="L34" i="66" s="1"/>
  <c r="B35" i="66"/>
  <c r="A62" i="65"/>
  <c r="A63" i="66" s="1"/>
  <c r="M62" i="64"/>
  <c r="M62" i="66" s="1"/>
  <c r="B88" i="66"/>
  <c r="M87" i="64"/>
  <c r="M87" i="66" s="1"/>
  <c r="A119" i="65"/>
  <c r="A120" i="66" s="1"/>
  <c r="B143" i="66"/>
  <c r="A144" i="65"/>
  <c r="A145" i="66" s="1"/>
  <c r="M144" i="64"/>
  <c r="M144" i="66" s="1"/>
  <c r="A26" i="65"/>
  <c r="A27" i="66" s="1"/>
  <c r="M43" i="64"/>
  <c r="M43" i="66" s="1"/>
  <c r="M76" i="64"/>
  <c r="M76" i="66" s="1"/>
  <c r="A90" i="65"/>
  <c r="A91" i="66" s="1"/>
  <c r="H31" i="64"/>
  <c r="H31" i="66" s="1"/>
  <c r="P70" i="79"/>
  <c r="F67" i="64" s="1"/>
  <c r="P88" i="79"/>
  <c r="F85" i="64" s="1"/>
  <c r="Q105" i="79"/>
  <c r="G102" i="64" s="1"/>
  <c r="G102" i="66" s="1"/>
  <c r="P130" i="79"/>
  <c r="F127" i="64" s="1"/>
  <c r="M22" i="64"/>
  <c r="M22" i="66" s="1"/>
  <c r="A28" i="65"/>
  <c r="A29" i="66" s="1"/>
  <c r="I28" i="64"/>
  <c r="I28" i="66" s="1"/>
  <c r="M39" i="64"/>
  <c r="M39" i="66" s="1"/>
  <c r="A39" i="65"/>
  <c r="A40" i="66" s="1"/>
  <c r="M71" i="64"/>
  <c r="M71" i="66" s="1"/>
  <c r="M79" i="64"/>
  <c r="M79" i="66" s="1"/>
  <c r="A85" i="65"/>
  <c r="A86" i="66" s="1"/>
  <c r="L85" i="64"/>
  <c r="L85" i="66" s="1"/>
  <c r="A101" i="65"/>
  <c r="A102" i="66" s="1"/>
  <c r="I101" i="64"/>
  <c r="I101" i="66" s="1"/>
  <c r="A112" i="65"/>
  <c r="A113" i="66" s="1"/>
  <c r="M112" i="64"/>
  <c r="M112" i="66" s="1"/>
  <c r="A126" i="65"/>
  <c r="A127" i="66" s="1"/>
  <c r="A95" i="65"/>
  <c r="A96" i="66" s="1"/>
  <c r="Q23" i="79"/>
  <c r="G20" i="64" s="1"/>
  <c r="G20" i="66" s="1"/>
  <c r="Q34" i="79"/>
  <c r="G31" i="64" s="1"/>
  <c r="G31" i="66" s="1"/>
  <c r="Q52" i="79"/>
  <c r="G49" i="64" s="1"/>
  <c r="G49" i="66" s="1"/>
  <c r="Q70" i="79"/>
  <c r="G67" i="64" s="1"/>
  <c r="G67" i="66" s="1"/>
  <c r="Q88" i="79"/>
  <c r="G85" i="64" s="1"/>
  <c r="G85" i="66" s="1"/>
  <c r="P111" i="79"/>
  <c r="F108" i="64" s="1"/>
  <c r="Q111" i="79"/>
  <c r="G108" i="64" s="1"/>
  <c r="G108" i="66" s="1"/>
  <c r="Q130" i="79"/>
  <c r="G127" i="64" s="1"/>
  <c r="G127" i="66" s="1"/>
  <c r="K132" i="64"/>
  <c r="K132" i="66" s="1"/>
  <c r="P135" i="79"/>
  <c r="F132" i="64" s="1"/>
  <c r="P148" i="79"/>
  <c r="F145" i="64" s="1"/>
  <c r="B17" i="66"/>
  <c r="A21" i="65"/>
  <c r="A22" i="66" s="1"/>
  <c r="M58" i="64"/>
  <c r="M58" i="66" s="1"/>
  <c r="A64" i="65"/>
  <c r="A65" i="66" s="1"/>
  <c r="M75" i="64"/>
  <c r="M75" i="66" s="1"/>
  <c r="M107" i="64"/>
  <c r="M107" i="66" s="1"/>
  <c r="H107" i="64"/>
  <c r="H107" i="66" s="1"/>
  <c r="A115" i="65"/>
  <c r="A116" i="66" s="1"/>
  <c r="M115" i="64"/>
  <c r="M115" i="66" s="1"/>
  <c r="A121" i="65"/>
  <c r="A122" i="66" s="1"/>
  <c r="A75" i="65"/>
  <c r="A76" i="66" s="1"/>
  <c r="I9" i="43"/>
  <c r="C18" i="41"/>
  <c r="P19" i="79"/>
  <c r="F16" i="64" s="1"/>
  <c r="M35" i="64"/>
  <c r="M35" i="66" s="1"/>
  <c r="A35" i="65"/>
  <c r="A36" i="66" s="1"/>
  <c r="L49" i="64"/>
  <c r="L49" i="66" s="1"/>
  <c r="A65" i="65"/>
  <c r="A66" i="66" s="1"/>
  <c r="Q19" i="79"/>
  <c r="G16" i="64" s="1"/>
  <c r="G16" i="66" s="1"/>
  <c r="P23" i="79"/>
  <c r="F20" i="64" s="1"/>
  <c r="P34" i="79"/>
  <c r="F31" i="64" s="1"/>
  <c r="I67" i="64"/>
  <c r="I67" i="66" s="1"/>
  <c r="P119" i="79"/>
  <c r="F116" i="64" s="1"/>
  <c r="A27" i="65"/>
  <c r="A28" i="66" s="1"/>
  <c r="M38" i="64"/>
  <c r="M38" i="66" s="1"/>
  <c r="L38" i="64"/>
  <c r="L38" i="66" s="1"/>
  <c r="M42" i="64"/>
  <c r="M42" i="66" s="1"/>
  <c r="A52" i="65"/>
  <c r="A53" i="66" s="1"/>
  <c r="A57" i="65"/>
  <c r="A58" i="66" s="1"/>
  <c r="B59" i="66"/>
  <c r="M94" i="64"/>
  <c r="M94" i="66" s="1"/>
  <c r="A111" i="65"/>
  <c r="A112" i="66" s="1"/>
  <c r="M111" i="64"/>
  <c r="M111" i="66" s="1"/>
  <c r="A125" i="65"/>
  <c r="A126" i="66" s="1"/>
  <c r="M143" i="64"/>
  <c r="M143" i="66" s="1"/>
  <c r="A38" i="65"/>
  <c r="A39" i="66" s="1"/>
  <c r="Q119" i="79"/>
  <c r="G116" i="64" s="1"/>
  <c r="G116" i="66" s="1"/>
  <c r="P127" i="79"/>
  <c r="F124" i="64" s="1"/>
  <c r="Q127" i="79"/>
  <c r="G124" i="64" s="1"/>
  <c r="G124" i="66" s="1"/>
  <c r="I127" i="64"/>
  <c r="I127" i="66" s="1"/>
  <c r="P137" i="79"/>
  <c r="F134" i="64" s="1"/>
  <c r="A15" i="65"/>
  <c r="A16" i="66" s="1"/>
  <c r="M34" i="64"/>
  <c r="M34" i="66" s="1"/>
  <c r="A48" i="65"/>
  <c r="A49" i="66" s="1"/>
  <c r="M74" i="64"/>
  <c r="M74" i="66" s="1"/>
  <c r="M78" i="64"/>
  <c r="M78" i="66" s="1"/>
  <c r="M130" i="64"/>
  <c r="M130" i="66" s="1"/>
  <c r="A136" i="65"/>
  <c r="A137" i="66" s="1"/>
  <c r="H147" i="64"/>
  <c r="H147" i="66" s="1"/>
  <c r="M147" i="64"/>
  <c r="M147" i="66" s="1"/>
  <c r="A147" i="65"/>
  <c r="A148" i="66" s="1"/>
  <c r="L147" i="64"/>
  <c r="L147" i="66" s="1"/>
  <c r="A20" i="65"/>
  <c r="A21" i="66" s="1"/>
  <c r="A43" i="65"/>
  <c r="A44" i="66" s="1"/>
  <c r="A71" i="65"/>
  <c r="A72" i="66" s="1"/>
  <c r="A100" i="65"/>
  <c r="A101" i="66" s="1"/>
  <c r="J7" i="64"/>
  <c r="J7" i="66" s="1"/>
  <c r="M10" i="64"/>
  <c r="M10" i="66" s="1"/>
  <c r="B47" i="66"/>
  <c r="B119" i="66"/>
  <c r="A8" i="65"/>
  <c r="A9" i="66" s="1"/>
  <c r="B8" i="66"/>
  <c r="M37" i="64"/>
  <c r="M37" i="66" s="1"/>
  <c r="A44" i="65"/>
  <c r="A45" i="66" s="1"/>
  <c r="M73" i="64"/>
  <c r="M73" i="66" s="1"/>
  <c r="A80" i="65"/>
  <c r="A81" i="66" s="1"/>
  <c r="A87" i="65"/>
  <c r="A88" i="66" s="1"/>
  <c r="M109" i="64"/>
  <c r="M109" i="66" s="1"/>
  <c r="A145" i="65"/>
  <c r="A146" i="66" s="1"/>
  <c r="M145" i="64"/>
  <c r="M145" i="66" s="1"/>
  <c r="A81" i="65"/>
  <c r="A82" i="66" s="1"/>
  <c r="B47" i="81"/>
  <c r="O47" i="81"/>
  <c r="O13" i="81"/>
  <c r="B30" i="81"/>
  <c r="O30" i="81"/>
  <c r="M104" i="64"/>
  <c r="M104" i="66" s="1"/>
  <c r="B32" i="81"/>
  <c r="O32" i="81"/>
  <c r="O10" i="81"/>
  <c r="O44" i="81"/>
  <c r="B44" i="81"/>
  <c r="B27" i="81"/>
  <c r="O16" i="81"/>
  <c r="O50" i="81"/>
  <c r="O33" i="81"/>
  <c r="B50" i="81"/>
  <c r="O25" i="81"/>
  <c r="O42" i="81"/>
  <c r="B25" i="81"/>
  <c r="B42" i="81"/>
  <c r="B52" i="81"/>
  <c r="B35" i="81"/>
  <c r="O35" i="81"/>
  <c r="O52" i="81"/>
  <c r="O18" i="81"/>
  <c r="B46" i="81"/>
  <c r="O12" i="81"/>
  <c r="B29" i="81"/>
  <c r="B31" i="81"/>
  <c r="O14" i="81"/>
  <c r="O31" i="81"/>
  <c r="O48" i="81"/>
  <c r="B48" i="81"/>
  <c r="O45" i="81"/>
  <c r="O28" i="81"/>
  <c r="O11" i="81"/>
  <c r="B45" i="81"/>
  <c r="B28" i="81"/>
  <c r="O9" i="81"/>
  <c r="O51" i="81"/>
  <c r="O17" i="81"/>
  <c r="B34" i="81"/>
  <c r="O43" i="81"/>
  <c r="B51" i="81"/>
  <c r="A5" i="66" l="1"/>
  <c r="P26" i="81"/>
  <c r="P43" i="81" s="1"/>
  <c r="F90" i="66"/>
  <c r="N90" i="66" s="1"/>
  <c r="N90" i="64"/>
  <c r="F8" i="66"/>
  <c r="N8" i="66" s="1"/>
  <c r="M6" i="77" s="1"/>
  <c r="L5" i="40" s="1"/>
  <c r="N8" i="64"/>
  <c r="F104" i="66"/>
  <c r="N104" i="66" s="1"/>
  <c r="N104" i="64"/>
  <c r="F52" i="66"/>
  <c r="N52" i="64"/>
  <c r="F86" i="66"/>
  <c r="N86" i="66" s="1"/>
  <c r="M12" i="77" s="1"/>
  <c r="L11" i="40" s="1"/>
  <c r="N86" i="64"/>
  <c r="F40" i="66"/>
  <c r="N40" i="66" s="1"/>
  <c r="N40" i="64"/>
  <c r="F83" i="66"/>
  <c r="N83" i="66" s="1"/>
  <c r="N83" i="64"/>
  <c r="F72" i="66"/>
  <c r="N72" i="66" s="1"/>
  <c r="N72" i="64"/>
  <c r="F64" i="66"/>
  <c r="N64" i="66" s="1"/>
  <c r="N64" i="64"/>
  <c r="F94" i="66"/>
  <c r="N94" i="64"/>
  <c r="F16" i="66"/>
  <c r="N16" i="64"/>
  <c r="F142" i="66"/>
  <c r="N142" i="66" s="1"/>
  <c r="N142" i="64"/>
  <c r="F129" i="66"/>
  <c r="N129" i="66" s="1"/>
  <c r="N129" i="64"/>
  <c r="F81" i="66"/>
  <c r="N81" i="66" s="1"/>
  <c r="N81" i="64"/>
  <c r="F22" i="66"/>
  <c r="N22" i="66" s="1"/>
  <c r="N22" i="64"/>
  <c r="F126" i="66"/>
  <c r="N126" i="66" s="1"/>
  <c r="N126" i="64"/>
  <c r="F89" i="66"/>
  <c r="N89" i="66" s="1"/>
  <c r="N89" i="64"/>
  <c r="F85" i="66"/>
  <c r="N85" i="66" s="1"/>
  <c r="N85" i="64"/>
  <c r="F15" i="66"/>
  <c r="N15" i="66" s="1"/>
  <c r="N15" i="64"/>
  <c r="F63" i="66"/>
  <c r="N63" i="66" s="1"/>
  <c r="N63" i="64"/>
  <c r="F88" i="66"/>
  <c r="N88" i="66" s="1"/>
  <c r="N88" i="64"/>
  <c r="F76" i="66"/>
  <c r="N76" i="66" s="1"/>
  <c r="N76" i="64"/>
  <c r="F26" i="66"/>
  <c r="N26" i="66" s="1"/>
  <c r="N26" i="64"/>
  <c r="F36" i="66"/>
  <c r="N36" i="66" s="1"/>
  <c r="N36" i="64"/>
  <c r="F122" i="66"/>
  <c r="N122" i="66" s="1"/>
  <c r="N122" i="64"/>
  <c r="F10" i="66"/>
  <c r="N10" i="66" s="1"/>
  <c r="N10" i="64"/>
  <c r="F17" i="66"/>
  <c r="N17" i="66" s="1"/>
  <c r="N17" i="64"/>
  <c r="F13" i="66"/>
  <c r="N13" i="66" s="1"/>
  <c r="N13" i="64"/>
  <c r="F65" i="66"/>
  <c r="N65" i="66" s="1"/>
  <c r="N65" i="64"/>
  <c r="F12" i="66"/>
  <c r="N12" i="66" s="1"/>
  <c r="N12" i="64"/>
  <c r="F109" i="66"/>
  <c r="N109" i="66" s="1"/>
  <c r="N109" i="64"/>
  <c r="F49" i="66"/>
  <c r="N49" i="66" s="1"/>
  <c r="N49" i="64"/>
  <c r="F127" i="66"/>
  <c r="N127" i="66" s="1"/>
  <c r="N127" i="64"/>
  <c r="F143" i="66"/>
  <c r="N143" i="66" s="1"/>
  <c r="N143" i="64"/>
  <c r="F54" i="66"/>
  <c r="N54" i="66" s="1"/>
  <c r="N54" i="64"/>
  <c r="F44" i="66"/>
  <c r="N44" i="66" s="1"/>
  <c r="N44" i="64"/>
  <c r="I20" i="43"/>
  <c r="F134" i="66"/>
  <c r="N134" i="66" s="1"/>
  <c r="N134" i="64"/>
  <c r="F34" i="66"/>
  <c r="N34" i="66" s="1"/>
  <c r="M8" i="77" s="1"/>
  <c r="L7" i="40" s="1"/>
  <c r="N34" i="64"/>
  <c r="F137" i="66"/>
  <c r="N137" i="66" s="1"/>
  <c r="N137" i="64"/>
  <c r="F66" i="66"/>
  <c r="N66" i="66" s="1"/>
  <c r="N66" i="64"/>
  <c r="F23" i="66"/>
  <c r="N23" i="66" s="1"/>
  <c r="N23" i="64"/>
  <c r="F114" i="66"/>
  <c r="N114" i="66" s="1"/>
  <c r="N114" i="64"/>
  <c r="F77" i="66"/>
  <c r="N77" i="66" s="1"/>
  <c r="N77" i="64"/>
  <c r="F51" i="66"/>
  <c r="N51" i="66" s="1"/>
  <c r="N51" i="64"/>
  <c r="F50" i="66"/>
  <c r="N50" i="66" s="1"/>
  <c r="N50" i="64"/>
  <c r="F47" i="66"/>
  <c r="N47" i="66" s="1"/>
  <c r="M9" i="77" s="1"/>
  <c r="L8" i="40" s="1"/>
  <c r="N47" i="64"/>
  <c r="F32" i="66"/>
  <c r="N32" i="66" s="1"/>
  <c r="N32" i="64"/>
  <c r="F118" i="66"/>
  <c r="N118" i="66" s="1"/>
  <c r="N118" i="64"/>
  <c r="F62" i="66"/>
  <c r="N62" i="66" s="1"/>
  <c r="N62" i="64"/>
  <c r="F139" i="66"/>
  <c r="N139" i="66" s="1"/>
  <c r="N139" i="64"/>
  <c r="F87" i="66"/>
  <c r="N87" i="66" s="1"/>
  <c r="N87" i="64"/>
  <c r="F28" i="66"/>
  <c r="N28" i="66" s="1"/>
  <c r="N28" i="64"/>
  <c r="F102" i="66"/>
  <c r="N102" i="66" s="1"/>
  <c r="N102" i="64"/>
  <c r="F108" i="66"/>
  <c r="N108" i="66" s="1"/>
  <c r="N108" i="64"/>
  <c r="F140" i="66"/>
  <c r="N140" i="66" s="1"/>
  <c r="N140" i="64"/>
  <c r="F37" i="66"/>
  <c r="N37" i="66" s="1"/>
  <c r="N37" i="64"/>
  <c r="F67" i="66"/>
  <c r="N67" i="66" s="1"/>
  <c r="N67" i="64"/>
  <c r="F74" i="66"/>
  <c r="N74" i="66" s="1"/>
  <c r="N74" i="64"/>
  <c r="F11" i="66"/>
  <c r="N11" i="66" s="1"/>
  <c r="N11" i="64"/>
  <c r="F97" i="66"/>
  <c r="N97" i="66" s="1"/>
  <c r="N97" i="64"/>
  <c r="F57" i="66"/>
  <c r="N57" i="66" s="1"/>
  <c r="N57" i="64"/>
  <c r="F123" i="66"/>
  <c r="N123" i="66" s="1"/>
  <c r="N123" i="64"/>
  <c r="F68" i="66"/>
  <c r="N68" i="66" s="1"/>
  <c r="N68" i="64"/>
  <c r="F56" i="66"/>
  <c r="N56" i="66" s="1"/>
  <c r="N56" i="64"/>
  <c r="F33" i="66"/>
  <c r="N33" i="66" s="1"/>
  <c r="N33" i="64"/>
  <c r="F130" i="66"/>
  <c r="N130" i="66" s="1"/>
  <c r="N130" i="64"/>
  <c r="F136" i="66"/>
  <c r="N136" i="66" s="1"/>
  <c r="N136" i="64"/>
  <c r="F69" i="66"/>
  <c r="N69" i="66" s="1"/>
  <c r="N69" i="64"/>
  <c r="F91" i="66"/>
  <c r="N91" i="66" s="1"/>
  <c r="N91" i="64"/>
  <c r="F18" i="66"/>
  <c r="N18" i="66" s="1"/>
  <c r="N18" i="64"/>
  <c r="F147" i="66"/>
  <c r="N147" i="66" s="1"/>
  <c r="N147" i="64"/>
  <c r="F105" i="66"/>
  <c r="N105" i="66" s="1"/>
  <c r="N105" i="64"/>
  <c r="F42" i="66"/>
  <c r="N42" i="66" s="1"/>
  <c r="N42" i="64"/>
  <c r="F116" i="66"/>
  <c r="N116" i="66" s="1"/>
  <c r="N116" i="64"/>
  <c r="F31" i="66"/>
  <c r="N31" i="66" s="1"/>
  <c r="N31" i="64"/>
  <c r="F120" i="66"/>
  <c r="N120" i="66" s="1"/>
  <c r="N120" i="64"/>
  <c r="F95" i="66"/>
  <c r="N95" i="66" s="1"/>
  <c r="N95" i="64"/>
  <c r="F113" i="66"/>
  <c r="N113" i="66" s="1"/>
  <c r="N113" i="64"/>
  <c r="F78" i="66"/>
  <c r="N78" i="66" s="1"/>
  <c r="N78" i="64"/>
  <c r="F19" i="66"/>
  <c r="N19" i="66" s="1"/>
  <c r="N19" i="64"/>
  <c r="F110" i="66"/>
  <c r="N110" i="66" s="1"/>
  <c r="N110" i="64"/>
  <c r="F60" i="66"/>
  <c r="N60" i="66" s="1"/>
  <c r="M11" i="77" s="1"/>
  <c r="L10" i="40" s="1"/>
  <c r="N60" i="64"/>
  <c r="F144" i="66"/>
  <c r="N144" i="66" s="1"/>
  <c r="N144" i="64"/>
  <c r="F131" i="66"/>
  <c r="N131" i="66" s="1"/>
  <c r="N131" i="64"/>
  <c r="F25" i="66"/>
  <c r="N25" i="66" s="1"/>
  <c r="N25" i="64"/>
  <c r="F80" i="66"/>
  <c r="N80" i="66" s="1"/>
  <c r="N80" i="64"/>
  <c r="F125" i="66"/>
  <c r="N125" i="66" s="1"/>
  <c r="M15" i="77" s="1"/>
  <c r="L14" i="40" s="1"/>
  <c r="N125" i="64"/>
  <c r="F73" i="66"/>
  <c r="N73" i="66" s="1"/>
  <c r="M10" i="77" s="1"/>
  <c r="L9" i="40" s="1"/>
  <c r="N73" i="64"/>
  <c r="T17" i="79"/>
  <c r="J14" i="64" s="1"/>
  <c r="J14" i="66" s="1"/>
  <c r="V17" i="79"/>
  <c r="W17" i="79"/>
  <c r="R17" i="79"/>
  <c r="H14" i="64" s="1"/>
  <c r="H14" i="66" s="1"/>
  <c r="S17" i="79"/>
  <c r="I14" i="64" s="1"/>
  <c r="I14" i="66" s="1"/>
  <c r="U17" i="79"/>
  <c r="K14" i="64" s="1"/>
  <c r="K14" i="66" s="1"/>
  <c r="F124" i="66"/>
  <c r="N124" i="66" s="1"/>
  <c r="N124" i="64"/>
  <c r="F145" i="66"/>
  <c r="N145" i="66" s="1"/>
  <c r="N145" i="64"/>
  <c r="F98" i="66"/>
  <c r="N98" i="66" s="1"/>
  <c r="N98" i="64"/>
  <c r="F35" i="66"/>
  <c r="N35" i="66" s="1"/>
  <c r="N35" i="64"/>
  <c r="F132" i="66"/>
  <c r="N132" i="66" s="1"/>
  <c r="N132" i="64"/>
  <c r="F99" i="66"/>
  <c r="N99" i="66" s="1"/>
  <c r="M13" i="77" s="1"/>
  <c r="L12" i="40" s="1"/>
  <c r="N99" i="64"/>
  <c r="F107" i="66"/>
  <c r="N107" i="66" s="1"/>
  <c r="N107" i="64"/>
  <c r="F48" i="66"/>
  <c r="N48" i="66" s="1"/>
  <c r="N48" i="64"/>
  <c r="F20" i="66"/>
  <c r="N20" i="66" s="1"/>
  <c r="N20" i="64"/>
  <c r="F103" i="66"/>
  <c r="N103" i="66" s="1"/>
  <c r="N103" i="64"/>
  <c r="F38" i="66"/>
  <c r="N38" i="66" s="1"/>
  <c r="N38" i="64"/>
  <c r="F27" i="66"/>
  <c r="N27" i="66" s="1"/>
  <c r="N27" i="64"/>
  <c r="F58" i="66"/>
  <c r="N58" i="66" s="1"/>
  <c r="N58" i="64"/>
  <c r="F119" i="66"/>
  <c r="N119" i="66" s="1"/>
  <c r="N119" i="64"/>
  <c r="F6" i="66"/>
  <c r="N6" i="66" s="1"/>
  <c r="N6" i="64"/>
  <c r="F55" i="66"/>
  <c r="N55" i="66" s="1"/>
  <c r="N55" i="64"/>
  <c r="F21" i="66"/>
  <c r="N21" i="66" s="1"/>
  <c r="M7" i="77" s="1"/>
  <c r="N21" i="64"/>
  <c r="F71" i="66"/>
  <c r="N71" i="66" s="1"/>
  <c r="N71" i="64"/>
  <c r="F115" i="66"/>
  <c r="N115" i="66" s="1"/>
  <c r="N115" i="64"/>
  <c r="F46" i="66"/>
  <c r="N46" i="66" s="1"/>
  <c r="N46" i="64"/>
  <c r="F29" i="66"/>
  <c r="N29" i="66" s="1"/>
  <c r="N29" i="64"/>
  <c r="F93" i="66"/>
  <c r="N93" i="66" s="1"/>
  <c r="N93" i="64"/>
  <c r="F117" i="66"/>
  <c r="N117" i="66" s="1"/>
  <c r="N117" i="64"/>
  <c r="F45" i="66"/>
  <c r="N45" i="66" s="1"/>
  <c r="N45" i="64"/>
  <c r="F24" i="66"/>
  <c r="N24" i="66" s="1"/>
  <c r="N24" i="64"/>
  <c r="F41" i="66"/>
  <c r="N41" i="66" s="1"/>
  <c r="N41" i="64"/>
  <c r="F82" i="66"/>
  <c r="N82" i="66" s="1"/>
  <c r="N82" i="64"/>
  <c r="F79" i="66"/>
  <c r="N79" i="66" s="1"/>
  <c r="N79" i="64"/>
  <c r="F39" i="66"/>
  <c r="N39" i="66" s="1"/>
  <c r="N39" i="64"/>
  <c r="F111" i="66"/>
  <c r="N111" i="66" s="1"/>
  <c r="N111" i="64"/>
  <c r="F128" i="66"/>
  <c r="N128" i="66" s="1"/>
  <c r="N128" i="64"/>
  <c r="F5" i="66"/>
  <c r="N5" i="66" s="1"/>
  <c r="N5" i="64"/>
  <c r="F7" i="66"/>
  <c r="N7" i="66" s="1"/>
  <c r="N7" i="64"/>
  <c r="F30" i="66"/>
  <c r="N30" i="66" s="1"/>
  <c r="N30" i="64"/>
  <c r="F59" i="66"/>
  <c r="N59" i="66" s="1"/>
  <c r="N59" i="64"/>
  <c r="F92" i="66"/>
  <c r="N92" i="66" s="1"/>
  <c r="N92" i="64"/>
  <c r="F112" i="66"/>
  <c r="N112" i="66" s="1"/>
  <c r="M14" i="77" s="1"/>
  <c r="L13" i="40" s="1"/>
  <c r="N112" i="64"/>
  <c r="F101" i="66"/>
  <c r="N101" i="66" s="1"/>
  <c r="N101" i="64"/>
  <c r="F96" i="66"/>
  <c r="N96" i="66" s="1"/>
  <c r="N96" i="64"/>
  <c r="F84" i="66"/>
  <c r="N84" i="66" s="1"/>
  <c r="N84" i="64"/>
  <c r="F43" i="66"/>
  <c r="N43" i="66" s="1"/>
  <c r="N43" i="64"/>
  <c r="F138" i="66"/>
  <c r="N138" i="66" s="1"/>
  <c r="M16" i="77" s="1"/>
  <c r="L15" i="40" s="1"/>
  <c r="N138" i="64"/>
  <c r="F75" i="66"/>
  <c r="N75" i="66" s="1"/>
  <c r="N75" i="64"/>
  <c r="F146" i="66"/>
  <c r="N146" i="66" s="1"/>
  <c r="N146" i="64"/>
  <c r="F106" i="66"/>
  <c r="N106" i="66" s="1"/>
  <c r="N106" i="64"/>
  <c r="F70" i="66"/>
  <c r="N70" i="66" s="1"/>
  <c r="N70" i="64"/>
  <c r="F141" i="66"/>
  <c r="N141" i="66" s="1"/>
  <c r="N141" i="64"/>
  <c r="F135" i="66"/>
  <c r="N135" i="66" s="1"/>
  <c r="N135" i="64"/>
  <c r="F9" i="66"/>
  <c r="N9" i="66" s="1"/>
  <c r="N9" i="64"/>
  <c r="F100" i="66"/>
  <c r="N100" i="66" s="1"/>
  <c r="N100" i="64"/>
  <c r="F61" i="66"/>
  <c r="N61" i="66" s="1"/>
  <c r="N61" i="64"/>
  <c r="F133" i="66"/>
  <c r="N133" i="66" s="1"/>
  <c r="N133" i="64"/>
  <c r="F121" i="66"/>
  <c r="N121" i="66" s="1"/>
  <c r="N121" i="64"/>
  <c r="F53" i="66"/>
  <c r="N53" i="66" s="1"/>
  <c r="N53" i="64"/>
  <c r="F6" i="77"/>
  <c r="H8" i="77"/>
  <c r="G7" i="40" s="1"/>
  <c r="K6" i="77"/>
  <c r="K11" i="77"/>
  <c r="J10" i="40" s="1"/>
  <c r="K9" i="77"/>
  <c r="J8" i="40" s="1"/>
  <c r="G12" i="77"/>
  <c r="J15" i="77"/>
  <c r="I14" i="40" s="1"/>
  <c r="J13" i="77"/>
  <c r="J11" i="77"/>
  <c r="J9" i="77"/>
  <c r="I8" i="40" s="1"/>
  <c r="J7" i="77"/>
  <c r="I6" i="40" s="1"/>
  <c r="F16" i="77"/>
  <c r="E15" i="40" s="1"/>
  <c r="F8" i="77"/>
  <c r="E7" i="40" s="1"/>
  <c r="G11" i="77"/>
  <c r="I6" i="77"/>
  <c r="I15" i="77"/>
  <c r="H14" i="40" s="1"/>
  <c r="I13" i="77"/>
  <c r="H12" i="40" s="1"/>
  <c r="I11" i="77"/>
  <c r="H10" i="40" s="1"/>
  <c r="I9" i="77"/>
  <c r="H8" i="40" s="1"/>
  <c r="I7" i="77"/>
  <c r="H6" i="40" s="1"/>
  <c r="G14" i="77"/>
  <c r="H16" i="77"/>
  <c r="G15" i="40" s="1"/>
  <c r="G13" i="77"/>
  <c r="F12" i="40" s="1"/>
  <c r="K13" i="77"/>
  <c r="J12" i="40" s="1"/>
  <c r="F9" i="77"/>
  <c r="E8" i="40" s="1"/>
  <c r="F15" i="77"/>
  <c r="E14" i="40" s="1"/>
  <c r="F7" i="77"/>
  <c r="G10" i="77"/>
  <c r="F9" i="40" s="1"/>
  <c r="H6" i="77"/>
  <c r="H15" i="77"/>
  <c r="G14" i="40" s="1"/>
  <c r="H13" i="77"/>
  <c r="H11" i="77"/>
  <c r="H9" i="77"/>
  <c r="G8" i="40" s="1"/>
  <c r="H7" i="77"/>
  <c r="G6" i="40" s="1"/>
  <c r="H7" i="81" a="1"/>
  <c r="H7" i="81" s="1"/>
  <c r="F14" i="77"/>
  <c r="G9" i="77"/>
  <c r="F8" i="40" s="1"/>
  <c r="K16" i="77"/>
  <c r="J15" i="40" s="1"/>
  <c r="K14" i="77"/>
  <c r="K12" i="77"/>
  <c r="K10" i="77"/>
  <c r="J9" i="40" s="1"/>
  <c r="K8" i="77"/>
  <c r="J7" i="40" s="1"/>
  <c r="H10" i="77"/>
  <c r="F13" i="77"/>
  <c r="G16" i="77"/>
  <c r="F15" i="40" s="1"/>
  <c r="G8" i="77"/>
  <c r="F7" i="40" s="1"/>
  <c r="J16" i="77"/>
  <c r="I15" i="40" s="1"/>
  <c r="J14" i="77"/>
  <c r="I13" i="40" s="1"/>
  <c r="J12" i="77"/>
  <c r="I11" i="40" s="1"/>
  <c r="J10" i="77"/>
  <c r="J8" i="77"/>
  <c r="I7" i="40" s="1"/>
  <c r="F11" i="77"/>
  <c r="G6" i="77"/>
  <c r="H14" i="77"/>
  <c r="G13" i="40" s="1"/>
  <c r="H12" i="77"/>
  <c r="G11" i="40" s="1"/>
  <c r="F10" i="77"/>
  <c r="K15" i="77"/>
  <c r="J14" i="40" s="1"/>
  <c r="K7" i="77"/>
  <c r="J6" i="40" s="1"/>
  <c r="F12" i="77"/>
  <c r="E11" i="40" s="1"/>
  <c r="G15" i="77"/>
  <c r="F14" i="40" s="1"/>
  <c r="G7" i="77"/>
  <c r="I16" i="77"/>
  <c r="H15" i="40" s="1"/>
  <c r="I14" i="77"/>
  <c r="I12" i="77"/>
  <c r="I10" i="77"/>
  <c r="H9" i="40" s="1"/>
  <c r="I8" i="77"/>
  <c r="H7" i="40" s="1"/>
  <c r="C7" i="81" a="1"/>
  <c r="C7" i="81" s="1"/>
  <c r="E7" i="81" a="1"/>
  <c r="E7" i="81" s="1"/>
  <c r="I7" i="81" a="1"/>
  <c r="I7" i="81" s="1"/>
  <c r="B17" i="40"/>
  <c r="G7" i="81" a="1"/>
  <c r="G7" i="81" s="1"/>
  <c r="J7" i="81" a="1"/>
  <c r="J7" i="81" s="1"/>
  <c r="K7" i="81" a="1"/>
  <c r="K7" i="81" s="1"/>
  <c r="L14" i="64"/>
  <c r="L14" i="66" s="1"/>
  <c r="P17" i="79"/>
  <c r="F14" i="64" s="1"/>
  <c r="Q17" i="79"/>
  <c r="G14" i="64" s="1"/>
  <c r="G14" i="66" s="1"/>
  <c r="E12" i="77" l="1"/>
  <c r="N94" i="66"/>
  <c r="E10" i="77"/>
  <c r="L10" i="77" s="1"/>
  <c r="D9" i="77"/>
  <c r="E9" i="77"/>
  <c r="D8" i="40" s="1"/>
  <c r="E14" i="77"/>
  <c r="D13" i="40" s="1"/>
  <c r="E16" i="77"/>
  <c r="D15" i="40" s="1"/>
  <c r="E8" i="77"/>
  <c r="D7" i="40" s="1"/>
  <c r="D6" i="77"/>
  <c r="E15" i="77"/>
  <c r="L15" i="77" s="1"/>
  <c r="E13" i="77"/>
  <c r="D12" i="40" s="1"/>
  <c r="E11" i="77"/>
  <c r="L11" i="77" s="1"/>
  <c r="K10" i="40" s="1"/>
  <c r="E7" i="77"/>
  <c r="D6" i="40" s="1"/>
  <c r="D10" i="77"/>
  <c r="E6" i="77"/>
  <c r="D5" i="40" s="1"/>
  <c r="D11" i="77"/>
  <c r="L6" i="40"/>
  <c r="L18" i="40" s="1"/>
  <c r="M17" i="77"/>
  <c r="D13" i="77"/>
  <c r="D12" i="77"/>
  <c r="D16" i="77"/>
  <c r="N16" i="66"/>
  <c r="D14" i="77"/>
  <c r="D8" i="77"/>
  <c r="N52" i="66"/>
  <c r="D7" i="77"/>
  <c r="D15" i="77"/>
  <c r="F14" i="66"/>
  <c r="R13" i="81" s="1" a="1"/>
  <c r="R13" i="81" s="1"/>
  <c r="N14" i="64"/>
  <c r="J6" i="77"/>
  <c r="I5" i="40" s="1"/>
  <c r="T14" i="81" a="1"/>
  <c r="T14" i="81" s="1"/>
  <c r="V11" i="81" a="1"/>
  <c r="V11" i="81" s="1"/>
  <c r="F17" i="77"/>
  <c r="G17" i="77"/>
  <c r="E14" i="81" a="1"/>
  <c r="E14" i="81" s="1"/>
  <c r="E6" i="40"/>
  <c r="F6" i="40"/>
  <c r="E10" i="40"/>
  <c r="H13" i="40"/>
  <c r="E12" i="40"/>
  <c r="G9" i="40"/>
  <c r="E13" i="40"/>
  <c r="F11" i="40"/>
  <c r="I10" i="40"/>
  <c r="I9" i="40"/>
  <c r="J13" i="40"/>
  <c r="J11" i="40"/>
  <c r="H11" i="40"/>
  <c r="F13" i="40"/>
  <c r="G10" i="40"/>
  <c r="G12" i="40"/>
  <c r="E9" i="40"/>
  <c r="I12" i="40"/>
  <c r="F10" i="40"/>
  <c r="W15" i="81" a="1"/>
  <c r="W15" i="81" s="1"/>
  <c r="E13" i="81" a="1"/>
  <c r="E13" i="81" s="1"/>
  <c r="E10" i="81" a="1"/>
  <c r="E10" i="81" s="1"/>
  <c r="K10" i="81" a="1"/>
  <c r="K10" i="81" s="1"/>
  <c r="T17" i="81" a="1"/>
  <c r="T17" i="81" s="1"/>
  <c r="G12" i="81" a="1"/>
  <c r="G12" i="81" s="1"/>
  <c r="U16" i="81" a="1"/>
  <c r="U16" i="81" s="1"/>
  <c r="E16" i="81" a="1"/>
  <c r="E16" i="81" s="1"/>
  <c r="X17" i="81" a="1"/>
  <c r="X17" i="81" s="1"/>
  <c r="G14" i="81" a="1"/>
  <c r="G14" i="81" s="1"/>
  <c r="E9" i="81" a="1"/>
  <c r="E9" i="81" s="1"/>
  <c r="S17" i="81" a="1"/>
  <c r="S17" i="81" s="1"/>
  <c r="G9" i="81" a="1"/>
  <c r="G9" i="81" s="1"/>
  <c r="E8" i="81" a="1"/>
  <c r="E8" i="81" s="1"/>
  <c r="W9" i="81" a="1"/>
  <c r="W9" i="81" s="1"/>
  <c r="F7" i="81" a="1"/>
  <c r="F7" i="81" s="1"/>
  <c r="Y8" i="81" a="1"/>
  <c r="Y8" i="81" s="1"/>
  <c r="G17" i="81" a="1"/>
  <c r="G17" i="81" s="1"/>
  <c r="D8" i="81" a="1"/>
  <c r="D8" i="81" s="1"/>
  <c r="U9" i="81" a="1"/>
  <c r="U9" i="81" s="1"/>
  <c r="I10" i="81" a="1"/>
  <c r="I10" i="81" s="1"/>
  <c r="J10" i="81" a="1"/>
  <c r="J10" i="81" s="1"/>
  <c r="F10" i="81" a="1"/>
  <c r="F10" i="81" s="1"/>
  <c r="J16" i="81" a="1"/>
  <c r="J16" i="81" s="1"/>
  <c r="F15" i="81" a="1"/>
  <c r="F15" i="81" s="1"/>
  <c r="V12" i="81" a="1"/>
  <c r="V12" i="81" s="1"/>
  <c r="V7" i="81" a="1"/>
  <c r="V7" i="81" s="1"/>
  <c r="D9" i="81" a="1"/>
  <c r="D9" i="81" s="1"/>
  <c r="W17" i="81" a="1"/>
  <c r="W17" i="81" s="1"/>
  <c r="X16" i="81" a="1"/>
  <c r="X16" i="81" s="1"/>
  <c r="E15" i="81" a="1"/>
  <c r="E15" i="81" s="1"/>
  <c r="W7" i="81" a="1"/>
  <c r="W7" i="81" s="1"/>
  <c r="C14" i="81" a="1"/>
  <c r="C14" i="81" s="1"/>
  <c r="D7" i="81" a="1"/>
  <c r="D7" i="81" s="1"/>
  <c r="V9" i="81" a="1"/>
  <c r="V9" i="81" s="1"/>
  <c r="J11" i="81" a="1"/>
  <c r="J11" i="81" s="1"/>
  <c r="X12" i="81" a="1"/>
  <c r="X12" i="81" s="1"/>
  <c r="V14" i="81" a="1"/>
  <c r="V14" i="81" s="1"/>
  <c r="Y14" i="81" a="1"/>
  <c r="Y14" i="81" s="1"/>
  <c r="J5" i="40"/>
  <c r="K17" i="77"/>
  <c r="T13" i="81" a="1"/>
  <c r="T13" i="81" s="1"/>
  <c r="T16" i="81" a="1"/>
  <c r="T16" i="81" s="1"/>
  <c r="T12" i="81" a="1"/>
  <c r="T12" i="81" s="1"/>
  <c r="S7" i="81" a="1"/>
  <c r="S7" i="81" s="1"/>
  <c r="S9" i="81" a="1"/>
  <c r="S9" i="81" s="1"/>
  <c r="T8" i="81" a="1"/>
  <c r="T8" i="81" s="1"/>
  <c r="S15" i="81" a="1"/>
  <c r="S15" i="81" s="1"/>
  <c r="T11" i="81" a="1"/>
  <c r="T11" i="81" s="1"/>
  <c r="S13" i="81" a="1"/>
  <c r="S13" i="81" s="1"/>
  <c r="S8" i="81" a="1"/>
  <c r="S8" i="81" s="1"/>
  <c r="T7" i="81" a="1"/>
  <c r="T7" i="81" s="1"/>
  <c r="S14" i="81" a="1"/>
  <c r="S14" i="81" s="1"/>
  <c r="T9" i="81" a="1"/>
  <c r="T9" i="81" s="1"/>
  <c r="T10" i="81" a="1"/>
  <c r="T10" i="81" s="1"/>
  <c r="S10" i="81" a="1"/>
  <c r="S10" i="81" s="1"/>
  <c r="S11" i="81" a="1"/>
  <c r="S11" i="81" s="1"/>
  <c r="T15" i="81" a="1"/>
  <c r="T15" i="81" s="1"/>
  <c r="C13" i="81" a="1"/>
  <c r="C13" i="81" s="1"/>
  <c r="W11" i="81" a="1"/>
  <c r="W11" i="81" s="1"/>
  <c r="K16" i="81" a="1"/>
  <c r="K16" i="81" s="1"/>
  <c r="Y16" i="81" a="1"/>
  <c r="Y16" i="81" s="1"/>
  <c r="J17" i="81" a="1"/>
  <c r="J17" i="81" s="1"/>
  <c r="C9" i="81" a="1"/>
  <c r="C9" i="81" s="1"/>
  <c r="H8" i="81" a="1"/>
  <c r="H8" i="81" s="1"/>
  <c r="V15" i="81" a="1"/>
  <c r="V15" i="81" s="1"/>
  <c r="K13" i="81" a="1"/>
  <c r="K13" i="81" s="1"/>
  <c r="I17" i="77"/>
  <c r="H5" i="40"/>
  <c r="C12" i="81" a="1"/>
  <c r="C12" i="81" s="1"/>
  <c r="V13" i="81" a="1"/>
  <c r="V13" i="81" s="1"/>
  <c r="W14" i="81" a="1"/>
  <c r="W14" i="81" s="1"/>
  <c r="F16" i="81" a="1"/>
  <c r="F16" i="81" s="1"/>
  <c r="E17" i="81" a="1"/>
  <c r="E17" i="81" s="1"/>
  <c r="D13" i="81" a="1"/>
  <c r="D13" i="81" s="1"/>
  <c r="D11" i="81" a="1"/>
  <c r="D11" i="81" s="1"/>
  <c r="H10" i="81" a="1"/>
  <c r="H10" i="81" s="1"/>
  <c r="Y15" i="81" a="1"/>
  <c r="Y15" i="81" s="1"/>
  <c r="X7" i="81" a="1"/>
  <c r="X7" i="81" s="1"/>
  <c r="F13" i="81" a="1"/>
  <c r="F13" i="81" s="1"/>
  <c r="D10" i="81" a="1"/>
  <c r="D10" i="81" s="1"/>
  <c r="H16" i="81" a="1"/>
  <c r="H16" i="81" s="1"/>
  <c r="I16" i="81" a="1"/>
  <c r="I16" i="81" s="1"/>
  <c r="F5" i="40"/>
  <c r="V17" i="81" a="1"/>
  <c r="V17" i="81" s="1"/>
  <c r="X8" i="81" a="1"/>
  <c r="X8" i="81" s="1"/>
  <c r="F11" i="81" a="1"/>
  <c r="F11" i="81" s="1"/>
  <c r="J9" i="81" a="1"/>
  <c r="J9" i="81" s="1"/>
  <c r="K12" i="81" a="1"/>
  <c r="K12" i="81" s="1"/>
  <c r="K11" i="81" a="1"/>
  <c r="K11" i="81" s="1"/>
  <c r="I14" i="81" a="1"/>
  <c r="I14" i="81" s="1"/>
  <c r="C17" i="81" a="1"/>
  <c r="C17" i="81" s="1"/>
  <c r="C8" i="81" a="1"/>
  <c r="C8" i="81" s="1"/>
  <c r="V8" i="81" a="1"/>
  <c r="V8" i="81" s="1"/>
  <c r="U15" i="81" a="1"/>
  <c r="U15" i="81" s="1"/>
  <c r="U13" i="81" a="1"/>
  <c r="U13" i="81" s="1"/>
  <c r="H13" i="81" a="1"/>
  <c r="H13" i="81" s="1"/>
  <c r="V16" i="81" a="1"/>
  <c r="V16" i="81" s="1"/>
  <c r="I13" i="81" a="1"/>
  <c r="I13" i="81" s="1"/>
  <c r="I15" i="81" a="1"/>
  <c r="I15" i="81" s="1"/>
  <c r="D11" i="40"/>
  <c r="D14" i="81" a="1"/>
  <c r="D14" i="81" s="1"/>
  <c r="W12" i="81" a="1"/>
  <c r="W12" i="81" s="1"/>
  <c r="I17" i="81" a="1"/>
  <c r="I17" i="81" s="1"/>
  <c r="X9" i="81" a="1"/>
  <c r="X9" i="81" s="1"/>
  <c r="I9" i="81" a="1"/>
  <c r="I9" i="81" s="1"/>
  <c r="K17" i="81" a="1"/>
  <c r="K17" i="81" s="1"/>
  <c r="H12" i="81" a="1"/>
  <c r="H12" i="81" s="1"/>
  <c r="I11" i="81" a="1"/>
  <c r="I11" i="81" s="1"/>
  <c r="Y17" i="81" a="1"/>
  <c r="Y17" i="81" s="1"/>
  <c r="G8" i="81" a="1"/>
  <c r="G8" i="81" s="1"/>
  <c r="F12" i="81" a="1"/>
  <c r="F12" i="81" s="1"/>
  <c r="U17" i="81" a="1"/>
  <c r="U17" i="81" s="1"/>
  <c r="G16" i="81" a="1"/>
  <c r="G16" i="81" s="1"/>
  <c r="K15" i="81" a="1"/>
  <c r="K15" i="81" s="1"/>
  <c r="D17" i="81" a="1"/>
  <c r="D17" i="81" s="1"/>
  <c r="S12" i="81" a="1"/>
  <c r="S12" i="81" s="1"/>
  <c r="H9" i="81" a="1"/>
  <c r="H9" i="81" s="1"/>
  <c r="U8" i="81" a="1"/>
  <c r="U8" i="81" s="1"/>
  <c r="Y13" i="81" a="1"/>
  <c r="Y13" i="81" s="1"/>
  <c r="V10" i="81" a="1"/>
  <c r="V10" i="81" s="1"/>
  <c r="G11" i="81" a="1"/>
  <c r="G11" i="81" s="1"/>
  <c r="F9" i="81" a="1"/>
  <c r="F9" i="81" s="1"/>
  <c r="J8" i="81" a="1"/>
  <c r="J8" i="81" s="1"/>
  <c r="J13" i="81" a="1"/>
  <c r="J13" i="81" s="1"/>
  <c r="H17" i="81" a="1"/>
  <c r="H17" i="81" s="1"/>
  <c r="K9" i="81" a="1"/>
  <c r="K9" i="81" s="1"/>
  <c r="D16" i="81" a="1"/>
  <c r="D16" i="81" s="1"/>
  <c r="C15" i="81" a="1"/>
  <c r="C15" i="81" s="1"/>
  <c r="I12" i="81" a="1"/>
  <c r="I12" i="81" s="1"/>
  <c r="W16" i="81" a="1"/>
  <c r="W16" i="81" s="1"/>
  <c r="W13" i="81" a="1"/>
  <c r="W13" i="81" s="1"/>
  <c r="W8" i="81" a="1"/>
  <c r="W8" i="81" s="1"/>
  <c r="U11" i="81" a="1"/>
  <c r="U11" i="81" s="1"/>
  <c r="H14" i="81" a="1"/>
  <c r="H14" i="81" s="1"/>
  <c r="X14" i="81" a="1"/>
  <c r="X14" i="81" s="1"/>
  <c r="C11" i="81" a="1"/>
  <c r="C11" i="81" s="1"/>
  <c r="J15" i="81" a="1"/>
  <c r="J15" i="81" s="1"/>
  <c r="E12" i="81" a="1"/>
  <c r="E12" i="81" s="1"/>
  <c r="I8" i="81" a="1"/>
  <c r="I8" i="81" s="1"/>
  <c r="H15" i="81" a="1"/>
  <c r="H15" i="81" s="1"/>
  <c r="X15" i="81" a="1"/>
  <c r="X15" i="81" s="1"/>
  <c r="X11" i="81" a="1"/>
  <c r="X11" i="81" s="1"/>
  <c r="G10" i="81" a="1"/>
  <c r="G10" i="81" s="1"/>
  <c r="F17" i="81" a="1"/>
  <c r="F17" i="81" s="1"/>
  <c r="J12" i="81" a="1"/>
  <c r="J12" i="81" s="1"/>
  <c r="E5" i="40"/>
  <c r="J14" i="81" a="1"/>
  <c r="J14" i="81" s="1"/>
  <c r="F14" i="81" a="1"/>
  <c r="F14" i="81" s="1"/>
  <c r="K14" i="81" a="1"/>
  <c r="K14" i="81" s="1"/>
  <c r="C16" i="81" a="1"/>
  <c r="C16" i="81" s="1"/>
  <c r="D15" i="81" a="1"/>
  <c r="D15" i="81" s="1"/>
  <c r="L12" i="77"/>
  <c r="Y9" i="81" a="1"/>
  <c r="Y9" i="81" s="1"/>
  <c r="Y7" i="81" a="1"/>
  <c r="Y7" i="81" s="1"/>
  <c r="Y12" i="81" a="1"/>
  <c r="Y12" i="81" s="1"/>
  <c r="X10" i="81" a="1"/>
  <c r="X10" i="81" s="1"/>
  <c r="U7" i="81" a="1"/>
  <c r="U7" i="81" s="1"/>
  <c r="Y10" i="81" a="1"/>
  <c r="Y10" i="81" s="1"/>
  <c r="H17" i="77"/>
  <c r="G5" i="40"/>
  <c r="U12" i="81" a="1"/>
  <c r="U12" i="81" s="1"/>
  <c r="X13" i="81" a="1"/>
  <c r="X13" i="81" s="1"/>
  <c r="H11" i="81" a="1"/>
  <c r="H11" i="81" s="1"/>
  <c r="U10" i="81" a="1"/>
  <c r="U10" i="81" s="1"/>
  <c r="R12" i="81" a="1"/>
  <c r="R12" i="81" s="1"/>
  <c r="S16" i="81" a="1"/>
  <c r="S16" i="81" s="1"/>
  <c r="E11" i="81" a="1"/>
  <c r="E11" i="81" s="1"/>
  <c r="W10" i="81" a="1"/>
  <c r="W10" i="81" s="1"/>
  <c r="Y11" i="81" a="1"/>
  <c r="Y11" i="81" s="1"/>
  <c r="G13" i="81" a="1"/>
  <c r="G13" i="81" s="1"/>
  <c r="F8" i="81" a="1"/>
  <c r="F8" i="81" s="1"/>
  <c r="U14" i="81" a="1"/>
  <c r="U14" i="81" s="1"/>
  <c r="K8" i="81" a="1"/>
  <c r="K8" i="81" s="1"/>
  <c r="G15" i="81" a="1"/>
  <c r="G15" i="81" s="1"/>
  <c r="D12" i="81" a="1"/>
  <c r="D12" i="81" s="1"/>
  <c r="C10" i="81" a="1"/>
  <c r="C10" i="81" s="1"/>
  <c r="R7" i="81" l="1" a="1"/>
  <c r="R7" i="81" s="1"/>
  <c r="R14" i="81" a="1"/>
  <c r="R14" i="81" s="1"/>
  <c r="Q9" i="81" a="1"/>
  <c r="Q9" i="81" s="1"/>
  <c r="R10" i="81" a="1"/>
  <c r="R10" i="81" s="1"/>
  <c r="D9" i="40"/>
  <c r="L9" i="77"/>
  <c r="E10" i="41" s="1"/>
  <c r="L8" i="77"/>
  <c r="E9" i="41" s="1"/>
  <c r="L14" i="77"/>
  <c r="K13" i="40" s="1"/>
  <c r="D14" i="40"/>
  <c r="L16" i="77"/>
  <c r="K15" i="40" s="1"/>
  <c r="D17" i="77"/>
  <c r="L7" i="77"/>
  <c r="E8" i="41" s="1"/>
  <c r="L13" i="77"/>
  <c r="E14" i="41" s="1"/>
  <c r="D10" i="40"/>
  <c r="E17" i="77"/>
  <c r="Q14" i="81" a="1"/>
  <c r="Q14" i="81" s="1"/>
  <c r="Q17" i="81" a="1"/>
  <c r="Q17" i="81" s="1"/>
  <c r="R9" i="81" a="1"/>
  <c r="R9" i="81" s="1"/>
  <c r="Q16" i="81" a="1"/>
  <c r="Q16" i="81" s="1"/>
  <c r="R11" i="81" a="1"/>
  <c r="R11" i="81" s="1"/>
  <c r="P12" i="81"/>
  <c r="E14" i="43"/>
  <c r="R16" i="81" a="1"/>
  <c r="R16" i="81" s="1"/>
  <c r="R17" i="81" a="1"/>
  <c r="R17" i="81" s="1"/>
  <c r="Q8" i="81" a="1"/>
  <c r="Q8" i="81" s="1"/>
  <c r="R15" i="81" a="1"/>
  <c r="R15" i="81" s="1"/>
  <c r="Q15" i="81" a="1"/>
  <c r="Q15" i="81" s="1"/>
  <c r="Q13" i="81" a="1"/>
  <c r="Q13" i="81" s="1"/>
  <c r="Z13" i="81" s="1"/>
  <c r="R8" i="81" a="1"/>
  <c r="R8" i="81" s="1"/>
  <c r="Q12" i="81" a="1"/>
  <c r="Q12" i="81" s="1"/>
  <c r="Z12" i="81" s="1"/>
  <c r="Q10" i="81" a="1"/>
  <c r="Q10" i="81" s="1"/>
  <c r="Q7" i="81" a="1"/>
  <c r="Q7" i="81" s="1"/>
  <c r="N14" i="66"/>
  <c r="Q11" i="81" a="1"/>
  <c r="Q11" i="81" s="1"/>
  <c r="L6" i="77"/>
  <c r="E7" i="41" s="1"/>
  <c r="J17" i="77"/>
  <c r="G11" i="43"/>
  <c r="I24" i="81"/>
  <c r="M10" i="40"/>
  <c r="I17" i="40"/>
  <c r="H17" i="40"/>
  <c r="E33" i="81"/>
  <c r="F17" i="40"/>
  <c r="G17" i="40"/>
  <c r="J17" i="40"/>
  <c r="H24" i="81"/>
  <c r="E17" i="40"/>
  <c r="E24" i="81"/>
  <c r="J24" i="81"/>
  <c r="E16" i="41"/>
  <c r="E12" i="41"/>
  <c r="E13" i="41"/>
  <c r="E11" i="41"/>
  <c r="G10" i="43"/>
  <c r="G14" i="43"/>
  <c r="Y14" i="43" s="1"/>
  <c r="AF14" i="43" s="1"/>
  <c r="G12" i="43"/>
  <c r="Y12" i="43" s="1"/>
  <c r="G26" i="81"/>
  <c r="U26" i="81" s="1"/>
  <c r="G24" i="81"/>
  <c r="F24" i="81"/>
  <c r="G18" i="81"/>
  <c r="D24" i="81"/>
  <c r="G31" i="81"/>
  <c r="C24" i="81"/>
  <c r="K24" i="81"/>
  <c r="L7" i="81"/>
  <c r="D9" i="43" s="1"/>
  <c r="J9" i="43" s="1"/>
  <c r="K34" i="81"/>
  <c r="F27" i="81"/>
  <c r="F33" i="81"/>
  <c r="D29" i="81"/>
  <c r="I27" i="81"/>
  <c r="I32" i="81"/>
  <c r="V18" i="81"/>
  <c r="G34" i="81"/>
  <c r="H31" i="81"/>
  <c r="I30" i="81"/>
  <c r="E27" i="81"/>
  <c r="K25" i="81"/>
  <c r="H26" i="81"/>
  <c r="V26" i="81" s="1"/>
  <c r="C28" i="81"/>
  <c r="L11" i="81"/>
  <c r="C26" i="81"/>
  <c r="Q26" i="81" s="1"/>
  <c r="L9" i="81"/>
  <c r="C32" i="81"/>
  <c r="L15" i="81"/>
  <c r="I26" i="81"/>
  <c r="W26" i="81" s="1"/>
  <c r="F28" i="81"/>
  <c r="K9" i="40"/>
  <c r="K26" i="81"/>
  <c r="Y26" i="81" s="1"/>
  <c r="H34" i="81"/>
  <c r="D27" i="81"/>
  <c r="G30" i="81"/>
  <c r="D32" i="81"/>
  <c r="G33" i="81"/>
  <c r="U18" i="81"/>
  <c r="J25" i="81"/>
  <c r="C25" i="81"/>
  <c r="L8" i="81"/>
  <c r="X18" i="81"/>
  <c r="L12" i="81"/>
  <c r="C29" i="81"/>
  <c r="C31" i="81"/>
  <c r="D26" i="81"/>
  <c r="R26" i="81" s="1"/>
  <c r="H32" i="81"/>
  <c r="F26" i="81"/>
  <c r="T26" i="81" s="1"/>
  <c r="D31" i="81"/>
  <c r="S18" i="81"/>
  <c r="E28" i="81"/>
  <c r="F31" i="81"/>
  <c r="I25" i="81"/>
  <c r="F32" i="81"/>
  <c r="G28" i="81"/>
  <c r="G25" i="81"/>
  <c r="E25" i="81"/>
  <c r="I31" i="81"/>
  <c r="C18" i="81"/>
  <c r="K29" i="81"/>
  <c r="K18" i="81"/>
  <c r="T18" i="81"/>
  <c r="G32" i="81"/>
  <c r="G29" i="81"/>
  <c r="I18" i="81"/>
  <c r="J26" i="81"/>
  <c r="X26" i="81" s="1"/>
  <c r="J34" i="81"/>
  <c r="D33" i="81"/>
  <c r="H33" i="81"/>
  <c r="K14" i="40"/>
  <c r="E32" i="81"/>
  <c r="K33" i="81"/>
  <c r="I29" i="81"/>
  <c r="H30" i="81"/>
  <c r="H28" i="81"/>
  <c r="J30" i="81"/>
  <c r="I34" i="81"/>
  <c r="C30" i="81"/>
  <c r="L13" i="81"/>
  <c r="L14" i="81"/>
  <c r="J33" i="81"/>
  <c r="L16" i="81"/>
  <c r="C33" i="81"/>
  <c r="K31" i="81"/>
  <c r="F29" i="81"/>
  <c r="L17" i="81"/>
  <c r="C34" i="81"/>
  <c r="E26" i="81"/>
  <c r="S26" i="81" s="1"/>
  <c r="J31" i="81"/>
  <c r="E29" i="81"/>
  <c r="E31" i="81"/>
  <c r="E30" i="81"/>
  <c r="K11" i="40"/>
  <c r="K28" i="81"/>
  <c r="I33" i="81"/>
  <c r="H27" i="81"/>
  <c r="K30" i="81"/>
  <c r="F34" i="81"/>
  <c r="G27" i="81"/>
  <c r="J27" i="81"/>
  <c r="D34" i="81"/>
  <c r="F25" i="81"/>
  <c r="K32" i="81"/>
  <c r="F30" i="81"/>
  <c r="I28" i="81"/>
  <c r="D18" i="81"/>
  <c r="D28" i="81"/>
  <c r="J28" i="81"/>
  <c r="J29" i="81"/>
  <c r="E34" i="81"/>
  <c r="L10" i="81"/>
  <c r="C27" i="81"/>
  <c r="Y18" i="81"/>
  <c r="J32" i="81"/>
  <c r="H29" i="81"/>
  <c r="K27" i="81"/>
  <c r="E18" i="81"/>
  <c r="J18" i="81"/>
  <c r="D30" i="81"/>
  <c r="H25" i="81"/>
  <c r="H18" i="81"/>
  <c r="W18" i="81"/>
  <c r="D25" i="81"/>
  <c r="F18" i="81"/>
  <c r="Z14" i="81" l="1"/>
  <c r="Q43" i="81"/>
  <c r="Z10" i="81"/>
  <c r="K8" i="40"/>
  <c r="E12" i="43" s="1"/>
  <c r="D17" i="40"/>
  <c r="E17" i="41"/>
  <c r="E24" i="38" s="1"/>
  <c r="Z11" i="81"/>
  <c r="K7" i="40"/>
  <c r="E11" i="43" s="1"/>
  <c r="E15" i="41"/>
  <c r="F15" i="41" s="1"/>
  <c r="T43" i="81"/>
  <c r="H13" i="91" s="1"/>
  <c r="Y43" i="81"/>
  <c r="M12" i="91" s="1"/>
  <c r="X43" i="81"/>
  <c r="L12" i="91" s="1"/>
  <c r="V43" i="81"/>
  <c r="J12" i="91" s="1"/>
  <c r="S43" i="81"/>
  <c r="H14" i="91" s="1"/>
  <c r="W43" i="81"/>
  <c r="K12" i="91" s="1"/>
  <c r="R43" i="81"/>
  <c r="G13" i="91" s="1"/>
  <c r="K6" i="40"/>
  <c r="E10" i="43" s="1"/>
  <c r="K12" i="40"/>
  <c r="P14" i="81" s="1"/>
  <c r="Z15" i="81"/>
  <c r="Z8" i="81"/>
  <c r="Z9" i="81"/>
  <c r="U43" i="81"/>
  <c r="I12" i="91" s="1"/>
  <c r="Z16" i="81"/>
  <c r="R18" i="81"/>
  <c r="Q18" i="81"/>
  <c r="Z17" i="81"/>
  <c r="P13" i="81"/>
  <c r="E15" i="43"/>
  <c r="P15" i="81"/>
  <c r="E17" i="43"/>
  <c r="Z7" i="81"/>
  <c r="P11" i="81"/>
  <c r="E13" i="43"/>
  <c r="I8" i="41"/>
  <c r="I18" i="41" s="1"/>
  <c r="P17" i="81"/>
  <c r="E19" i="43"/>
  <c r="P16" i="81"/>
  <c r="E18" i="43"/>
  <c r="E14" i="38"/>
  <c r="K5" i="40"/>
  <c r="L17" i="77"/>
  <c r="L24" i="81"/>
  <c r="G13" i="43"/>
  <c r="Y13" i="43" s="1"/>
  <c r="M9" i="40"/>
  <c r="G15" i="43"/>
  <c r="G16" i="43"/>
  <c r="G18" i="43"/>
  <c r="Y18" i="43" s="1"/>
  <c r="AF18" i="43" s="1"/>
  <c r="G17" i="43"/>
  <c r="Y17" i="43" s="1"/>
  <c r="AF17" i="43" s="1"/>
  <c r="G19" i="43"/>
  <c r="Y19" i="43" s="1"/>
  <c r="AF19" i="43" s="1"/>
  <c r="M15" i="40"/>
  <c r="M14" i="40"/>
  <c r="D7" i="41"/>
  <c r="M13" i="40"/>
  <c r="M11" i="40"/>
  <c r="D35" i="81"/>
  <c r="G35" i="81"/>
  <c r="L33" i="81"/>
  <c r="L25" i="81"/>
  <c r="F35" i="81"/>
  <c r="G9" i="43"/>
  <c r="L17" i="40"/>
  <c r="L28" i="81"/>
  <c r="F12" i="41"/>
  <c r="E20" i="38"/>
  <c r="D15" i="41"/>
  <c r="C22" i="38" s="1"/>
  <c r="D16" i="43"/>
  <c r="J16" i="43" s="1"/>
  <c r="L31" i="81"/>
  <c r="E19" i="38"/>
  <c r="F14" i="41"/>
  <c r="F9" i="41"/>
  <c r="E16" i="38"/>
  <c r="F7" i="41"/>
  <c r="H35" i="81"/>
  <c r="L30" i="81"/>
  <c r="D14" i="41"/>
  <c r="C21" i="38" s="1"/>
  <c r="D14" i="43"/>
  <c r="J14" i="43" s="1"/>
  <c r="E35" i="81"/>
  <c r="F11" i="41"/>
  <c r="D16" i="41"/>
  <c r="D18" i="43"/>
  <c r="J18" i="43" s="1"/>
  <c r="C35" i="81"/>
  <c r="L18" i="81"/>
  <c r="F10" i="41"/>
  <c r="E17" i="38"/>
  <c r="F16" i="41"/>
  <c r="E23" i="38"/>
  <c r="E18" i="38"/>
  <c r="F13" i="41"/>
  <c r="D13" i="43"/>
  <c r="J13" i="43" s="1"/>
  <c r="D13" i="41"/>
  <c r="C20" i="38" s="1"/>
  <c r="I35" i="81"/>
  <c r="E21" i="38"/>
  <c r="D17" i="43"/>
  <c r="J17" i="43" s="1"/>
  <c r="D11" i="41"/>
  <c r="C18" i="38" s="1"/>
  <c r="D12" i="41"/>
  <c r="C19" i="38" s="1"/>
  <c r="D15" i="43"/>
  <c r="J15" i="43" s="1"/>
  <c r="L29" i="81"/>
  <c r="L32" i="81"/>
  <c r="L27" i="81"/>
  <c r="D10" i="41"/>
  <c r="D17" i="38" s="1"/>
  <c r="D12" i="43"/>
  <c r="J12" i="43" s="1"/>
  <c r="L34" i="81"/>
  <c r="F8" i="41"/>
  <c r="E15" i="38"/>
  <c r="D11" i="43"/>
  <c r="D9" i="41"/>
  <c r="J35" i="81"/>
  <c r="D17" i="41"/>
  <c r="D19" i="43"/>
  <c r="J19" i="43" s="1"/>
  <c r="G14" i="91"/>
  <c r="K35" i="81"/>
  <c r="D8" i="41"/>
  <c r="D10" i="43"/>
  <c r="J10" i="43" s="1"/>
  <c r="P10" i="81" l="1"/>
  <c r="AA10" i="81" s="1"/>
  <c r="M8" i="40"/>
  <c r="F17" i="41"/>
  <c r="E22" i="38"/>
  <c r="E25" i="38" s="1"/>
  <c r="E18" i="41"/>
  <c r="P9" i="81"/>
  <c r="AA9" i="81" s="1"/>
  <c r="P7" i="40"/>
  <c r="Z43" i="81"/>
  <c r="P8" i="81"/>
  <c r="AA8" i="81" s="1"/>
  <c r="M6" i="40"/>
  <c r="M12" i="40"/>
  <c r="D19" i="38"/>
  <c r="E16" i="43"/>
  <c r="Z18" i="81"/>
  <c r="D22" i="38"/>
  <c r="D21" i="38"/>
  <c r="C5" i="40"/>
  <c r="C14" i="38"/>
  <c r="D14" i="38"/>
  <c r="C6" i="40"/>
  <c r="C15" i="38"/>
  <c r="C7" i="40"/>
  <c r="C16" i="38"/>
  <c r="C14" i="40"/>
  <c r="C23" i="38"/>
  <c r="D15" i="38"/>
  <c r="D23" i="38"/>
  <c r="O6" i="40"/>
  <c r="O17" i="40" s="1"/>
  <c r="F15" i="38"/>
  <c r="I15" i="38" s="1"/>
  <c r="D20" i="38"/>
  <c r="C15" i="40"/>
  <c r="C24" i="38"/>
  <c r="C8" i="40"/>
  <c r="C17" i="38"/>
  <c r="D18" i="38"/>
  <c r="D24" i="38"/>
  <c r="E9" i="43"/>
  <c r="D16" i="38"/>
  <c r="K17" i="40"/>
  <c r="P7" i="81"/>
  <c r="C13" i="40"/>
  <c r="C11" i="40"/>
  <c r="C12" i="40"/>
  <c r="AA14" i="81" s="1"/>
  <c r="C10" i="40"/>
  <c r="AA12" i="81" s="1"/>
  <c r="C9" i="40"/>
  <c r="AA11" i="81" s="1"/>
  <c r="F27" i="91"/>
  <c r="G20" i="43"/>
  <c r="Y9" i="43"/>
  <c r="AF9" i="43" s="1"/>
  <c r="D18" i="41"/>
  <c r="F51" i="91"/>
  <c r="F59" i="91"/>
  <c r="AA15" i="81"/>
  <c r="F19" i="91"/>
  <c r="F43" i="91"/>
  <c r="AA13" i="81"/>
  <c r="L35" i="81"/>
  <c r="F91" i="91"/>
  <c r="AA17" i="81"/>
  <c r="F83" i="91"/>
  <c r="AA16" i="81"/>
  <c r="F11" i="91"/>
  <c r="F67" i="91"/>
  <c r="F75" i="91"/>
  <c r="D20" i="43"/>
  <c r="F35" i="91" l="1"/>
  <c r="M18" i="40"/>
  <c r="N13" i="40" s="1"/>
  <c r="G22" i="38" s="1"/>
  <c r="I22" i="38" s="1"/>
  <c r="E20" i="43"/>
  <c r="C25" i="38"/>
  <c r="P6" i="40"/>
  <c r="F25" i="38"/>
  <c r="D25" i="38"/>
  <c r="C17" i="40"/>
  <c r="P18" i="81"/>
  <c r="AA7" i="81"/>
  <c r="N11" i="40" l="1"/>
  <c r="G20" i="38" s="1"/>
  <c r="I20" i="38" s="1"/>
  <c r="N12" i="40"/>
  <c r="G21" i="38" s="1"/>
  <c r="I21" i="38" s="1"/>
  <c r="N15" i="40"/>
  <c r="G24" i="38" s="1"/>
  <c r="I24" i="38" s="1"/>
  <c r="N10" i="40"/>
  <c r="G19" i="38" s="1"/>
  <c r="I19" i="38" s="1"/>
  <c r="N9" i="40"/>
  <c r="G18" i="38" s="1"/>
  <c r="I18" i="38" s="1"/>
  <c r="N8" i="40"/>
  <c r="G17" i="38" s="1"/>
  <c r="I17" i="38" s="1"/>
  <c r="N5" i="40"/>
  <c r="G14" i="38" s="1"/>
  <c r="I14" i="38" s="1"/>
  <c r="F9" i="43" s="1"/>
  <c r="K9" i="43" s="1"/>
  <c r="N14" i="40"/>
  <c r="G23" i="38" s="1"/>
  <c r="I23" i="38" s="1"/>
  <c r="P13" i="40"/>
  <c r="P12" i="40" l="1"/>
  <c r="P11" i="40"/>
  <c r="P15" i="40"/>
  <c r="P10" i="40"/>
  <c r="P14" i="40"/>
  <c r="P9" i="40"/>
  <c r="N17" i="40"/>
  <c r="P5" i="40"/>
  <c r="P8" i="40"/>
  <c r="F19" i="43"/>
  <c r="N19" i="43" s="1"/>
  <c r="P34" i="81"/>
  <c r="G25" i="38"/>
  <c r="F16" i="43"/>
  <c r="P31" i="81"/>
  <c r="F17" i="43"/>
  <c r="N17" i="43" s="1"/>
  <c r="P32" i="81"/>
  <c r="F13" i="43"/>
  <c r="N13" i="43" s="1"/>
  <c r="P28" i="81"/>
  <c r="F10" i="43"/>
  <c r="P25" i="81"/>
  <c r="F12" i="43"/>
  <c r="N12" i="43" s="1"/>
  <c r="P27" i="81"/>
  <c r="F15" i="43"/>
  <c r="K15" i="43" s="1"/>
  <c r="P30" i="81"/>
  <c r="F18" i="43"/>
  <c r="N18" i="43" s="1"/>
  <c r="P33" i="81"/>
  <c r="F14" i="43"/>
  <c r="P29" i="81"/>
  <c r="P17" i="40" l="1"/>
  <c r="K14" i="43"/>
  <c r="N14" i="43"/>
  <c r="H13" i="43"/>
  <c r="K13" i="43"/>
  <c r="H10" i="43"/>
  <c r="K10" i="43"/>
  <c r="P46" i="81"/>
  <c r="R29" i="81"/>
  <c r="Q29" i="81"/>
  <c r="W29" i="81"/>
  <c r="Y29" i="81"/>
  <c r="U29" i="81"/>
  <c r="T29" i="81"/>
  <c r="V29" i="81"/>
  <c r="S29" i="81"/>
  <c r="X29" i="81"/>
  <c r="H14" i="43"/>
  <c r="H16" i="43"/>
  <c r="K16" i="43"/>
  <c r="K17" i="43"/>
  <c r="H17" i="43"/>
  <c r="P50" i="81"/>
  <c r="T33" i="81"/>
  <c r="S33" i="81"/>
  <c r="W33" i="81"/>
  <c r="U33" i="81"/>
  <c r="Y33" i="81"/>
  <c r="Q33" i="81"/>
  <c r="X33" i="81"/>
  <c r="R33" i="81"/>
  <c r="V33" i="81"/>
  <c r="H18" i="43"/>
  <c r="K18" i="43"/>
  <c r="P47" i="81"/>
  <c r="W30" i="81"/>
  <c r="X30" i="81"/>
  <c r="U30" i="81"/>
  <c r="V30" i="81"/>
  <c r="Y30" i="81"/>
  <c r="Q30" i="81"/>
  <c r="S30" i="81"/>
  <c r="R30" i="81"/>
  <c r="T30" i="81"/>
  <c r="I25" i="38"/>
  <c r="P24" i="81"/>
  <c r="P35" i="81" s="1"/>
  <c r="P44" i="81"/>
  <c r="S27" i="81"/>
  <c r="T27" i="81"/>
  <c r="W27" i="81"/>
  <c r="Q27" i="81"/>
  <c r="X27" i="81"/>
  <c r="Y27" i="81"/>
  <c r="V27" i="81"/>
  <c r="R27" i="81"/>
  <c r="U27" i="81"/>
  <c r="P51" i="81"/>
  <c r="U34" i="81"/>
  <c r="Y34" i="81"/>
  <c r="T34" i="81"/>
  <c r="S34" i="81"/>
  <c r="W34" i="81"/>
  <c r="V34" i="81"/>
  <c r="X34" i="81"/>
  <c r="Q34" i="81"/>
  <c r="R34" i="81"/>
  <c r="P45" i="81"/>
  <c r="X28" i="81"/>
  <c r="R28" i="81"/>
  <c r="T28" i="81"/>
  <c r="S28" i="81"/>
  <c r="Q28" i="81"/>
  <c r="U28" i="81"/>
  <c r="V28" i="81"/>
  <c r="W28" i="81"/>
  <c r="Y28" i="81"/>
  <c r="P49" i="81"/>
  <c r="W32" i="81"/>
  <c r="X32" i="81"/>
  <c r="Y32" i="81"/>
  <c r="R32" i="81"/>
  <c r="V32" i="81"/>
  <c r="S32" i="81"/>
  <c r="Q32" i="81"/>
  <c r="T32" i="81"/>
  <c r="U32" i="81"/>
  <c r="P48" i="81"/>
  <c r="V31" i="81"/>
  <c r="U31" i="81"/>
  <c r="Y31" i="81"/>
  <c r="X31" i="81"/>
  <c r="T31" i="81"/>
  <c r="Q31" i="81"/>
  <c r="R31" i="81"/>
  <c r="S31" i="81"/>
  <c r="W31" i="81"/>
  <c r="H15" i="43"/>
  <c r="K12" i="43"/>
  <c r="H12" i="43"/>
  <c r="P42" i="81"/>
  <c r="Y25" i="81"/>
  <c r="U25" i="81"/>
  <c r="W25" i="81"/>
  <c r="V25" i="81"/>
  <c r="Q25" i="81"/>
  <c r="R25" i="81"/>
  <c r="X25" i="81"/>
  <c r="T25" i="81"/>
  <c r="S25" i="81"/>
  <c r="H19" i="43"/>
  <c r="K19" i="43"/>
  <c r="F20" i="43" l="1"/>
  <c r="H9" i="43"/>
  <c r="N9" i="43"/>
  <c r="P41" i="81"/>
  <c r="U24" i="81"/>
  <c r="S24" i="81"/>
  <c r="W24" i="81"/>
  <c r="X24" i="81"/>
  <c r="Y24" i="81"/>
  <c r="T24" i="81"/>
  <c r="V24" i="81"/>
  <c r="Q24" i="81"/>
  <c r="R24" i="81"/>
  <c r="Y42" i="81"/>
  <c r="M68" i="91" s="1"/>
  <c r="W42" i="81"/>
  <c r="K68" i="91" s="1"/>
  <c r="T42" i="81"/>
  <c r="H69" i="91" s="1"/>
  <c r="R42" i="81"/>
  <c r="G69" i="91" s="1"/>
  <c r="X42" i="81"/>
  <c r="L68" i="91" s="1"/>
  <c r="V42" i="81"/>
  <c r="J68" i="91" s="1"/>
  <c r="Q42" i="81"/>
  <c r="G70" i="91" s="1"/>
  <c r="U42" i="81"/>
  <c r="I68" i="91" s="1"/>
  <c r="S42" i="81"/>
  <c r="H70" i="91" s="1"/>
  <c r="V46" i="81"/>
  <c r="J52" i="91" s="1"/>
  <c r="W46" i="81"/>
  <c r="K52" i="91" s="1"/>
  <c r="X46" i="81"/>
  <c r="L52" i="91" s="1"/>
  <c r="S46" i="81"/>
  <c r="H54" i="91" s="1"/>
  <c r="R46" i="81"/>
  <c r="G53" i="91" s="1"/>
  <c r="T46" i="81"/>
  <c r="H53" i="91" s="1"/>
  <c r="Q46" i="81"/>
  <c r="G54" i="91" s="1"/>
  <c r="Y46" i="81"/>
  <c r="M52" i="91" s="1"/>
  <c r="U46" i="81"/>
  <c r="I52" i="91" s="1"/>
  <c r="Y47" i="81"/>
  <c r="M36" i="91" s="1"/>
  <c r="Q47" i="81"/>
  <c r="G38" i="91" s="1"/>
  <c r="X47" i="81"/>
  <c r="L36" i="91" s="1"/>
  <c r="V47" i="81"/>
  <c r="J36" i="91" s="1"/>
  <c r="U47" i="81"/>
  <c r="I36" i="91" s="1"/>
  <c r="S47" i="81"/>
  <c r="H38" i="91" s="1"/>
  <c r="T47" i="81"/>
  <c r="H37" i="91" s="1"/>
  <c r="R47" i="81"/>
  <c r="G37" i="91" s="1"/>
  <c r="W47" i="81"/>
  <c r="K36" i="91" s="1"/>
  <c r="T51" i="81"/>
  <c r="H85" i="91" s="1"/>
  <c r="S51" i="81"/>
  <c r="H86" i="91" s="1"/>
  <c r="W51" i="81"/>
  <c r="K84" i="91" s="1"/>
  <c r="X51" i="81"/>
  <c r="L84" i="91" s="1"/>
  <c r="R51" i="81"/>
  <c r="G85" i="91" s="1"/>
  <c r="Y51" i="81"/>
  <c r="M84" i="91" s="1"/>
  <c r="U51" i="81"/>
  <c r="I84" i="91" s="1"/>
  <c r="V51" i="81"/>
  <c r="J84" i="91" s="1"/>
  <c r="Q51" i="81"/>
  <c r="G86" i="91" s="1"/>
  <c r="X50" i="81"/>
  <c r="L76" i="91" s="1"/>
  <c r="U50" i="81"/>
  <c r="I76" i="91" s="1"/>
  <c r="T50" i="81"/>
  <c r="H77" i="91" s="1"/>
  <c r="R50" i="81"/>
  <c r="G77" i="91" s="1"/>
  <c r="V50" i="81"/>
  <c r="J76" i="91" s="1"/>
  <c r="Y50" i="81"/>
  <c r="M76" i="91" s="1"/>
  <c r="Q50" i="81"/>
  <c r="G78" i="91" s="1"/>
  <c r="S50" i="81"/>
  <c r="H78" i="91" s="1"/>
  <c r="W50" i="81"/>
  <c r="K76" i="91" s="1"/>
  <c r="W49" i="81"/>
  <c r="K28" i="91" s="1"/>
  <c r="S49" i="81"/>
  <c r="H30" i="91" s="1"/>
  <c r="T49" i="81"/>
  <c r="H29" i="91" s="1"/>
  <c r="Y49" i="81"/>
  <c r="M28" i="91" s="1"/>
  <c r="U49" i="81"/>
  <c r="I28" i="91" s="1"/>
  <c r="R49" i="81"/>
  <c r="G29" i="91" s="1"/>
  <c r="Q49" i="81"/>
  <c r="G30" i="91" s="1"/>
  <c r="V49" i="81"/>
  <c r="J28" i="91" s="1"/>
  <c r="X49" i="81"/>
  <c r="L28" i="91" s="1"/>
  <c r="T48" i="81"/>
  <c r="H61" i="91" s="1"/>
  <c r="W48" i="81"/>
  <c r="K60" i="91" s="1"/>
  <c r="Y48" i="81"/>
  <c r="M60" i="91" s="1"/>
  <c r="V48" i="81"/>
  <c r="J60" i="91" s="1"/>
  <c r="Q48" i="81"/>
  <c r="G62" i="91" s="1"/>
  <c r="R48" i="81"/>
  <c r="G61" i="91" s="1"/>
  <c r="S48" i="81"/>
  <c r="H62" i="91" s="1"/>
  <c r="X48" i="81"/>
  <c r="L60" i="91" s="1"/>
  <c r="U48" i="81"/>
  <c r="I60" i="91" s="1"/>
  <c r="V45" i="81"/>
  <c r="J44" i="91" s="1"/>
  <c r="S45" i="81"/>
  <c r="H46" i="91" s="1"/>
  <c r="U45" i="81"/>
  <c r="I44" i="91" s="1"/>
  <c r="Q45" i="81"/>
  <c r="G46" i="91" s="1"/>
  <c r="X45" i="81"/>
  <c r="L44" i="91" s="1"/>
  <c r="W45" i="81"/>
  <c r="K44" i="91" s="1"/>
  <c r="R45" i="81"/>
  <c r="G45" i="91" s="1"/>
  <c r="T45" i="81"/>
  <c r="H45" i="91" s="1"/>
  <c r="Y45" i="81"/>
  <c r="M44" i="91" s="1"/>
  <c r="Y44" i="81"/>
  <c r="M20" i="91" s="1"/>
  <c r="T44" i="81"/>
  <c r="H21" i="91" s="1"/>
  <c r="W44" i="81"/>
  <c r="K20" i="91" s="1"/>
  <c r="V44" i="81"/>
  <c r="J20" i="91" s="1"/>
  <c r="S44" i="81"/>
  <c r="H22" i="91" s="1"/>
  <c r="U44" i="81"/>
  <c r="I20" i="91" s="1"/>
  <c r="R44" i="81"/>
  <c r="G21" i="91" s="1"/>
  <c r="X44" i="81"/>
  <c r="L20" i="91" s="1"/>
  <c r="Q44" i="81"/>
  <c r="G22" i="91" s="1"/>
  <c r="Z44" i="81" l="1"/>
  <c r="Z47" i="81"/>
  <c r="Z50" i="81"/>
  <c r="W41" i="81"/>
  <c r="K4" i="91" s="1"/>
  <c r="V41" i="81"/>
  <c r="J4" i="91" s="1"/>
  <c r="Q41" i="81"/>
  <c r="G6" i="91" s="1"/>
  <c r="X41" i="81"/>
  <c r="L4" i="91" s="1"/>
  <c r="T41" i="81"/>
  <c r="H5" i="91" s="1"/>
  <c r="U41" i="81"/>
  <c r="I4" i="91" s="1"/>
  <c r="S41" i="81"/>
  <c r="H6" i="91" s="1"/>
  <c r="Y41" i="81"/>
  <c r="M4" i="91" s="1"/>
  <c r="R41" i="81"/>
  <c r="G5" i="91" s="1"/>
  <c r="Z48" i="81"/>
  <c r="Z42" i="81"/>
  <c r="Z49" i="81"/>
  <c r="P52" i="81"/>
  <c r="U35" i="81"/>
  <c r="R35" i="81"/>
  <c r="Q35" i="81"/>
  <c r="S35" i="81"/>
  <c r="Y35" i="81"/>
  <c r="V35" i="81"/>
  <c r="X35" i="81"/>
  <c r="T35" i="81"/>
  <c r="W35" i="81"/>
  <c r="Z45" i="81"/>
  <c r="Z46" i="81"/>
  <c r="Z51" i="81"/>
  <c r="V52" i="81" l="1"/>
  <c r="Q52" i="81"/>
  <c r="X52" i="81"/>
  <c r="S52" i="81"/>
  <c r="U52" i="81"/>
  <c r="T52" i="81"/>
  <c r="Y52" i="81"/>
  <c r="W52" i="81"/>
  <c r="R52" i="81"/>
  <c r="Z41" i="81"/>
  <c r="Z52" i="8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<sst xmlns="http://schemas.openxmlformats.org/spreadsheetml/2006/main" count="7632" uniqueCount="319">
  <si>
    <t>Continuous river water quality monitoring</t>
  </si>
  <si>
    <t>Model code:</t>
  </si>
  <si>
    <t>PR24CA20</t>
  </si>
  <si>
    <t>Version number:</t>
  </si>
  <si>
    <t>File name:</t>
  </si>
  <si>
    <t>Date:</t>
  </si>
  <si>
    <t>For enquiries please contact:</t>
  </si>
  <si>
    <t>PR24@ofwat.gov.uk</t>
  </si>
  <si>
    <t>Contents:</t>
  </si>
  <si>
    <t>Tab name</t>
  </si>
  <si>
    <t>Description</t>
  </si>
  <si>
    <t>Cover</t>
  </si>
  <si>
    <t>Details of the file and the enhancement assessment approach</t>
  </si>
  <si>
    <t xml:space="preserve"> Conceptual model </t>
  </si>
  <si>
    <t xml:space="preserve"> Flow diagram of the high-level enhancement assessment process within models. </t>
  </si>
  <si>
    <t xml:space="preserve"> Inputs &gt; &gt; </t>
  </si>
  <si>
    <t xml:space="preserve"> Blank - section header </t>
  </si>
  <si>
    <t xml:space="preserve"> F_Inputs </t>
  </si>
  <si>
    <t xml:space="preserve"> Submitted business plan data import from central database </t>
  </si>
  <si>
    <t xml:space="preserve"> F_Inputs_adjusted </t>
  </si>
  <si>
    <t xml:space="preserve"> Re-organising of input data to take account of transitional / accelerated process expenditure and drivers, and including any reallocations between enhancement lines.  </t>
  </si>
  <si>
    <t xml:space="preserve"> Consolidated Input </t>
  </si>
  <si>
    <t xml:space="preserve"> Combined input data taking account of any other contributing data, where applicable (eg historical APR data) </t>
  </si>
  <si>
    <t xml:space="preserve">F_Input Override </t>
  </si>
  <si>
    <t xml:space="preserve"> Manual adjustments to requested data where not corrected in business plan data table resubmissions </t>
  </si>
  <si>
    <t xml:space="preserve"> Final Input </t>
  </si>
  <si>
    <t xml:space="preserve"> Final data used for the enhancement assessment </t>
  </si>
  <si>
    <t xml:space="preserve"> Data_final_model_format </t>
  </si>
  <si>
    <t xml:space="preserve"> Summary of the expenditure and associated drivers used during the assessment </t>
  </si>
  <si>
    <t>PR24_NETTOTEX_WASTE</t>
  </si>
  <si>
    <t xml:space="preserve"> Wastewater price control net Totex data import from central database used for materiality assessment. </t>
  </si>
  <si>
    <t xml:space="preserve"> Company level efficiencies </t>
  </si>
  <si>
    <t xml:space="preserve"> Wastewater price control company-level efficiency challenges  </t>
  </si>
  <si>
    <t xml:space="preserve"> Post Adj &amp; FS Allowances </t>
  </si>
  <si>
    <t xml:space="preserve"> Summary of imported, post-adjusted allowances per company per enhancement line per year</t>
  </si>
  <si>
    <t xml:space="preserve"> Analysis &gt; &gt; </t>
  </si>
  <si>
    <t xml:space="preserve"> Materiality and shallow dive </t>
  </si>
  <si>
    <t xml:space="preserve"> Initial assessment of the materiality of requested expenditure to inform the decision on the assessment approach </t>
  </si>
  <si>
    <t xml:space="preserve"> Modelled costs </t>
  </si>
  <si>
    <t xml:space="preserve"> Analysis undertaken to support a modelled assessment approach </t>
  </si>
  <si>
    <t xml:space="preserve"> Outputs &gt; &gt; </t>
  </si>
  <si>
    <t xml:space="preserve"> Allowance </t>
  </si>
  <si>
    <t xml:space="preserve"> Summary of our assessed allowances per company before other adjustments (eg frontier shift) </t>
  </si>
  <si>
    <t>Outputs to aggregator</t>
  </si>
  <si>
    <t>Summary of submitted and assessed costs profiled over the 2023-30 period (including transitional and accelerated process expenditure)</t>
  </si>
  <si>
    <t xml:space="preserve"> F-Outputs </t>
  </si>
  <si>
    <t xml:space="preserve"> Allowance data export to central database </t>
  </si>
  <si>
    <t>PCD</t>
  </si>
  <si>
    <t xml:space="preserve">Price control deliverable assessment and decision on PCD rate(s) for applicable companies </t>
  </si>
  <si>
    <t>DROPDOWN LISTS</t>
  </si>
  <si>
    <t>Data validation lists used throughout the file</t>
  </si>
  <si>
    <t>Error log</t>
  </si>
  <si>
    <t>Company</t>
  </si>
  <si>
    <t>Description of error</t>
  </si>
  <si>
    <t>Sheet(s) in current model</t>
  </si>
  <si>
    <t xml:space="preserve">Conceptual model </t>
  </si>
  <si>
    <t>End of sheet</t>
  </si>
  <si>
    <t>PR24-Enh-WW-CWQM</t>
  </si>
  <si>
    <t>Run on 05 Sep 2024 9:07</t>
  </si>
  <si>
    <t>Acronym</t>
  </si>
  <si>
    <t>Reference</t>
  </si>
  <si>
    <t>Item description</t>
  </si>
  <si>
    <t>Unit</t>
  </si>
  <si>
    <t>Model</t>
  </si>
  <si>
    <t>2023-24</t>
  </si>
  <si>
    <t>2024-25</t>
  </si>
  <si>
    <t>2025-26</t>
  </si>
  <si>
    <t>2026-27</t>
  </si>
  <si>
    <t>2027-28</t>
  </si>
  <si>
    <t>2028-29</t>
  </si>
  <si>
    <t>2029-30</t>
  </si>
  <si>
    <t>Constant</t>
  </si>
  <si>
    <t>Price Review 2024</t>
  </si>
  <si>
    <t>Run 11 - PR24 FD Data</t>
  </si>
  <si>
    <t>Latest</t>
  </si>
  <si>
    <t>ANH</t>
  </si>
  <si>
    <t>CWW3_007TOT_PR24</t>
  </si>
  <si>
    <t>EA/NRW environmental programme wastewater (WINEP/NEP) - Continuous river water quality monitoring (WINEP/NEP) wastewater capex - Total</t>
  </si>
  <si>
    <t>£m</t>
  </si>
  <si>
    <t/>
  </si>
  <si>
    <t>CWW3_008TOT_PR24</t>
  </si>
  <si>
    <t>EA/NRW environmental programme wastewater (WINEP/NEP) - Continuous river water quality monitoring (WINEP/NEP) wastewater opex - Total</t>
  </si>
  <si>
    <t>CWW3_009TOT_PR24</t>
  </si>
  <si>
    <t>EA/NRW environmental programme wastewater (WINEP/NEP) - Continuous river water quality monitoring (WINEP/NEP) wastewater totex - Total</t>
  </si>
  <si>
    <t>CWW20_049_PR24</t>
  </si>
  <si>
    <t>Network / Storm overflow data - Number of continuous water quality monitor installations</t>
  </si>
  <si>
    <t>nr</t>
  </si>
  <si>
    <t>CWW1A_015TOT_PR24</t>
  </si>
  <si>
    <t>Net totex - Total</t>
  </si>
  <si>
    <t>PR24 BP Net totex - Total inc. accelerated &amp; transition costs</t>
  </si>
  <si>
    <t>CWW12_007TOT_PR24</t>
  </si>
  <si>
    <t>CWW12_008TOT_PR24</t>
  </si>
  <si>
    <t>CWW12_009TOT_PR24</t>
  </si>
  <si>
    <t>CWW17_007TOT_PR24</t>
  </si>
  <si>
    <t>CWW17_008TOT_PR24</t>
  </si>
  <si>
    <t>CWW17_009TOT_PR24</t>
  </si>
  <si>
    <t>CWW20A_049_PR24</t>
  </si>
  <si>
    <t>WSH</t>
  </si>
  <si>
    <t>HDD</t>
  </si>
  <si>
    <t>NES</t>
  </si>
  <si>
    <t>SWB</t>
  </si>
  <si>
    <t>SVE</t>
  </si>
  <si>
    <t>SRN</t>
  </si>
  <si>
    <t>TMS</t>
  </si>
  <si>
    <t>NWT</t>
  </si>
  <si>
    <t>WSX</t>
  </si>
  <si>
    <t>YKY</t>
  </si>
  <si>
    <t>WW_CWQM_Run8</t>
  </si>
  <si>
    <t>Run on 07 Mar 2024 15:43</t>
  </si>
  <si>
    <t>BON code</t>
  </si>
  <si>
    <t>Item Description</t>
  </si>
  <si>
    <t>Total</t>
  </si>
  <si>
    <t>Commentary</t>
  </si>
  <si>
    <t>UUW's changes made in 24 10 04 OFW-REP-UU-062_UUWR_90_data_tables.xlsx</t>
  </si>
  <si>
    <t>Total Totex for Price control (£m) - wholesale wastewater</t>
  </si>
  <si>
    <t>Totex as received (£m)</t>
  </si>
  <si>
    <t>Totex assessed in cost assessment (£m)</t>
  </si>
  <si>
    <t>PR24_NETTOTEX_WASTE_Run8</t>
  </si>
  <si>
    <t>Run on 05 Sep 2024 8:57</t>
  </si>
  <si>
    <t>Shallow Dive Output</t>
  </si>
  <si>
    <t>Run on 05 Nov 2024 16:01</t>
  </si>
  <si>
    <t>Company Acronym</t>
  </si>
  <si>
    <t>Item Code</t>
  </si>
  <si>
    <t>Item Unit</t>
  </si>
  <si>
    <t>Item Table Suite</t>
  </si>
  <si>
    <t>Price Review</t>
  </si>
  <si>
    <t>C_PR24ENHWW_SHALLOW_EFF</t>
  </si>
  <si>
    <t>Shallow dive company efficiency factor - enhancement - wastewater</t>
  </si>
  <si>
    <t>%</t>
  </si>
  <si>
    <t>Report ID: 25753</t>
  </si>
  <si>
    <t>PR24CA14 WW Post FS incl. DM and excl. Cont</t>
  </si>
  <si>
    <t>Run on 21 Nov 2024 13:37</t>
  </si>
  <si>
    <t>PR24CA14_WW_TOTAL_ENHANCEMENT_ALLOW_TOT</t>
  </si>
  <si>
    <t>PR24 final wastewater enhancement totex allowance- total enhancement expenditure</t>
  </si>
  <si>
    <t>PR24CA14_WW_EDM_ALLOW_TOT</t>
  </si>
  <si>
    <t>PR24 final wastewater enhancement totex allowances - WINEP/NEP - Event duration monitoring at intermittent discharges expenditure</t>
  </si>
  <si>
    <t>PR24CA14_WW_FLOW_MONITORING_ALLOW_TOT</t>
  </si>
  <si>
    <t>PR24 final wastewater enhancement totex allowances - WINEP/NEP - Flow monitoring at sewage treatment works expenditure</t>
  </si>
  <si>
    <t>PR24CA14_WW_CWQM_ALLOW_TOT</t>
  </si>
  <si>
    <t>PR24 final wastewater enhancement totex allowances - WINEP/NEP - Continuous river water quality monitoring expenditure</t>
  </si>
  <si>
    <t>PR24CA14_WW_MCERTS_ALLOW_TOT</t>
  </si>
  <si>
    <t>PR24 final wastewater enhancement totex allowances - WINEP/NEP - MCERTs monitoring at emergency sewage pumping station overflows expenditure</t>
  </si>
  <si>
    <t>PR24CA14_WW_FFT_ALLOW_TOT</t>
  </si>
  <si>
    <t>PR24 final wastewater enhancement totex allowances - WINEP/NEP - Increase flow to full treatment expenditure</t>
  </si>
  <si>
    <t>PR24CA14_WW_CSO_ALLOW_TOT</t>
  </si>
  <si>
    <t>PR24 final wastewater enhancement totex allowances - WINEP/NEP - combined storm overflow expenditure</t>
  </si>
  <si>
    <t>PR24CA14_WW_CHEMICAL_REMOVAL_ALLOW_TOT</t>
  </si>
  <si>
    <t>PR24 final wastewater enhancement totex allowances - WINEP/NEP - Treatment for chemical removal expenditure</t>
  </si>
  <si>
    <t>PR24CA14_WW_CHEMICAL_INV_ALLOW_TOT</t>
  </si>
  <si>
    <t>PR24 final wastewater enhancement totex allowances - WINEP/NEP - Chemicals and emerging contaminants monitoring, investigations, options appraisals expenditure</t>
  </si>
  <si>
    <t>PR24CA14_WW_N_REMOVAL_ALLOW_TOT</t>
  </si>
  <si>
    <t>PR24 final wastewater enhancement totex allowances - WINEP/NEP - Treatment for total nitrogen removal expenditure</t>
  </si>
  <si>
    <t>PR24CA14_WW_NTAL_ALLOW_TOT</t>
  </si>
  <si>
    <t>PR24 final wastewater enhancement totex allowances - WINEP/NEP - Nitrogen technically achievable limit monitoring, investigation or options appraisal expenditure</t>
  </si>
  <si>
    <t>PR24CA14_WW_P_REMOVAL_ALLOW_TOT</t>
  </si>
  <si>
    <t>PR24 final wastewater enhancement totex allowances - WINEP/NEP - Treatment for phosphorus removal expenditure</t>
  </si>
  <si>
    <t>PR24CA14_WW_NUT_SAN_DETS_ALLOW_TOT</t>
  </si>
  <si>
    <t>PR24 final wastewater enhancement totex allowances - WINEP/NEP - Treatment for nutrients (N or P) and / or sanitary determinands, nature based solution expenditure</t>
  </si>
  <si>
    <t>PR24CA14_WW_SANITARY_PARAM_ALLOW_TOT</t>
  </si>
  <si>
    <t>PR24 final wastewater enhancement totex allowances - WINEP/NEP - Treatment for tightening of sanitary parameters expenditure</t>
  </si>
  <si>
    <t>PR24CA14_WW_CHEM_SOURCE_CON_ALLOW_TOT</t>
  </si>
  <si>
    <t>PR24 final wastewater enhancement totex allowances - WINEP/NEP - Catchment management - chemicals source control expenditure</t>
  </si>
  <si>
    <t>PR24CA14_WW_NUT_BALANCING_ALLOW_TOT</t>
  </si>
  <si>
    <t>PR24 final wastewater enhancement totex allowances - WINEP/NEP - Catchment management - nutrient balancing expenditure</t>
  </si>
  <si>
    <t>PR24CA14_WW_CATCHMENT_PERMIT_ALLOW_TOT</t>
  </si>
  <si>
    <t>PR24 final wastewater enhancement totex allowances - WINEP/NEP - Catchment management - catchment permitting expenditure</t>
  </si>
  <si>
    <t>PR24CA14_WW_HABITAT_REST_ALLOW_TOT</t>
  </si>
  <si>
    <t>PR24 final wastewater enhancement totex allowances - WINEP/NEP - Catchment management - habitat restoration expenditure</t>
  </si>
  <si>
    <t>PR24CA14_WW_MICRO_TREATMENT_ALLOW_TOT</t>
  </si>
  <si>
    <t>PR24 final wastewater enhancement totex allowances - WINEP/NEP - Microbiological treatment - bathing waters, coastal and inland expenditure</t>
  </si>
  <si>
    <t>PR24CA14_WW_SEPTIC_TANK_ALLOW_TOT</t>
  </si>
  <si>
    <t>PR24 final wastewater enhancement totex allowances - WINEP/NEP - Septic tank expenditure</t>
  </si>
  <si>
    <t>PR24CA14_WW_FISH_SCREENS_ALLOW_TOT</t>
  </si>
  <si>
    <t>PR24 final wastewater enhancement totex allowances - WINEP/NEP - Fish outfall screens expenditure</t>
  </si>
  <si>
    <t>PR24CA14_WW_25YR_EP_ALLOW_TOT</t>
  </si>
  <si>
    <t>PR24 final wastewater enhancement totex allowances - WINEP/NEP - 25 year environment plan expenditure</t>
  </si>
  <si>
    <t>PR24CA14_WW_INVESTIGATIONS_ALLOW_TOT</t>
  </si>
  <si>
    <t>PR24 final wastewater enhancement totex allowances - WINEP/NEP - Investigations expenditure</t>
  </si>
  <si>
    <t>PR24CA14_WW_THIRD_PARTY_ALLOW_TOT</t>
  </si>
  <si>
    <t>PR24 final wastewater enhancement totex allowances - WINEP/NEP - Contribution to third party schemes under WINEP/NEP only (not covered elsewhere) expenditure</t>
  </si>
  <si>
    <t>PR24CA14_WW_RIVER_CONNECT_ALLOW_TOT</t>
  </si>
  <si>
    <t>PR24 final wastewater enhancement totex allowances - WINEP/NEP - River connectivity (e.g. for fish passage) expenditure</t>
  </si>
  <si>
    <t>PR24CA14_WW_REST_MANAGEMENT_ALLOW_TOT</t>
  </si>
  <si>
    <t>PR24 final wastewater enhancement totex allowances - WINEP/NEP - Restoration management (marine conservation zones etc) expenditure</t>
  </si>
  <si>
    <t>PR24CA14_WW_ACCESS_AMENITY_ALLOW_TOT</t>
  </si>
  <si>
    <t>PR24 final wastewater enhancement totex allowances - WINEP/NEP - Access and amenity for WINEP/NEP only (not covered elsewhere) expenditure</t>
  </si>
  <si>
    <t>PR24CA14_WW_ADVANCED_WINEP_ALLOW_TOT</t>
  </si>
  <si>
    <t>PR24 final wastewater enhancement totex allowances - WINEP/NEP - Advanced WINEP (not covered elsewhere) expenditure</t>
  </si>
  <si>
    <t>PR24CA14_WW_SLUDGE_TANK_ALLOW_TOT</t>
  </si>
  <si>
    <t>PR24 final wastewater enhancement totex allowances - WINEP/NEP - Sludge storage -Tanks expenditure</t>
  </si>
  <si>
    <t>PR24CA14_WW_SLUDGE_CAKE_ALLOW_TOT</t>
  </si>
  <si>
    <t>PR24 final wastewater enhancement totex allowances - WINEP/NEP - Sludge storage - Cake expenditure</t>
  </si>
  <si>
    <t>PR24CA14_WW_SLUDGE_ANAEROBIC_ALLOW_TOT</t>
  </si>
  <si>
    <t>PR24 final wastewater enhancement totex allowances - WINEP/NEP - Sludge treatment - Anaerobic digestion and/or advanced anaerobic digestion expenditure</t>
  </si>
  <si>
    <t>PR24CA14_WW_SLUDGE_THICKENING_ALLOW_TOT</t>
  </si>
  <si>
    <t>PR24 final wastewater enhancement totex allowances - WINEP/NEP - Sludge treatment - Thickening and/or dewatering expenditure</t>
  </si>
  <si>
    <t>PR24CA14_WW_SLUDGE_OTHER_ALLOW_TOT</t>
  </si>
  <si>
    <t>PR24 final wastewater enhancement totex allowances - WINEP/NEP - Sludge treatment -Other expenditure</t>
  </si>
  <si>
    <t>PR24CA14_WW_SLUDGE_INV_ALLOW_TOT</t>
  </si>
  <si>
    <t>PR24 final wastewater enhancement totex allowances - WINEP/NEP - Sludge investigations and monitoring (NEP only) expenditure</t>
  </si>
  <si>
    <t>PR24CA14_WW_GROWTH_STW_ALLOW_TOT</t>
  </si>
  <si>
    <t>PR24 final wastewater enhancement totex allowances - Growth at sewage treatment works (excluding sludge treatment) expenditure</t>
  </si>
  <si>
    <t>PR24CA14_WW_FIRSTTIME_SEWERAGE_ALLOW_TOT</t>
  </si>
  <si>
    <t>PR24 final wastewater enhancement totex allowances - First time sewerage expenditure</t>
  </si>
  <si>
    <t>PR24CA14_WW_ODOUR_NUISANCE_ALLOW_TOT</t>
  </si>
  <si>
    <t>PR24 final wastewater enhancement totex allowances - Odour and other nuisance expenditure</t>
  </si>
  <si>
    <t>PR24CA14_WW_RESILIENCE_ALLOW_TOT</t>
  </si>
  <si>
    <t>PR24 final wastewater enhancement totex allowances - Resilience expenditure</t>
  </si>
  <si>
    <t>PR24CA14_WW_SEMD_ALLOW_TOT</t>
  </si>
  <si>
    <t>PR24 final wastewater enhancement totex allowances - Security - SEMD expenditure</t>
  </si>
  <si>
    <t>PR24CA14_WW_CYBER_ALLOW_TOT</t>
  </si>
  <si>
    <t>PR24 final wastewater enhancement totex allowances - Security - cyber expenditure</t>
  </si>
  <si>
    <t>PR24CA14_WW_NET_ZERO_ALLOW_TOT</t>
  </si>
  <si>
    <t>PR24 final wastewater enhancement totex allowances - Greenhouse gas reduction (net zero) expenditure</t>
  </si>
  <si>
    <t>PR24CA14_WW_FREEFORM_ALLOW_TOT</t>
  </si>
  <si>
    <t>PR24 final wastewater enhancement totex allowances - Freeform lines expenditure</t>
  </si>
  <si>
    <t>PR24CA14_WW_IED_ALLOW_TOT</t>
  </si>
  <si>
    <t>PR24 final wastewater enhancement totex allowances - Industrial Emissions Directive (IED) expenditure</t>
  </si>
  <si>
    <t>AFW</t>
  </si>
  <si>
    <t>BRL</t>
  </si>
  <si>
    <t>PRT</t>
  </si>
  <si>
    <t>SEW</t>
  </si>
  <si>
    <t>SSC</t>
  </si>
  <si>
    <t>SES</t>
  </si>
  <si>
    <t>Totex requested in business plan - as submitted (£m)</t>
  </si>
  <si>
    <t>Totex requested in business plan after reallocations and adjustments (£m)</t>
  </si>
  <si>
    <t>Materiality (%)</t>
  </si>
  <si>
    <t>Type of assessment</t>
  </si>
  <si>
    <t xml:space="preserve">Efficiency factor  </t>
  </si>
  <si>
    <t>Shallow dive output</t>
  </si>
  <si>
    <t xml:space="preserve">Justification </t>
  </si>
  <si>
    <t>Modelled benchmarking</t>
  </si>
  <si>
    <t>Modelled approach</t>
  </si>
  <si>
    <t>shallow dive</t>
  </si>
  <si>
    <t xml:space="preserve">WSH has a different legislative requirement than English companies. Its is below the materiality threshold so we accept a shallow dive. </t>
  </si>
  <si>
    <t>No expenditure</t>
  </si>
  <si>
    <t>Although materiality is below 0.5% threshold, we will first consider modelled benchmarking</t>
  </si>
  <si>
    <t>Driver 1 data - No. of monitors</t>
  </si>
  <si>
    <t>Unit cost</t>
  </si>
  <si>
    <t>Allowance (based on median unit cost excl. WSH)</t>
  </si>
  <si>
    <t>Shallow dive allowance (£m)</t>
  </si>
  <si>
    <t>Difference between totex assessed and allowance</t>
  </si>
  <si>
    <t>Median</t>
  </si>
  <si>
    <t xml:space="preserve">Summary of allowed costs </t>
  </si>
  <si>
    <t>BoN code(s)</t>
  </si>
  <si>
    <t>Enhancement line</t>
  </si>
  <si>
    <t>Cost allowance for 2025-2030 (£m in 2022-23 prices)</t>
  </si>
  <si>
    <t>Totex requested in business plan (£m) - as submitted</t>
  </si>
  <si>
    <t>Net totex reallocated in/out</t>
  </si>
  <si>
    <t xml:space="preserve">Shallow dive allowance </t>
  </si>
  <si>
    <t>Modelled allowance</t>
  </si>
  <si>
    <t xml:space="preserve">Deep dive allowance </t>
  </si>
  <si>
    <t>Totex allowed - wholesale wastewater</t>
  </si>
  <si>
    <t>Summary of submitted and assessed costs</t>
  </si>
  <si>
    <t>As submitted</t>
  </si>
  <si>
    <t>As assessed</t>
  </si>
  <si>
    <t>2023/2024 - transition exp</t>
  </si>
  <si>
    <t>2023/2024 - accelerated prog</t>
  </si>
  <si>
    <t>2024/2025 - transition exp</t>
  </si>
  <si>
    <t>2024/2025 - accelerated prog</t>
  </si>
  <si>
    <t>2025/2026</t>
  </si>
  <si>
    <t>2026/2027</t>
  </si>
  <si>
    <t>2027/2028</t>
  </si>
  <si>
    <t>2028/2029</t>
  </si>
  <si>
    <t>2029/2030</t>
  </si>
  <si>
    <t>Totex in business plan - wholesale wastewater</t>
  </si>
  <si>
    <t>Check</t>
  </si>
  <si>
    <t>Summary of allowances based on temporal profiling of submitted costs - for company level allowances</t>
  </si>
  <si>
    <t>Temporal profiling</t>
  </si>
  <si>
    <t>Allowances</t>
  </si>
  <si>
    <t>Total allowances</t>
  </si>
  <si>
    <t>no cost</t>
  </si>
  <si>
    <t>Summary of allowances based on ad-hoc profiling - for scheme based allowances</t>
  </si>
  <si>
    <t>Input costs (in £m per year) for scheme(s) that are to be excluded from allowances</t>
  </si>
  <si>
    <t>Allowances based on ad-hoc profiling</t>
  </si>
  <si>
    <t>Comment</t>
  </si>
  <si>
    <t>Checks</t>
  </si>
  <si>
    <t>Total enhancement allowance - Wastewater - CWQM - Totex</t>
  </si>
  <si>
    <t>Total enhancement allowance - Wastewater - CWQM - Accelerated programme</t>
  </si>
  <si>
    <t>Total enhancement allowance - Wastewater - CWQM - Transition allowance</t>
  </si>
  <si>
    <t>Text</t>
  </si>
  <si>
    <t>PCD needed?</t>
  </si>
  <si>
    <t>PCD output</t>
  </si>
  <si>
    <t>Proposed PCD payment rate</t>
  </si>
  <si>
    <t>Requested totex</t>
  </si>
  <si>
    <t>Allowed totex (pre-FS)</t>
  </si>
  <si>
    <t>Number of monitor installations</t>
  </si>
  <si>
    <t>Overall unit cost</t>
  </si>
  <si>
    <t>Relevant totex for materiality test</t>
  </si>
  <si>
    <t>Requested totex as a % of total totex</t>
  </si>
  <si>
    <t>Allowed totex as a % of total totex</t>
  </si>
  <si>
    <t>Materiality test passed?</t>
  </si>
  <si>
    <t>Allowed totex covered by PCD  (post adjustment &amp; frontier shift)</t>
  </si>
  <si>
    <t>Allowed totex covered by PCD as % of Allowed totex</t>
  </si>
  <si>
    <t>Non-delivery PCD needed?</t>
  </si>
  <si>
    <t>Late delivery PCD needed?</t>
  </si>
  <si>
    <t>PCD decision summary</t>
  </si>
  <si>
    <t>2030-31</t>
  </si>
  <si>
    <t>2031-32</t>
  </si>
  <si>
    <t>2032-33</t>
  </si>
  <si>
    <t>2033-34</t>
  </si>
  <si>
    <t>2034-35</t>
  </si>
  <si>
    <t>y</t>
  </si>
  <si>
    <t>n</t>
  </si>
  <si>
    <t xml:space="preserve"> - </t>
  </si>
  <si>
    <t>Companies</t>
  </si>
  <si>
    <t>Assessment type</t>
  </si>
  <si>
    <t>WASC</t>
  </si>
  <si>
    <t>Shallow dive</t>
  </si>
  <si>
    <t>Deep dive</t>
  </si>
  <si>
    <t>Mixed</t>
  </si>
  <si>
    <t>WOC</t>
  </si>
  <si>
    <t>Deep dive analysis decisions</t>
  </si>
  <si>
    <t>Pass</t>
  </si>
  <si>
    <t>Partial pass</t>
  </si>
  <si>
    <t>Fail</t>
  </si>
  <si>
    <t>Minor concerns</t>
  </si>
  <si>
    <t>Some concerns</t>
  </si>
  <si>
    <t>Significant concerns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</si>
</sst>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_);\(#,##0\);&quot;-  &quot;;&quot; &quot;@&quot; &quot;"/>
    <numFmt numFmtId="165" formatCode="_(* #,##0.0_);_(* \(#,##0.0\);_(* &quot;-&quot;??_);_(@_)"/>
    <numFmt numFmtId="166" formatCode="#,##0_);\(#,##0\);&quot;-  &quot;;&quot; &quot;@"/>
    <numFmt numFmtId="167" formatCode="dd\ mmm\ yyyy_);;&quot;-  &quot;;&quot; &quot;@&quot; &quot;"/>
    <numFmt numFmtId="168" formatCode="dd\ mmm\ yy_);;&quot;-  &quot;;&quot; &quot;@&quot; &quot;"/>
    <numFmt numFmtId="169" formatCode="#,##0.0000_);\(#,##0.0000\);&quot;-  &quot;;&quot; &quot;@&quot; &quot;"/>
    <numFmt numFmtId="170" formatCode="0.000"/>
    <numFmt numFmtId="171" formatCode="#,##0.000"/>
    <numFmt numFmtId="172" formatCode="0.0"/>
    <numFmt numFmtId="173" formatCode="0.0%"/>
    <numFmt numFmtId="174" formatCode="0.00000"/>
    <numFmt numFmtId="175" formatCode="0.000%"/>
    <numFmt numFmtId="176" formatCode="#,##0.0_);\(#,##0.0\);&quot;-  &quot;;&quot; &quot;@&quot; &quot;"/>
    <numFmt numFmtId="177" formatCode="###0_);\(###0\);&quot;-  &quot;;&quot; &quot;@&quot; &quot;"/>
    <numFmt numFmtId="178" formatCode="mmmm\ yyyy;@"/>
    <numFmt numFmtId="179" formatCode="_(* #,##0.00_);_(* \(#,##0.00\);_(* &quot;-&quot;??_);_(@_)"/>
    <numFmt numFmtId="180" formatCode="0.0000"/>
    <numFmt numFmtId="181" formatCode="#,##0.00000"/>
  </numFmts>
  <fonts count="79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Krub SemiBold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6"/>
      <color rgb="FF002664"/>
      <name val="Arial Rounded MT Bold"/>
      <family val="2"/>
    </font>
    <font>
      <sz val="14"/>
      <color rgb="FF002664"/>
      <name val="Arial Rounded MT Bold"/>
      <family val="2"/>
    </font>
    <font>
      <sz val="12"/>
      <color rgb="FF002664"/>
      <name val="Arial Rounded MT Bold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i/>
      <sz val="10"/>
      <color rgb="FF00B050"/>
      <name val="Arial"/>
      <family val="2"/>
    </font>
    <font>
      <sz val="11"/>
      <color theme="1"/>
      <name val="Arial"/>
      <family val="2"/>
    </font>
    <font>
      <sz val="24"/>
      <color theme="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i/>
      <sz val="10"/>
      <color rgb="FF7F7F7F"/>
      <name val="Calibri"/>
      <family val="2"/>
    </font>
    <font>
      <b/>
      <sz val="10"/>
      <name val="Calibri"/>
      <family val="2"/>
    </font>
    <font>
      <b/>
      <sz val="14"/>
      <color theme="0"/>
      <name val="Calibri"/>
      <family val="2"/>
    </font>
    <font>
      <sz val="10"/>
      <color rgb="FF002060"/>
      <name val="Calibri"/>
      <family val="2"/>
    </font>
    <font>
      <b/>
      <u/>
      <sz val="11"/>
      <name val="Calibri"/>
      <family val="2"/>
    </font>
    <font>
      <b/>
      <sz val="11"/>
      <name val="Calibri"/>
      <family val="2"/>
    </font>
    <font>
      <b/>
      <sz val="10"/>
      <color theme="1"/>
      <name val="Krub"/>
      <scheme val="minor"/>
    </font>
    <font>
      <sz val="11"/>
      <color rgb="FF000000"/>
      <name val="Gill Sans MT"/>
      <family val="2"/>
    </font>
    <font>
      <sz val="8"/>
      <name val="Arial"/>
      <family val="2"/>
    </font>
    <font>
      <b/>
      <i/>
      <u/>
      <sz val="10"/>
      <color rgb="FF000000"/>
      <name val="Calibri"/>
      <family val="2"/>
    </font>
    <font>
      <u/>
      <sz val="11"/>
      <color theme="10"/>
      <name val="Arial"/>
      <family val="2"/>
    </font>
    <font>
      <sz val="11"/>
      <color theme="1"/>
      <name val="Krub"/>
      <family val="2"/>
      <scheme val="minor"/>
    </font>
    <font>
      <sz val="11"/>
      <color indexed="8"/>
      <name val="Krub"/>
      <family val="2"/>
      <scheme val="minor"/>
    </font>
    <font>
      <sz val="10"/>
      <color rgb="FF000000"/>
      <name val="Krub"/>
    </font>
    <font>
      <u/>
      <sz val="10"/>
      <color theme="10"/>
      <name val="Arial"/>
      <family val="2"/>
    </font>
    <font>
      <sz val="8"/>
      <color theme="1"/>
      <name val="Tahoma"/>
      <family val="2"/>
    </font>
    <font>
      <sz val="24"/>
      <color theme="0"/>
      <name val="Krub"/>
      <scheme val="minor"/>
    </font>
    <font>
      <sz val="10"/>
      <name val="Krub"/>
      <scheme val="minor"/>
    </font>
    <font>
      <u/>
      <sz val="8"/>
      <color theme="10"/>
      <name val="Tahoma"/>
      <family val="2"/>
    </font>
    <font>
      <sz val="10"/>
      <color theme="1"/>
      <name val="Krub"/>
      <scheme val="minor"/>
    </font>
    <font>
      <b/>
      <sz val="10"/>
      <name val="Krub"/>
      <scheme val="minor"/>
    </font>
    <font>
      <b/>
      <sz val="10"/>
      <color rgb="FF0071CE"/>
      <name val="Calibri"/>
      <family val="2"/>
    </font>
    <font>
      <b/>
      <sz val="10"/>
      <color indexed="8"/>
      <name val="Krub"/>
      <scheme val="minor"/>
    </font>
    <font>
      <sz val="10"/>
      <color indexed="8"/>
      <name val="Krub"/>
      <scheme val="minor"/>
    </font>
    <font>
      <sz val="10"/>
      <color indexed="9"/>
      <name val="Krub"/>
      <scheme val="minor"/>
    </font>
    <font>
      <sz val="11"/>
      <color rgb="FF000000"/>
      <name val="Aptos Narrow"/>
      <family val="2"/>
    </font>
    <font>
      <b/>
      <sz val="10"/>
      <color rgb="FF000000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0"/>
      <color theme="1"/>
      <name val="Calibri"/>
      <family val="2"/>
    </font>
    <font>
      <b/>
      <u/>
      <sz val="10"/>
      <color theme="1"/>
      <name val="Calibri"/>
      <family val="2"/>
    </font>
    <font>
      <sz val="10"/>
      <color rgb="FFFF0000"/>
      <name val="Calibri"/>
      <family val="2"/>
    </font>
    <font>
      <b/>
      <u/>
      <sz val="10"/>
      <color rgb="FFFF0000"/>
      <name val="Calibri"/>
      <family val="2"/>
    </font>
    <font>
      <sz val="11"/>
      <color rgb="FF000000"/>
      <name val="Arial"/>
      <family val="2"/>
    </font>
    <font>
      <sz val="18"/>
      <name val="Calibri"/>
      <family val="2"/>
    </font>
    <font>
      <b/>
      <sz val="18"/>
      <name val="Calibri"/>
      <family val="2"/>
    </font>
    <font>
      <u/>
      <sz val="8"/>
      <color theme="10"/>
      <name val="Calibri"/>
      <family val="2"/>
    </font>
    <font>
      <sz val="11"/>
      <name val="Calibri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664"/>
        <bgColor indexed="64"/>
      </patternFill>
    </fill>
    <fill>
      <patternFill patternType="solid">
        <fgColor rgb="FF4B92DB"/>
        <bgColor indexed="64"/>
      </patternFill>
    </fill>
    <fill>
      <patternFill patternType="solid">
        <fgColor rgb="FFADA07A"/>
        <bgColor indexed="64"/>
      </patternFill>
    </fill>
    <fill>
      <patternFill patternType="solid">
        <fgColor rgb="FFF0AB00"/>
        <bgColor indexed="64"/>
      </patternFill>
    </fill>
    <fill>
      <patternFill patternType="solid">
        <fgColor rgb="FF007EA3"/>
        <bgColor indexed="64"/>
      </patternFill>
    </fill>
    <fill>
      <patternFill patternType="solid">
        <fgColor rgb="FFA8B400"/>
        <bgColor indexed="64"/>
      </patternFill>
    </fill>
    <fill>
      <patternFill patternType="solid">
        <fgColor rgb="FF240078"/>
        <bgColor indexed="64"/>
      </patternFill>
    </fill>
    <fill>
      <patternFill patternType="solid">
        <fgColor rgb="FFEA3BAE"/>
        <bgColor indexed="64"/>
      </patternFill>
    </fill>
    <fill>
      <patternFill patternType="solid">
        <fgColor rgb="FFDD3D2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E0"/>
        <bgColor rgb="FF000000"/>
      </patternFill>
    </fill>
    <fill>
      <patternFill patternType="solid">
        <fgColor rgb="FF00359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rgb="FF000000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07">
    <xf numFmtId="0" fontId="0" fillId="0" borderId="0"/>
    <xf numFmtId="43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8" fillId="45" borderId="0" applyNumberFormat="0" applyBorder="0" applyAlignment="0" applyProtection="0"/>
    <xf numFmtId="0" fontId="6" fillId="8" borderId="8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165" fontId="6" fillId="42" borderId="0" applyNumberFormat="0" applyFont="0" applyBorder="0" applyAlignment="0" applyProtection="0"/>
    <xf numFmtId="0" fontId="6" fillId="43" borderId="0" applyNumberFormat="0" applyFont="0" applyBorder="0" applyAlignment="0" applyProtection="0"/>
    <xf numFmtId="166" fontId="28" fillId="0" borderId="0" applyNumberFormat="0" applyProtection="0">
      <alignment vertical="top"/>
    </xf>
    <xf numFmtId="166" fontId="29" fillId="0" borderId="0" applyNumberFormat="0" applyProtection="0">
      <alignment vertical="top"/>
    </xf>
    <xf numFmtId="166" fontId="22" fillId="44" borderId="0" applyNumberFormat="0" applyProtection="0">
      <alignment vertical="top"/>
    </xf>
    <xf numFmtId="9" fontId="6" fillId="0" borderId="0" applyFont="0" applyFill="0" applyBorder="0" applyAlignment="0" applyProtection="0"/>
    <xf numFmtId="0" fontId="30" fillId="0" borderId="0" applyNumberFormat="0" applyFill="0" applyBorder="0" applyProtection="0">
      <alignment vertical="top"/>
    </xf>
    <xf numFmtId="167" fontId="22" fillId="0" borderId="0" applyFont="0" applyFill="0" applyBorder="0" applyProtection="0">
      <alignment vertical="top"/>
    </xf>
    <xf numFmtId="168" fontId="22" fillId="0" borderId="0" applyFont="0" applyFill="0" applyBorder="0" applyProtection="0">
      <alignment vertical="top"/>
    </xf>
    <xf numFmtId="169" fontId="22" fillId="0" borderId="0" applyFont="0" applyFill="0" applyBorder="0" applyProtection="0">
      <alignment vertical="top"/>
    </xf>
    <xf numFmtId="0" fontId="23" fillId="0" borderId="0"/>
    <xf numFmtId="0" fontId="24" fillId="0" borderId="0"/>
    <xf numFmtId="0" fontId="25" fillId="0" borderId="0"/>
    <xf numFmtId="168" fontId="26" fillId="0" borderId="0" applyNumberFormat="0" applyFill="0" applyBorder="0" applyProtection="0">
      <alignment vertical="top"/>
    </xf>
    <xf numFmtId="0" fontId="27" fillId="0" borderId="0" applyNumberFormat="0" applyFill="0" applyBorder="0" applyProtection="0">
      <alignment vertical="top"/>
    </xf>
    <xf numFmtId="0" fontId="22" fillId="0" borderId="0" applyNumberFormat="0" applyFill="0" applyBorder="0" applyProtection="0">
      <alignment horizontal="right" vertical="top"/>
    </xf>
    <xf numFmtId="0" fontId="22" fillId="0" borderId="0"/>
    <xf numFmtId="0" fontId="31" fillId="0" borderId="0"/>
    <xf numFmtId="0" fontId="5" fillId="0" borderId="0"/>
    <xf numFmtId="0" fontId="50" fillId="0" borderId="0" applyNumberFormat="0" applyFill="0" applyBorder="0" applyAlignment="0" applyProtection="0"/>
    <xf numFmtId="0" fontId="52" fillId="0" borderId="0"/>
    <xf numFmtId="0" fontId="51" fillId="0" borderId="0"/>
    <xf numFmtId="0" fontId="54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4" fillId="0" borderId="0"/>
    <xf numFmtId="0" fontId="4" fillId="0" borderId="0"/>
    <xf numFmtId="0" fontId="22" fillId="0" borderId="0"/>
    <xf numFmtId="0" fontId="3" fillId="0" borderId="0"/>
    <xf numFmtId="0" fontId="52" fillId="0" borderId="0"/>
    <xf numFmtId="0" fontId="51" fillId="0" borderId="0"/>
    <xf numFmtId="0" fontId="3" fillId="0" borderId="0"/>
    <xf numFmtId="43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3" fillId="0" borderId="0"/>
    <xf numFmtId="164" fontId="3" fillId="0" borderId="0" applyFont="0" applyFill="0" applyBorder="0" applyProtection="0">
      <alignment vertical="top"/>
    </xf>
    <xf numFmtId="0" fontId="51" fillId="0" borderId="0"/>
    <xf numFmtId="43" fontId="5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51" fillId="0" borderId="0" applyFont="0" applyFill="0" applyBorder="0" applyAlignment="0" applyProtection="0"/>
    <xf numFmtId="0" fontId="5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55" fillId="0" borderId="0" applyFont="0" applyFill="0" applyBorder="0" applyProtection="0">
      <alignment vertical="top"/>
    </xf>
    <xf numFmtId="177" fontId="34" fillId="0" borderId="0" applyFont="0" applyFill="0" applyBorder="0" applyProtection="0">
      <alignment vertical="top"/>
    </xf>
    <xf numFmtId="0" fontId="58" fillId="0" borderId="0" applyNumberFormat="0" applyFill="0" applyBorder="0" applyAlignment="0" applyProtection="0"/>
    <xf numFmtId="0" fontId="2" fillId="0" borderId="0"/>
    <xf numFmtId="0" fontId="33" fillId="0" borderId="0"/>
  </cellStyleXfs>
  <cellXfs count="231">
    <xf numFmtId="0" fontId="0" fillId="0" borderId="0" xfId="0"/>
    <xf numFmtId="164" fontId="32" fillId="46" borderId="0" xfId="0" applyNumberFormat="1" applyFont="1" applyFill="1" applyAlignment="1">
      <alignment vertical="top"/>
    </xf>
    <xf numFmtId="0" fontId="33" fillId="0" borderId="0" xfId="0" applyFont="1"/>
    <xf numFmtId="0" fontId="38" fillId="0" borderId="0" xfId="0" applyFont="1"/>
    <xf numFmtId="0" fontId="38" fillId="48" borderId="10" xfId="0" applyFont="1" applyFill="1" applyBorder="1"/>
    <xf numFmtId="0" fontId="39" fillId="0" borderId="0" xfId="0" applyFont="1"/>
    <xf numFmtId="0" fontId="38" fillId="48" borderId="13" xfId="0" applyFont="1" applyFill="1" applyBorder="1"/>
    <xf numFmtId="0" fontId="40" fillId="0" borderId="0" xfId="0" applyFont="1"/>
    <xf numFmtId="0" fontId="37" fillId="0" borderId="0" xfId="0" applyFont="1"/>
    <xf numFmtId="0" fontId="38" fillId="0" borderId="10" xfId="0" applyFont="1" applyBorder="1"/>
    <xf numFmtId="0" fontId="38" fillId="0" borderId="14" xfId="0" applyFont="1" applyBorder="1"/>
    <xf numFmtId="0" fontId="38" fillId="0" borderId="13" xfId="0" applyFont="1" applyBorder="1"/>
    <xf numFmtId="0" fontId="37" fillId="0" borderId="13" xfId="0" applyFont="1" applyBorder="1"/>
    <xf numFmtId="0" fontId="37" fillId="49" borderId="10" xfId="0" applyFont="1" applyFill="1" applyBorder="1" applyAlignment="1">
      <alignment wrapText="1"/>
    </xf>
    <xf numFmtId="0" fontId="37" fillId="49" borderId="12" xfId="0" applyFont="1" applyFill="1" applyBorder="1" applyAlignment="1">
      <alignment wrapText="1"/>
    </xf>
    <xf numFmtId="0" fontId="38" fillId="0" borderId="11" xfId="0" applyFont="1" applyBorder="1"/>
    <xf numFmtId="0" fontId="0" fillId="0" borderId="11" xfId="0" applyBorder="1"/>
    <xf numFmtId="0" fontId="37" fillId="0" borderId="11" xfId="0" applyFont="1" applyBorder="1"/>
    <xf numFmtId="0" fontId="0" fillId="0" borderId="10" xfId="0" applyBorder="1"/>
    <xf numFmtId="0" fontId="38" fillId="0" borderId="21" xfId="0" applyFont="1" applyBorder="1"/>
    <xf numFmtId="0" fontId="38" fillId="0" borderId="17" xfId="0" applyFont="1" applyBorder="1"/>
    <xf numFmtId="0" fontId="37" fillId="49" borderId="16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0" xfId="0" applyAlignment="1">
      <alignment vertical="center"/>
    </xf>
    <xf numFmtId="0" fontId="20" fillId="0" borderId="0" xfId="0" applyFont="1"/>
    <xf numFmtId="0" fontId="0" fillId="0" borderId="10" xfId="0" applyBorder="1" applyAlignment="1">
      <alignment vertical="center"/>
    </xf>
    <xf numFmtId="170" fontId="0" fillId="0" borderId="0" xfId="0" applyNumberFormat="1"/>
    <xf numFmtId="0" fontId="22" fillId="51" borderId="14" xfId="0" applyFont="1" applyFill="1" applyBorder="1"/>
    <xf numFmtId="0" fontId="36" fillId="0" borderId="0" xfId="0" applyFont="1"/>
    <xf numFmtId="0" fontId="37" fillId="49" borderId="24" xfId="0" applyFont="1" applyFill="1" applyBorder="1" applyAlignment="1">
      <alignment wrapText="1"/>
    </xf>
    <xf numFmtId="171" fontId="0" fillId="53" borderId="0" xfId="0" applyNumberFormat="1" applyFill="1"/>
    <xf numFmtId="0" fontId="44" fillId="0" borderId="0" xfId="0" applyFont="1"/>
    <xf numFmtId="0" fontId="0" fillId="54" borderId="0" xfId="0" applyFill="1"/>
    <xf numFmtId="0" fontId="39" fillId="54" borderId="0" xfId="0" applyFont="1" applyFill="1"/>
    <xf numFmtId="0" fontId="47" fillId="54" borderId="0" xfId="0" applyFont="1" applyFill="1"/>
    <xf numFmtId="0" fontId="38" fillId="54" borderId="0" xfId="0" applyFont="1" applyFill="1"/>
    <xf numFmtId="170" fontId="0" fillId="0" borderId="10" xfId="0" applyNumberFormat="1" applyBorder="1"/>
    <xf numFmtId="0" fontId="33" fillId="0" borderId="0" xfId="0" applyFont="1" applyAlignment="1">
      <alignment wrapText="1"/>
    </xf>
    <xf numFmtId="3" fontId="0" fillId="53" borderId="0" xfId="0" applyNumberFormat="1" applyFill="1"/>
    <xf numFmtId="0" fontId="0" fillId="53" borderId="0" xfId="0" applyFill="1"/>
    <xf numFmtId="0" fontId="22" fillId="51" borderId="23" xfId="0" applyFont="1" applyFill="1" applyBorder="1"/>
    <xf numFmtId="0" fontId="22" fillId="51" borderId="15" xfId="0" applyFont="1" applyFill="1" applyBorder="1"/>
    <xf numFmtId="0" fontId="54" fillId="0" borderId="0" xfId="75"/>
    <xf numFmtId="0" fontId="37" fillId="49" borderId="23" xfId="0" applyFont="1" applyFill="1" applyBorder="1" applyAlignment="1">
      <alignment wrapText="1"/>
    </xf>
    <xf numFmtId="44" fontId="37" fillId="49" borderId="12" xfId="76" applyFont="1" applyFill="1" applyBorder="1" applyAlignment="1">
      <alignment wrapText="1"/>
    </xf>
    <xf numFmtId="44" fontId="37" fillId="49" borderId="10" xfId="76" applyFont="1" applyFill="1" applyBorder="1" applyAlignment="1">
      <alignment wrapText="1"/>
    </xf>
    <xf numFmtId="0" fontId="35" fillId="0" borderId="0" xfId="0" applyFont="1"/>
    <xf numFmtId="0" fontId="38" fillId="0" borderId="16" xfId="0" applyFont="1" applyBorder="1"/>
    <xf numFmtId="0" fontId="49" fillId="54" borderId="0" xfId="0" applyFont="1" applyFill="1" applyAlignment="1">
      <alignment horizontal="left" indent="1"/>
    </xf>
    <xf numFmtId="0" fontId="43" fillId="54" borderId="0" xfId="0" applyFont="1" applyFill="1"/>
    <xf numFmtId="0" fontId="43" fillId="54" borderId="0" xfId="0" applyFont="1" applyFill="1" applyAlignment="1">
      <alignment horizontal="left"/>
    </xf>
    <xf numFmtId="0" fontId="37" fillId="56" borderId="0" xfId="0" applyFont="1" applyFill="1" applyAlignment="1">
      <alignment horizontal="right" wrapText="1"/>
    </xf>
    <xf numFmtId="0" fontId="34" fillId="54" borderId="0" xfId="0" applyFont="1" applyFill="1"/>
    <xf numFmtId="10" fontId="39" fillId="58" borderId="0" xfId="0" applyNumberFormat="1" applyFont="1" applyFill="1"/>
    <xf numFmtId="0" fontId="45" fillId="57" borderId="0" xfId="0" applyFont="1" applyFill="1"/>
    <xf numFmtId="4" fontId="39" fillId="0" borderId="0" xfId="0" applyNumberFormat="1" applyFont="1"/>
    <xf numFmtId="0" fontId="37" fillId="0" borderId="0" xfId="0" applyFont="1" applyAlignment="1">
      <alignment wrapText="1"/>
    </xf>
    <xf numFmtId="1" fontId="0" fillId="0" borderId="11" xfId="0" applyNumberFormat="1" applyBorder="1"/>
    <xf numFmtId="0" fontId="37" fillId="49" borderId="29" xfId="0" applyFont="1" applyFill="1" applyBorder="1" applyAlignment="1">
      <alignment wrapText="1"/>
    </xf>
    <xf numFmtId="0" fontId="37" fillId="49" borderId="30" xfId="0" applyFont="1" applyFill="1" applyBorder="1" applyAlignment="1">
      <alignment wrapText="1"/>
    </xf>
    <xf numFmtId="164" fontId="56" fillId="59" borderId="0" xfId="102" applyFont="1" applyFill="1">
      <alignment vertical="top"/>
    </xf>
    <xf numFmtId="0" fontId="59" fillId="0" borderId="0" xfId="105" applyFont="1"/>
    <xf numFmtId="0" fontId="60" fillId="0" borderId="0" xfId="105" applyFont="1" applyAlignment="1">
      <alignment vertical="top"/>
    </xf>
    <xf numFmtId="0" fontId="57" fillId="0" borderId="0" xfId="105" applyFont="1" applyAlignment="1">
      <alignment vertical="top"/>
    </xf>
    <xf numFmtId="0" fontId="57" fillId="0" borderId="0" xfId="105" applyFont="1" applyAlignment="1">
      <alignment horizontal="center" vertical="top"/>
    </xf>
    <xf numFmtId="0" fontId="61" fillId="47" borderId="0" xfId="106" applyFont="1" applyFill="1" applyAlignment="1">
      <alignment vertical="center"/>
    </xf>
    <xf numFmtId="0" fontId="62" fillId="0" borderId="0" xfId="105" applyFont="1" applyAlignment="1">
      <alignment vertical="top"/>
    </xf>
    <xf numFmtId="0" fontId="63" fillId="0" borderId="0" xfId="105" applyFont="1" applyAlignment="1">
      <alignment vertical="top"/>
    </xf>
    <xf numFmtId="0" fontId="60" fillId="0" borderId="0" xfId="105" applyFont="1" applyAlignment="1">
      <alignment horizontal="centerContinuous" vertical="top"/>
    </xf>
    <xf numFmtId="0" fontId="64" fillId="0" borderId="0" xfId="105" applyFont="1" applyAlignment="1">
      <alignment horizontal="centerContinuous" vertical="top"/>
    </xf>
    <xf numFmtId="0" fontId="57" fillId="0" borderId="0" xfId="105" applyFont="1" applyAlignment="1">
      <alignment horizontal="centerContinuous" vertical="top"/>
    </xf>
    <xf numFmtId="0" fontId="60" fillId="0" borderId="0" xfId="105" applyFont="1" applyAlignment="1">
      <alignment horizontal="center" vertical="top"/>
    </xf>
    <xf numFmtId="0" fontId="59" fillId="0" borderId="0" xfId="105" applyFont="1" applyAlignment="1">
      <alignment vertical="top"/>
    </xf>
    <xf numFmtId="0" fontId="62" fillId="0" borderId="0" xfId="105" applyFont="1" applyAlignment="1">
      <alignment horizontal="centerContinuous" vertical="top"/>
    </xf>
    <xf numFmtId="0" fontId="63" fillId="0" borderId="0" xfId="105" applyFont="1" applyAlignment="1">
      <alignment horizontal="centerContinuous" vertical="top"/>
    </xf>
    <xf numFmtId="0" fontId="46" fillId="60" borderId="0" xfId="105" applyFont="1" applyFill="1" applyAlignment="1">
      <alignment vertical="top"/>
    </xf>
    <xf numFmtId="0" fontId="46" fillId="60" borderId="0" xfId="105" applyFont="1" applyFill="1" applyAlignment="1">
      <alignment wrapText="1"/>
    </xf>
    <xf numFmtId="0" fontId="46" fillId="60" borderId="0" xfId="105" applyFont="1" applyFill="1" applyAlignment="1">
      <alignment horizontal="left" vertical="center" wrapText="1"/>
    </xf>
    <xf numFmtId="0" fontId="46" fillId="60" borderId="0" xfId="105" applyFont="1" applyFill="1" applyAlignment="1">
      <alignment vertical="top" wrapText="1"/>
    </xf>
    <xf numFmtId="0" fontId="66" fillId="0" borderId="0" xfId="0" applyFont="1"/>
    <xf numFmtId="0" fontId="35" fillId="48" borderId="0" xfId="0" applyFont="1" applyFill="1"/>
    <xf numFmtId="0" fontId="67" fillId="0" borderId="0" xfId="74" applyFont="1"/>
    <xf numFmtId="0" fontId="68" fillId="0" borderId="0" xfId="73" applyFont="1"/>
    <xf numFmtId="0" fontId="69" fillId="52" borderId="0" xfId="0" applyFont="1" applyFill="1"/>
    <xf numFmtId="0" fontId="22" fillId="51" borderId="10" xfId="0" applyFont="1" applyFill="1" applyBorder="1"/>
    <xf numFmtId="0" fontId="37" fillId="61" borderId="20" xfId="0" applyFont="1" applyFill="1" applyBorder="1" applyAlignment="1">
      <alignment wrapText="1"/>
    </xf>
    <xf numFmtId="0" fontId="37" fillId="61" borderId="25" xfId="0" applyFont="1" applyFill="1" applyBorder="1" applyAlignment="1">
      <alignment wrapText="1"/>
    </xf>
    <xf numFmtId="0" fontId="33" fillId="0" borderId="0" xfId="0" applyFont="1" applyAlignment="1">
      <alignment horizontal="center"/>
    </xf>
    <xf numFmtId="0" fontId="33" fillId="51" borderId="10" xfId="0" applyFont="1" applyFill="1" applyBorder="1" applyAlignment="1">
      <alignment horizontal="center" vertical="top" wrapText="1"/>
    </xf>
    <xf numFmtId="0" fontId="41" fillId="51" borderId="16" xfId="0" applyFont="1" applyFill="1" applyBorder="1"/>
    <xf numFmtId="0" fontId="41" fillId="51" borderId="10" xfId="0" applyFont="1" applyFill="1" applyBorder="1"/>
    <xf numFmtId="2" fontId="33" fillId="0" borderId="21" xfId="0" applyNumberFormat="1" applyFont="1" applyBorder="1" applyAlignment="1">
      <alignment horizontal="center"/>
    </xf>
    <xf numFmtId="0" fontId="33" fillId="0" borderId="10" xfId="0" applyFont="1" applyBorder="1"/>
    <xf numFmtId="0" fontId="33" fillId="0" borderId="16" xfId="0" applyFont="1" applyBorder="1"/>
    <xf numFmtId="0" fontId="53" fillId="0" borderId="26" xfId="0" applyFont="1" applyBorder="1" applyAlignment="1">
      <alignment horizontal="left" wrapText="1" readingOrder="1"/>
    </xf>
    <xf numFmtId="0" fontId="70" fillId="0" borderId="10" xfId="0" applyFont="1" applyBorder="1"/>
    <xf numFmtId="0" fontId="70" fillId="0" borderId="13" xfId="0" applyFont="1" applyBorder="1"/>
    <xf numFmtId="9" fontId="38" fillId="0" borderId="0" xfId="0" applyNumberFormat="1" applyFont="1"/>
    <xf numFmtId="0" fontId="71" fillId="0" borderId="0" xfId="0" applyFont="1"/>
    <xf numFmtId="172" fontId="33" fillId="55" borderId="10" xfId="76" applyNumberFormat="1" applyFont="1" applyFill="1" applyBorder="1"/>
    <xf numFmtId="172" fontId="33" fillId="50" borderId="10" xfId="76" quotePrefix="1" applyNumberFormat="1" applyFont="1" applyFill="1" applyBorder="1"/>
    <xf numFmtId="172" fontId="33" fillId="50" borderId="10" xfId="76" applyNumberFormat="1" applyFont="1" applyFill="1" applyBorder="1"/>
    <xf numFmtId="172" fontId="33" fillId="0" borderId="10" xfId="76" applyNumberFormat="1" applyFont="1" applyBorder="1"/>
    <xf numFmtId="175" fontId="33" fillId="0" borderId="10" xfId="0" applyNumberFormat="1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10" fontId="33" fillId="0" borderId="10" xfId="0" applyNumberFormat="1" applyFont="1" applyBorder="1" applyAlignment="1">
      <alignment horizontal="center"/>
    </xf>
    <xf numFmtId="170" fontId="38" fillId="0" borderId="15" xfId="76" applyNumberFormat="1" applyFont="1" applyBorder="1" applyAlignment="1">
      <alignment horizontal="center"/>
    </xf>
    <xf numFmtId="170" fontId="38" fillId="0" borderId="11" xfId="76" applyNumberFormat="1" applyFont="1" applyBorder="1" applyAlignment="1">
      <alignment horizontal="center"/>
    </xf>
    <xf numFmtId="170" fontId="38" fillId="0" borderId="10" xfId="76" applyNumberFormat="1" applyFont="1" applyBorder="1" applyAlignment="1">
      <alignment horizontal="center"/>
    </xf>
    <xf numFmtId="170" fontId="38" fillId="0" borderId="18" xfId="76" applyNumberFormat="1" applyFont="1" applyBorder="1" applyAlignment="1">
      <alignment horizontal="center"/>
    </xf>
    <xf numFmtId="170" fontId="41" fillId="0" borderId="14" xfId="76" applyNumberFormat="1" applyFont="1" applyBorder="1" applyAlignment="1">
      <alignment horizontal="center"/>
    </xf>
    <xf numFmtId="2" fontId="33" fillId="0" borderId="10" xfId="0" applyNumberFormat="1" applyFont="1" applyBorder="1" applyAlignment="1">
      <alignment horizontal="center"/>
    </xf>
    <xf numFmtId="1" fontId="33" fillId="0" borderId="10" xfId="0" applyNumberFormat="1" applyFont="1" applyBorder="1" applyAlignment="1">
      <alignment horizontal="center"/>
    </xf>
    <xf numFmtId="2" fontId="33" fillId="0" borderId="11" xfId="0" applyNumberFormat="1" applyFont="1" applyBorder="1" applyAlignment="1">
      <alignment horizontal="center"/>
    </xf>
    <xf numFmtId="2" fontId="33" fillId="0" borderId="16" xfId="0" applyNumberFormat="1" applyFont="1" applyBorder="1" applyAlignment="1">
      <alignment horizontal="center"/>
    </xf>
    <xf numFmtId="170" fontId="33" fillId="0" borderId="10" xfId="0" applyNumberFormat="1" applyFont="1" applyBorder="1" applyAlignment="1">
      <alignment horizontal="center"/>
    </xf>
    <xf numFmtId="10" fontId="33" fillId="0" borderId="19" xfId="0" applyNumberFormat="1" applyFont="1" applyBorder="1" applyAlignment="1">
      <alignment horizontal="center"/>
    </xf>
    <xf numFmtId="173" fontId="38" fillId="0" borderId="19" xfId="2" applyNumberFormat="1" applyFont="1" applyBorder="1" applyAlignment="1">
      <alignment horizontal="center"/>
    </xf>
    <xf numFmtId="2" fontId="33" fillId="0" borderId="19" xfId="0" applyNumberFormat="1" applyFont="1" applyBorder="1" applyAlignment="1">
      <alignment horizontal="center" vertical="center"/>
    </xf>
    <xf numFmtId="0" fontId="33" fillId="0" borderId="19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170" fontId="33" fillId="0" borderId="18" xfId="0" applyNumberFormat="1" applyFont="1" applyBorder="1" applyAlignment="1">
      <alignment horizontal="center" vertical="center" wrapText="1"/>
    </xf>
    <xf numFmtId="170" fontId="33" fillId="0" borderId="19" xfId="0" applyNumberFormat="1" applyFont="1" applyBorder="1" applyAlignment="1">
      <alignment horizontal="center" vertical="center"/>
    </xf>
    <xf numFmtId="2" fontId="33" fillId="0" borderId="10" xfId="0" applyNumberFormat="1" applyFont="1" applyBorder="1" applyAlignment="1">
      <alignment horizontal="center" vertical="center"/>
    </xf>
    <xf numFmtId="0" fontId="72" fillId="0" borderId="0" xfId="0" applyFont="1"/>
    <xf numFmtId="173" fontId="33" fillId="55" borderId="24" xfId="2" applyNumberFormat="1" applyFont="1" applyFill="1" applyBorder="1"/>
    <xf numFmtId="10" fontId="33" fillId="0" borderId="16" xfId="0" applyNumberFormat="1" applyFont="1" applyBorder="1"/>
    <xf numFmtId="0" fontId="33" fillId="0" borderId="23" xfId="0" applyFont="1" applyBorder="1"/>
    <xf numFmtId="10" fontId="33" fillId="0" borderId="23" xfId="0" applyNumberFormat="1" applyFont="1" applyBorder="1"/>
    <xf numFmtId="172" fontId="33" fillId="0" borderId="0" xfId="0" applyNumberFormat="1" applyFont="1"/>
    <xf numFmtId="0" fontId="73" fillId="0" borderId="0" xfId="0" applyFont="1"/>
    <xf numFmtId="170" fontId="33" fillId="0" borderId="27" xfId="0" applyNumberFormat="1" applyFont="1" applyBorder="1"/>
    <xf numFmtId="170" fontId="33" fillId="55" borderId="24" xfId="0" applyNumberFormat="1" applyFont="1" applyFill="1" applyBorder="1"/>
    <xf numFmtId="0" fontId="33" fillId="0" borderId="27" xfId="0" applyFont="1" applyBorder="1"/>
    <xf numFmtId="10" fontId="33" fillId="0" borderId="13" xfId="0" applyNumberFormat="1" applyFont="1" applyBorder="1"/>
    <xf numFmtId="0" fontId="37" fillId="49" borderId="11" xfId="0" applyFont="1" applyFill="1" applyBorder="1" applyAlignment="1">
      <alignment horizontal="center" wrapText="1"/>
    </xf>
    <xf numFmtId="170" fontId="38" fillId="0" borderId="10" xfId="0" applyNumberFormat="1" applyFont="1" applyBorder="1" applyAlignment="1">
      <alignment horizontal="center"/>
    </xf>
    <xf numFmtId="2" fontId="38" fillId="0" borderId="10" xfId="0" applyNumberFormat="1" applyFont="1" applyBorder="1" applyAlignment="1">
      <alignment horizontal="center"/>
    </xf>
    <xf numFmtId="1" fontId="38" fillId="0" borderId="10" xfId="0" applyNumberFormat="1" applyFont="1" applyBorder="1" applyAlignment="1">
      <alignment horizontal="center"/>
    </xf>
    <xf numFmtId="170" fontId="38" fillId="0" borderId="16" xfId="0" applyNumberFormat="1" applyFont="1" applyBorder="1" applyAlignment="1">
      <alignment horizontal="center"/>
    </xf>
    <xf numFmtId="170" fontId="33" fillId="0" borderId="16" xfId="0" applyNumberFormat="1" applyFont="1" applyBorder="1" applyAlignment="1">
      <alignment horizontal="center"/>
    </xf>
    <xf numFmtId="170" fontId="33" fillId="0" borderId="21" xfId="0" applyNumberFormat="1" applyFont="1" applyBorder="1" applyAlignment="1">
      <alignment horizontal="center"/>
    </xf>
    <xf numFmtId="170" fontId="33" fillId="0" borderId="0" xfId="0" applyNumberFormat="1" applyFont="1" applyAlignment="1">
      <alignment horizontal="center"/>
    </xf>
    <xf numFmtId="0" fontId="38" fillId="0" borderId="13" xfId="0" applyFont="1" applyBorder="1" applyAlignment="1">
      <alignment horizontal="center"/>
    </xf>
    <xf numFmtId="170" fontId="33" fillId="0" borderId="13" xfId="0" applyNumberFormat="1" applyFont="1" applyBorder="1" applyAlignment="1">
      <alignment horizontal="center"/>
    </xf>
    <xf numFmtId="170" fontId="38" fillId="0" borderId="0" xfId="0" applyNumberFormat="1" applyFont="1" applyAlignment="1">
      <alignment horizontal="center"/>
    </xf>
    <xf numFmtId="1" fontId="38" fillId="0" borderId="0" xfId="0" applyNumberFormat="1" applyFont="1" applyAlignment="1">
      <alignment horizontal="center"/>
    </xf>
    <xf numFmtId="0" fontId="37" fillId="49" borderId="16" xfId="0" applyFont="1" applyFill="1" applyBorder="1" applyAlignment="1">
      <alignment horizontal="center" wrapText="1"/>
    </xf>
    <xf numFmtId="0" fontId="37" fillId="49" borderId="10" xfId="0" applyFont="1" applyFill="1" applyBorder="1" applyAlignment="1">
      <alignment horizontal="center" wrapText="1"/>
    </xf>
    <xf numFmtId="2" fontId="38" fillId="0" borderId="20" xfId="0" applyNumberFormat="1" applyFont="1" applyBorder="1" applyAlignment="1">
      <alignment horizontal="center"/>
    </xf>
    <xf numFmtId="1" fontId="33" fillId="0" borderId="11" xfId="0" applyNumberFormat="1" applyFont="1" applyBorder="1" applyAlignment="1">
      <alignment horizontal="center"/>
    </xf>
    <xf numFmtId="0" fontId="38" fillId="0" borderId="12" xfId="0" applyFont="1" applyBorder="1" applyAlignment="1">
      <alignment horizontal="center"/>
    </xf>
    <xf numFmtId="0" fontId="22" fillId="0" borderId="14" xfId="0" applyFont="1" applyBorder="1"/>
    <xf numFmtId="0" fontId="22" fillId="0" borderId="28" xfId="0" applyFont="1" applyBorder="1"/>
    <xf numFmtId="179" fontId="22" fillId="0" borderId="0" xfId="69" applyNumberFormat="1" applyAlignment="1">
      <alignment vertical="center" wrapText="1"/>
    </xf>
    <xf numFmtId="0" fontId="74" fillId="0" borderId="0" xfId="0" applyFont="1"/>
    <xf numFmtId="4" fontId="74" fillId="58" borderId="0" xfId="0" applyNumberFormat="1" applyFont="1" applyFill="1"/>
    <xf numFmtId="0" fontId="74" fillId="58" borderId="0" xfId="0" applyFont="1" applyFill="1"/>
    <xf numFmtId="0" fontId="45" fillId="52" borderId="0" xfId="0" applyFont="1" applyFill="1"/>
    <xf numFmtId="0" fontId="39" fillId="0" borderId="11" xfId="0" applyFont="1" applyBorder="1"/>
    <xf numFmtId="2" fontId="33" fillId="0" borderId="20" xfId="0" applyNumberFormat="1" applyFont="1" applyBorder="1" applyAlignment="1">
      <alignment horizontal="center"/>
    </xf>
    <xf numFmtId="0" fontId="37" fillId="61" borderId="32" xfId="0" applyFont="1" applyFill="1" applyBorder="1" applyAlignment="1">
      <alignment wrapText="1"/>
    </xf>
    <xf numFmtId="0" fontId="46" fillId="51" borderId="10" xfId="0" applyFont="1" applyFill="1" applyBorder="1" applyAlignment="1">
      <alignment vertical="center" wrapText="1"/>
    </xf>
    <xf numFmtId="170" fontId="33" fillId="0" borderId="10" xfId="76" applyNumberFormat="1" applyFont="1" applyBorder="1"/>
    <xf numFmtId="10" fontId="22" fillId="0" borderId="0" xfId="2" applyFont="1" applyAlignment="1">
      <alignment vertical="center" wrapText="1"/>
    </xf>
    <xf numFmtId="181" fontId="0" fillId="53" borderId="0" xfId="0" applyNumberFormat="1" applyFill="1"/>
    <xf numFmtId="180" fontId="0" fillId="0" borderId="10" xfId="0" applyNumberFormat="1" applyBorder="1"/>
    <xf numFmtId="0" fontId="22" fillId="0" borderId="15" xfId="0" applyFont="1" applyBorder="1"/>
    <xf numFmtId="0" fontId="22" fillId="0" borderId="17" xfId="0" applyFont="1" applyBorder="1"/>
    <xf numFmtId="0" fontId="22" fillId="0" borderId="13" xfId="0" applyFont="1" applyBorder="1"/>
    <xf numFmtId="170" fontId="22" fillId="0" borderId="10" xfId="0" applyNumberFormat="1" applyFont="1" applyBorder="1"/>
    <xf numFmtId="170" fontId="22" fillId="0" borderId="21" xfId="0" applyNumberFormat="1" applyFont="1" applyBorder="1"/>
    <xf numFmtId="0" fontId="33" fillId="0" borderId="16" xfId="0" applyFont="1" applyBorder="1" applyAlignment="1">
      <alignment horizontal="center"/>
    </xf>
    <xf numFmtId="180" fontId="37" fillId="0" borderId="10" xfId="0" applyNumberFormat="1" applyFont="1" applyBorder="1" applyAlignment="1">
      <alignment horizontal="center"/>
    </xf>
    <xf numFmtId="0" fontId="37" fillId="56" borderId="0" xfId="0" applyFont="1" applyFill="1" applyAlignment="1">
      <alignment horizontal="center" vertical="center" wrapText="1"/>
    </xf>
    <xf numFmtId="0" fontId="38" fillId="54" borderId="0" xfId="0" applyFont="1" applyFill="1" applyAlignment="1">
      <alignment horizontal="left"/>
    </xf>
    <xf numFmtId="0" fontId="6" fillId="0" borderId="0" xfId="95" applyFont="1" applyAlignment="1">
      <alignment horizontal="left" vertical="top" wrapText="1"/>
    </xf>
    <xf numFmtId="170" fontId="33" fillId="0" borderId="11" xfId="0" applyNumberFormat="1" applyFont="1" applyBorder="1" applyAlignment="1">
      <alignment horizontal="center"/>
    </xf>
    <xf numFmtId="180" fontId="39" fillId="54" borderId="0" xfId="0" applyNumberFormat="1" applyFont="1" applyFill="1"/>
    <xf numFmtId="4" fontId="0" fillId="0" borderId="0" xfId="0" applyNumberFormat="1"/>
    <xf numFmtId="171" fontId="0" fillId="0" borderId="0" xfId="0" applyNumberFormat="1"/>
    <xf numFmtId="0" fontId="37" fillId="49" borderId="10" xfId="0" applyFont="1" applyFill="1" applyBorder="1"/>
    <xf numFmtId="0" fontId="38" fillId="0" borderId="22" xfId="0" applyFont="1" applyBorder="1"/>
    <xf numFmtId="170" fontId="0" fillId="0" borderId="13" xfId="0" applyNumberFormat="1" applyBorder="1"/>
    <xf numFmtId="170" fontId="0" fillId="0" borderId="16" xfId="0" applyNumberFormat="1" applyBorder="1"/>
    <xf numFmtId="0" fontId="37" fillId="49" borderId="19" xfId="0" applyFont="1" applyFill="1" applyBorder="1" applyAlignment="1">
      <alignment wrapText="1"/>
    </xf>
    <xf numFmtId="0" fontId="37" fillId="49" borderId="18" xfId="0" applyFont="1" applyFill="1" applyBorder="1" applyAlignment="1">
      <alignment horizontal="center" wrapText="1"/>
    </xf>
    <xf numFmtId="170" fontId="33" fillId="0" borderId="24" xfId="0" applyNumberFormat="1" applyFont="1" applyBorder="1" applyAlignment="1">
      <alignment horizontal="center"/>
    </xf>
    <xf numFmtId="1" fontId="70" fillId="0" borderId="13" xfId="0" applyNumberFormat="1" applyFont="1" applyBorder="1" applyAlignment="1">
      <alignment horizontal="center"/>
    </xf>
    <xf numFmtId="2" fontId="33" fillId="55" borderId="10" xfId="76" applyNumberFormat="1" applyFont="1" applyFill="1" applyBorder="1"/>
    <xf numFmtId="0" fontId="70" fillId="0" borderId="11" xfId="0" applyFont="1" applyBorder="1" applyAlignment="1">
      <alignment horizontal="center"/>
    </xf>
    <xf numFmtId="2" fontId="70" fillId="0" borderId="20" xfId="0" applyNumberFormat="1" applyFont="1" applyBorder="1" applyAlignment="1">
      <alignment horizontal="center"/>
    </xf>
    <xf numFmtId="170" fontId="70" fillId="0" borderId="10" xfId="0" applyNumberFormat="1" applyFont="1" applyBorder="1" applyAlignment="1">
      <alignment horizontal="center"/>
    </xf>
    <xf numFmtId="2" fontId="70" fillId="0" borderId="11" xfId="0" applyNumberFormat="1" applyFont="1" applyBorder="1" applyAlignment="1">
      <alignment horizontal="center"/>
    </xf>
    <xf numFmtId="0" fontId="70" fillId="0" borderId="10" xfId="0" applyFont="1" applyBorder="1" applyAlignment="1">
      <alignment horizontal="center"/>
    </xf>
    <xf numFmtId="44" fontId="37" fillId="49" borderId="16" xfId="76" applyFont="1" applyFill="1" applyBorder="1" applyAlignment="1">
      <alignment wrapText="1"/>
    </xf>
    <xf numFmtId="0" fontId="0" fillId="0" borderId="0" xfId="0" applyAlignment="1">
      <alignment horizontal="center" wrapText="1"/>
    </xf>
    <xf numFmtId="174" fontId="0" fillId="0" borderId="31" xfId="0" applyNumberFormat="1" applyBorder="1" applyAlignment="1">
      <alignment horizontal="center"/>
    </xf>
    <xf numFmtId="0" fontId="65" fillId="0" borderId="0" xfId="0" applyFont="1"/>
    <xf numFmtId="0" fontId="1" fillId="0" borderId="0" xfId="74" applyFont="1"/>
    <xf numFmtId="175" fontId="33" fillId="0" borderId="0" xfId="0" applyNumberFormat="1" applyFont="1" applyAlignment="1">
      <alignment horizontal="center"/>
    </xf>
    <xf numFmtId="0" fontId="0" fillId="0" borderId="13" xfId="0" applyBorder="1"/>
    <xf numFmtId="164" fontId="32" fillId="59" borderId="0" xfId="102" applyFont="1" applyFill="1">
      <alignment vertical="top"/>
    </xf>
    <xf numFmtId="0" fontId="34" fillId="59" borderId="0" xfId="79" applyFont="1" applyFill="1" applyAlignment="1">
      <alignment vertical="top"/>
    </xf>
    <xf numFmtId="0" fontId="34" fillId="0" borderId="0" xfId="79" applyFont="1" applyAlignment="1">
      <alignment vertical="top"/>
    </xf>
    <xf numFmtId="0" fontId="75" fillId="0" borderId="0" xfId="79" applyFont="1" applyAlignment="1">
      <alignment vertical="top"/>
    </xf>
    <xf numFmtId="0" fontId="76" fillId="0" borderId="0" xfId="79" applyFont="1" applyAlignment="1">
      <alignment vertical="top"/>
    </xf>
    <xf numFmtId="176" fontId="34" fillId="0" borderId="0" xfId="79" applyNumberFormat="1" applyFont="1" applyAlignment="1">
      <alignment horizontal="left" vertical="top"/>
    </xf>
    <xf numFmtId="0" fontId="34" fillId="0" borderId="0" xfId="79" applyFont="1" applyAlignment="1">
      <alignment horizontal="left" vertical="center"/>
    </xf>
    <xf numFmtId="178" fontId="34" fillId="0" borderId="0" xfId="103" applyNumberFormat="1" applyFont="1" applyAlignment="1">
      <alignment horizontal="left" vertical="top"/>
    </xf>
    <xf numFmtId="164" fontId="77" fillId="0" borderId="0" xfId="104" applyNumberFormat="1" applyFont="1" applyAlignment="1">
      <alignment vertical="top"/>
    </xf>
    <xf numFmtId="164" fontId="33" fillId="0" borderId="0" xfId="102" applyFont="1" applyAlignment="1"/>
    <xf numFmtId="0" fontId="78" fillId="0" borderId="0" xfId="79" applyFont="1" applyAlignment="1">
      <alignment vertical="top"/>
    </xf>
    <xf numFmtId="0" fontId="33" fillId="0" borderId="0" xfId="79" applyFont="1" applyAlignment="1">
      <alignment vertical="top"/>
    </xf>
    <xf numFmtId="0" fontId="33" fillId="0" borderId="0" xfId="0" applyFont="1" applyAlignment="1">
      <alignment vertical="center"/>
    </xf>
    <xf numFmtId="0" fontId="33" fillId="0" borderId="0" xfId="0" applyFont="1" applyAlignment="1">
      <alignment vertical="center" wrapText="1"/>
    </xf>
    <xf numFmtId="0" fontId="39" fillId="0" borderId="0" xfId="79" applyFont="1" applyAlignment="1">
      <alignment vertical="top"/>
    </xf>
    <xf numFmtId="0" fontId="41" fillId="51" borderId="11" xfId="79" applyFont="1" applyFill="1" applyBorder="1" applyAlignment="1">
      <alignment vertical="top" wrapText="1"/>
    </xf>
    <xf numFmtId="0" fontId="34" fillId="0" borderId="11" xfId="79" applyFont="1" applyBorder="1" applyAlignment="1">
      <alignment vertical="top"/>
    </xf>
    <xf numFmtId="0" fontId="38" fillId="48" borderId="0" xfId="0" applyFont="1" applyFill="1" applyAlignment="1">
      <alignment horizontal="left" vertical="top" wrapText="1"/>
    </xf>
    <xf numFmtId="0" fontId="42" fillId="46" borderId="0" xfId="0" applyFont="1" applyFill="1" applyAlignment="1">
      <alignment horizontal="left"/>
    </xf>
    <xf numFmtId="0" fontId="38" fillId="0" borderId="10" xfId="0" applyFont="1" applyBorder="1" applyAlignment="1">
      <alignment horizontal="left" wrapText="1"/>
    </xf>
    <xf numFmtId="164" fontId="32" fillId="46" borderId="0" xfId="0" applyNumberFormat="1" applyFont="1" applyFill="1" applyAlignment="1">
      <alignment horizontal="left" vertical="top"/>
    </xf>
    <xf numFmtId="0" fontId="37" fillId="49" borderId="21" xfId="0" applyFont="1" applyFill="1" applyBorder="1" applyAlignment="1">
      <alignment horizontal="center" wrapText="1"/>
    </xf>
    <xf numFmtId="0" fontId="37" fillId="49" borderId="20" xfId="0" applyFont="1" applyFill="1" applyBorder="1" applyAlignment="1">
      <alignment horizontal="center" wrapText="1"/>
    </xf>
    <xf numFmtId="0" fontId="37" fillId="49" borderId="12" xfId="0" applyFont="1" applyFill="1" applyBorder="1" applyAlignment="1">
      <alignment horizontal="center" wrapText="1"/>
    </xf>
    <xf numFmtId="174" fontId="33" fillId="0" borderId="10" xfId="0" applyNumberFormat="1" applyFont="1" applyBorder="1" applyAlignment="1">
      <alignment horizontal="center"/>
    </xf>
    <xf numFmtId="174" fontId="38" fillId="0" borderId="10" xfId="0" applyNumberFormat="1" applyFont="1" applyBorder="1" applyAlignment="1">
      <alignment horizontal="center"/>
    </xf>
    <xf numFmtId="174" fontId="33" fillId="0" borderId="16" xfId="0" applyNumberFormat="1" applyFont="1" applyBorder="1" applyAlignment="1">
      <alignment horizontal="center"/>
    </xf>
  </cellXfs>
  <cellStyles count="107">
    <cellStyle name="20% - Accent1" xfId="21" builtinId="30" hidden="1"/>
    <cellStyle name="20% - Accent2" xfId="25" builtinId="34" hidden="1"/>
    <cellStyle name="20% - Accent3" xfId="29" builtinId="38" hidden="1"/>
    <cellStyle name="20% - Accent4" xfId="33" builtinId="42" hidden="1"/>
    <cellStyle name="20% - Accent5" xfId="37" builtinId="46" hidden="1"/>
    <cellStyle name="20% - Accent6" xfId="41" builtinId="50" hidden="1"/>
    <cellStyle name="40% - Accent1" xfId="22" builtinId="31" hidden="1"/>
    <cellStyle name="40% - Accent2" xfId="26" builtinId="35" hidden="1"/>
    <cellStyle name="40% - Accent3" xfId="30" builtinId="39" hidden="1"/>
    <cellStyle name="40% - Accent4" xfId="34" builtinId="43" hidden="1"/>
    <cellStyle name="40% - Accent5" xfId="38" builtinId="47" hidden="1"/>
    <cellStyle name="40% - Accent6" xfId="42" builtinId="51" hidden="1"/>
    <cellStyle name="60% - Accent1" xfId="23" builtinId="32" hidden="1"/>
    <cellStyle name="60% - Accent2" xfId="27" builtinId="36" hidden="1"/>
    <cellStyle name="60% - Accent3" xfId="31" builtinId="40" hidden="1"/>
    <cellStyle name="60% - Accent4" xfId="35" builtinId="44" hidden="1"/>
    <cellStyle name="60% - Accent5" xfId="39" builtinId="48" hidden="1"/>
    <cellStyle name="60% - Accent6" xfId="43" builtinId="52" hidden="1"/>
    <cellStyle name="Accent1" xfId="20" builtinId="29" hidden="1"/>
    <cellStyle name="Accent2" xfId="24" builtinId="33" hidden="1"/>
    <cellStyle name="Accent3" xfId="28" builtinId="37" hidden="1"/>
    <cellStyle name="Accent4" xfId="32" builtinId="41" hidden="1"/>
    <cellStyle name="Accent5" xfId="36" builtinId="45" hidden="1"/>
    <cellStyle name="Accent6" xfId="40" builtinId="49" hidden="1"/>
    <cellStyle name="Bad" xfId="9" builtinId="27" hidden="1"/>
    <cellStyle name="Calculation" xfId="13" builtinId="22" hidden="1"/>
    <cellStyle name="Check Cell" xfId="15" builtinId="23" hidden="1"/>
    <cellStyle name="Column 1" xfId="66" xr:uid="{00000000-0005-0000-0000-00001B000000}"/>
    <cellStyle name="Column 2 + 3" xfId="67" xr:uid="{00000000-0005-0000-0000-00001C000000}"/>
    <cellStyle name="Column 4" xfId="68" xr:uid="{00000000-0005-0000-0000-00001D000000}"/>
    <cellStyle name="Comma" xfId="1" builtinId="3" customBuiltin="1"/>
    <cellStyle name="Comma 2" xfId="89" xr:uid="{59E45C6A-F8DB-415D-8AC4-EEBB311B87DE}"/>
    <cellStyle name="Comma 3" xfId="93" xr:uid="{6D9EEE1B-B1F4-40EE-B4BD-78A17FCAAAE9}"/>
    <cellStyle name="Comma 4" xfId="84" xr:uid="{F4A51AEF-0926-43FA-9DCE-B61B0BBE6674}"/>
    <cellStyle name="Comma 4 2" xfId="100" xr:uid="{3A156EDD-85F1-4DD4-AF95-019F6B9BD211}"/>
    <cellStyle name="Counterflow" xfId="54" xr:uid="{00000000-0005-0000-0000-00001F000000}"/>
    <cellStyle name="Currency" xfId="76" builtinId="4"/>
    <cellStyle name="Currency 2" xfId="96" xr:uid="{78F9AC4F-878D-46A1-98B2-9058AEA5D6C9}"/>
    <cellStyle name="DateLong" xfId="60" xr:uid="{00000000-0005-0000-0000-000020000000}"/>
    <cellStyle name="DateShort" xfId="61" xr:uid="{00000000-0005-0000-0000-000021000000}"/>
    <cellStyle name="Documentation" xfId="59" xr:uid="{00000000-0005-0000-0000-000022000000}"/>
    <cellStyle name="Explanatory Text" xfId="18" builtinId="53" hidden="1"/>
    <cellStyle name="Export" xfId="56" xr:uid="{00000000-0005-0000-0000-000024000000}"/>
    <cellStyle name="Factor" xfId="62" xr:uid="{00000000-0005-0000-0000-000025000000}"/>
    <cellStyle name="Good" xfId="8" builtinId="26" hidden="1"/>
    <cellStyle name="Hard coded" xfId="57" xr:uid="{00000000-0005-0000-0000-000027000000}"/>
    <cellStyle name="Heading 1" xfId="4" builtinId="16" hidden="1"/>
    <cellStyle name="Heading 2" xfId="5" builtinId="17" hidden="1"/>
    <cellStyle name="Heading 3" xfId="6" builtinId="18" hidden="1"/>
    <cellStyle name="Heading 4" xfId="7" builtinId="19" hidden="1"/>
    <cellStyle name="Hyperlink" xfId="75" builtinId="8"/>
    <cellStyle name="Hyperlink 2" xfId="72" xr:uid="{C52EDF34-5AE6-4A66-962D-33EABA86FD44}"/>
    <cellStyle name="Hyperlink 2 2" xfId="104" xr:uid="{92095C18-C901-4450-8CC2-CE7CD5CA1736}"/>
    <cellStyle name="Import" xfId="55" xr:uid="{00000000-0005-0000-0000-00002C000000}"/>
    <cellStyle name="Input" xfId="11" builtinId="20" hidden="1"/>
    <cellStyle name="Level 1 Heading" xfId="63" xr:uid="{00000000-0005-0000-0000-00002E000000}"/>
    <cellStyle name="Level 2 Heading" xfId="64" xr:uid="{00000000-0005-0000-0000-00002F000000}"/>
    <cellStyle name="Level 3 Heading" xfId="65" xr:uid="{00000000-0005-0000-0000-000030000000}"/>
    <cellStyle name="Linked Cell" xfId="14" builtinId="24" hidden="1"/>
    <cellStyle name="Neutral" xfId="10" builtinId="28" hidden="1"/>
    <cellStyle name="Normal" xfId="0" builtinId="0"/>
    <cellStyle name="Normal 2" xfId="69" xr:uid="{00000000-0005-0000-0000-000034000000}"/>
    <cellStyle name="Normal 2 2" xfId="79" xr:uid="{8F7CBA25-3CBE-48C0-BA04-FDECDEA402EA}"/>
    <cellStyle name="Normal 2 2 2" xfId="88" xr:uid="{180732EC-8EC1-4884-8B01-B2F89A43B450}"/>
    <cellStyle name="Normal 2 3" xfId="82" xr:uid="{EDF94916-9FFC-4D29-B751-791A70C4C9C5}"/>
    <cellStyle name="Normal 2 6" xfId="94" xr:uid="{43550054-158E-4632-965E-10580B01BD33}"/>
    <cellStyle name="Normal 20" xfId="87" xr:uid="{D141FA01-111D-47D0-9384-22F6083A6C8A}"/>
    <cellStyle name="Normal 3" xfId="70" xr:uid="{00000000-0005-0000-0000-000035000000}"/>
    <cellStyle name="Normal 3 2" xfId="78" xr:uid="{08F9EF0B-7F58-4267-A742-05E79788A5E6}"/>
    <cellStyle name="Normal 3 2 2" xfId="91" xr:uid="{6ABDAD72-B5BC-452E-82C9-D2B0475B4784}"/>
    <cellStyle name="Normal 3 3" xfId="80" xr:uid="{DD727DB0-89A1-4AB5-A197-12AD2B916E25}"/>
    <cellStyle name="Normal 3 6" xfId="77" xr:uid="{2DC4EDED-FADC-4838-9908-C9136D28FFE4}"/>
    <cellStyle name="Normal 4" xfId="71" xr:uid="{165B61C7-AB00-4489-8D32-0A985A212656}"/>
    <cellStyle name="Normal 4 2" xfId="92" xr:uid="{9968244C-F30E-4B89-863F-0FE2EBB9E4BB}"/>
    <cellStyle name="Normal 4 3" xfId="83" xr:uid="{BC0F1226-0982-4674-B37C-8C220D668AF3}"/>
    <cellStyle name="Normal 5" xfId="73" xr:uid="{6E76781F-B7A6-45B4-AD32-04E7F64C6EF0}"/>
    <cellStyle name="Normal 5 2" xfId="90" xr:uid="{585E71BD-D6D1-45F1-80EA-C391DD75F77C}"/>
    <cellStyle name="Normal 5 2 2" xfId="99" xr:uid="{BDEA1128-7B2E-4122-AFAD-DD2BABB27426}"/>
    <cellStyle name="Normal 5 3" xfId="86" xr:uid="{9BF9CB72-84D1-486C-B33D-36DF26A79974}"/>
    <cellStyle name="Normal 6" xfId="74" xr:uid="{E833728C-2D2A-47AB-A591-840A9F30DC50}"/>
    <cellStyle name="Normal 6 2" xfId="95" xr:uid="{2139586E-9166-4A58-A9B6-B50C17463676}"/>
    <cellStyle name="Normal 7" xfId="98" xr:uid="{BE10DB74-8EE6-4353-8CB8-A25E80A2F0A0}"/>
    <cellStyle name="Normal 7 2" xfId="102" xr:uid="{82929A31-5D3B-4DDD-9785-9B4554C86847}"/>
    <cellStyle name="Normal 7 2 2" xfId="106" xr:uid="{8EE5D1AE-16B6-4F6A-923F-D55AFBF6269C}"/>
    <cellStyle name="Normal 8 2" xfId="105" xr:uid="{DA4510A7-D5BD-41E3-8533-698A174E98B6}"/>
    <cellStyle name="Normal 9" xfId="81" xr:uid="{D7DA7CED-4643-4AED-8B6D-113AA2D7F743}"/>
    <cellStyle name="Note" xfId="17" builtinId="10" hidden="1"/>
    <cellStyle name="Output" xfId="12" builtinId="21" hidden="1"/>
    <cellStyle name="Pantone 130C" xfId="47" xr:uid="{00000000-0005-0000-0000-000038000000}"/>
    <cellStyle name="Pantone 179C" xfId="52" xr:uid="{00000000-0005-0000-0000-000039000000}"/>
    <cellStyle name="Pantone 232C" xfId="51" xr:uid="{00000000-0005-0000-0000-00003A000000}"/>
    <cellStyle name="Pantone 2745C" xfId="50" xr:uid="{00000000-0005-0000-0000-00003B000000}"/>
    <cellStyle name="Pantone 279C" xfId="45" xr:uid="{00000000-0005-0000-0000-00003C000000}"/>
    <cellStyle name="Pantone 281C" xfId="44" xr:uid="{00000000-0005-0000-0000-00003D000000}"/>
    <cellStyle name="Pantone 451C" xfId="46" xr:uid="{00000000-0005-0000-0000-00003E000000}"/>
    <cellStyle name="Pantone 583C" xfId="49" xr:uid="{00000000-0005-0000-0000-00003F000000}"/>
    <cellStyle name="Pantone 633C" xfId="48" xr:uid="{00000000-0005-0000-0000-000040000000}"/>
    <cellStyle name="Percent" xfId="2" builtinId="5" customBuiltin="1"/>
    <cellStyle name="Percent [0]" xfId="58" xr:uid="{00000000-0005-0000-0000-000042000000}"/>
    <cellStyle name="Percent 2" xfId="97" xr:uid="{4ABB170D-4DCD-4B1C-9EDA-0B3152A5B167}"/>
    <cellStyle name="Percent 2 2" xfId="101" xr:uid="{2F02C80D-A1E0-479D-A535-FB0F1438E7E9}"/>
    <cellStyle name="Percent 3" xfId="85" xr:uid="{8FDE88AC-61E9-4C35-A17A-C356B876D60A}"/>
    <cellStyle name="Title" xfId="3" builtinId="15" hidden="1"/>
    <cellStyle name="Total" xfId="19" builtinId="25" hidden="1"/>
    <cellStyle name="Warning Text" xfId="16" builtinId="11" customBuiltin="1"/>
    <cellStyle name="WIP" xfId="53" xr:uid="{00000000-0005-0000-0000-000046000000}"/>
    <cellStyle name="Year" xfId="103" xr:uid="{8312A7B3-083D-46F7-B390-465C37F2ACB0}"/>
  </cellStyles>
  <dxfs count="38"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numFmt numFmtId="170" formatCode="0.0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70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/>
        <bottom style="thin">
          <color indexed="64"/>
        </bottom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</dxf>
    <dxf>
      <numFmt numFmtId="170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0.00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70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70" formatCode="0.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none"/>
      </font>
    </dxf>
  </dxfs>
  <tableStyles count="0" defaultTableStyle="TableStyleMedium9" defaultPivotStyle="PivotStyleLight16"/>
  <colors>
    <mruColors>
      <color rgb="FFCCCCCE"/>
      <color rgb="FFFFDB8E"/>
      <color rgb="FFC3C1C1"/>
      <color rgb="FFDDDBDB"/>
      <color rgb="FFCCCCFF"/>
      <color rgb="FF84CEFF"/>
      <color rgb="FF84CEFD"/>
      <color rgb="FF98C561"/>
      <color rgb="FFB97BB4"/>
      <color rgb="FF57A1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200"/>
              <a:t>CWQM</a:t>
            </a:r>
            <a:r>
              <a:rPr lang="en-GB" sz="1200" baseline="0"/>
              <a:t> r</a:t>
            </a:r>
            <a:r>
              <a:rPr lang="en-GB" sz="1200"/>
              <a:t>equested totex £m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132085991787131"/>
          <c:y val="0.1147451300018283"/>
          <c:w val="0.83137754277439102"/>
          <c:h val="0.812432606689862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'Materiality &amp; shallow dive'!$B$7:$B$17</c:f>
              <c:strCache>
                <c:ptCount val="11"/>
                <c:pt idx="0">
                  <c:v>ANH</c:v>
                </c:pt>
                <c:pt idx="1">
                  <c:v>WSH</c:v>
                </c:pt>
                <c:pt idx="2">
                  <c:v>HDD</c:v>
                </c:pt>
                <c:pt idx="3">
                  <c:v>NES</c:v>
                </c:pt>
                <c:pt idx="4">
                  <c:v>SVE</c:v>
                </c:pt>
                <c:pt idx="5">
                  <c:v>SWB</c:v>
                </c:pt>
                <c:pt idx="6">
                  <c:v>SRN</c:v>
                </c:pt>
                <c:pt idx="7">
                  <c:v>TMS</c:v>
                </c:pt>
                <c:pt idx="8">
                  <c:v>NWT</c:v>
                </c:pt>
                <c:pt idx="9">
                  <c:v>WSX</c:v>
                </c:pt>
                <c:pt idx="10">
                  <c:v>YKY</c:v>
                </c:pt>
              </c:strCache>
            </c:strRef>
          </c:cat>
          <c:val>
            <c:numRef>
              <c:f>'Materiality &amp; shallow dive'!$E$7:$E$17</c:f>
              <c:numCache>
                <c:formatCode>0.000</c:formatCode>
                <c:ptCount val="11"/>
                <c:pt idx="0">
                  <c:v>77.820000000000007</c:v>
                </c:pt>
                <c:pt idx="1">
                  <c:v>6.0719999999999992</c:v>
                </c:pt>
                <c:pt idx="2">
                  <c:v>0</c:v>
                </c:pt>
                <c:pt idx="3">
                  <c:v>55.448</c:v>
                </c:pt>
                <c:pt idx="4">
                  <c:v>134.34716344920167</c:v>
                </c:pt>
                <c:pt idx="5">
                  <c:v>54.433</c:v>
                </c:pt>
                <c:pt idx="6">
                  <c:v>43.146999999999998</c:v>
                </c:pt>
                <c:pt idx="7">
                  <c:v>52.985999999999997</c:v>
                </c:pt>
                <c:pt idx="8">
                  <c:v>84.326432149260754</c:v>
                </c:pt>
                <c:pt idx="9">
                  <c:v>62.595305999999994</c:v>
                </c:pt>
                <c:pt idx="10">
                  <c:v>97.493692799999991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08-4789-A64D-765F37752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43510095"/>
        <c:axId val="1253277231"/>
      </c:barChart>
      <c:catAx>
        <c:axId val="1543510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3277231"/>
        <c:crosses val="autoZero"/>
        <c:auto val="1"/>
        <c:lblAlgn val="ctr"/>
        <c:lblOffset val="100"/>
        <c:noMultiLvlLbl val="0"/>
      </c:catAx>
      <c:valAx>
        <c:axId val="1253277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£m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35100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/>
              <a:t>Unit cost / median cost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'Modelled Costs'!$M$4</c:f>
              <c:strCache>
                <c:ptCount val="1"/>
                <c:pt idx="0">
                  <c:v>Unit cost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'Modelled Costs'!$A$5:$A$15</c:f>
              <c:strCache>
                <c:ptCount val="11"/>
                <c:pt idx="0">
                  <c:v>ANH</c:v>
                </c:pt>
                <c:pt idx="1">
                  <c:v>WSH</c:v>
                </c:pt>
                <c:pt idx="2">
                  <c:v>HDD</c:v>
                </c:pt>
                <c:pt idx="3">
                  <c:v>NES</c:v>
                </c:pt>
                <c:pt idx="4">
                  <c:v>SVE</c:v>
                </c:pt>
                <c:pt idx="5">
                  <c:v>SWB</c:v>
                </c:pt>
                <c:pt idx="6">
                  <c:v>SRN</c:v>
                </c:pt>
                <c:pt idx="7">
                  <c:v>TMS</c:v>
                </c:pt>
                <c:pt idx="8">
                  <c:v>NWT</c:v>
                </c:pt>
                <c:pt idx="9">
                  <c:v>WSX</c:v>
                </c:pt>
                <c:pt idx="10">
                  <c:v>YKY</c:v>
                </c:pt>
              </c:strCache>
            </c:strRef>
          </c:cat>
          <c:val>
            <c:numRef>
              <c:f>'Modelled Costs'!$M$5:$M$15</c:f>
              <c:numCache>
                <c:formatCode>0.000</c:formatCode>
                <c:ptCount val="11"/>
                <c:pt idx="0">
                  <c:v>0.13325342465753426</c:v>
                </c:pt>
                <c:pt idx="1">
                  <c:v>0.21685714285714283</c:v>
                </c:pt>
                <c:pt idx="2">
                  <c:v>0</c:v>
                </c:pt>
                <c:pt idx="3">
                  <c:v>0.14217435897435898</c:v>
                </c:pt>
                <c:pt idx="4">
                  <c:v>0.13434716344920167</c:v>
                </c:pt>
                <c:pt idx="5">
                  <c:v>0.13308801955990221</c:v>
                </c:pt>
                <c:pt idx="6">
                  <c:v>0.14193092105263158</c:v>
                </c:pt>
                <c:pt idx="7">
                  <c:v>0.16874522292993629</c:v>
                </c:pt>
                <c:pt idx="8">
                  <c:v>0.13321711240009598</c:v>
                </c:pt>
                <c:pt idx="9">
                  <c:v>0.13318150212765956</c:v>
                </c:pt>
                <c:pt idx="10">
                  <c:v>0.13246425652173913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29-45BA-B026-110B0C4BE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32515823"/>
        <c:axId val="1589706031"/>
      </c:barChart>
      <c:catAx>
        <c:axId val="203251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9706031"/>
        <c:crosses val="autoZero"/>
        <c:auto val="1"/>
        <c:lblAlgn val="ctr"/>
        <c:lblOffset val="100"/>
        <c:noMultiLvlLbl val="0"/>
      </c:catAx>
      <c:valAx>
        <c:axId val="1589706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Cost per monitor</a:t>
                </a:r>
                <a:r>
                  <a:rPr lang="en-GB" baseline="0"/>
                  <a:t> (£m)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25158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100"/>
              <a:t>Totex requested vs. Median unit</a:t>
            </a:r>
            <a:r>
              <a:rPr lang="en-GB" sz="1100" baseline="0"/>
              <a:t> cost allowance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Totex requested (£m)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'Modelled Costs'!$A$5:$A$15</c:f>
              <c:strCache>
                <c:ptCount val="11"/>
                <c:pt idx="0">
                  <c:v>ANH</c:v>
                </c:pt>
                <c:pt idx="1">
                  <c:v>WSH</c:v>
                </c:pt>
                <c:pt idx="2">
                  <c:v>HDD</c:v>
                </c:pt>
                <c:pt idx="3">
                  <c:v>NES</c:v>
                </c:pt>
                <c:pt idx="4">
                  <c:v>SVE</c:v>
                </c:pt>
                <c:pt idx="5">
                  <c:v>SWB</c:v>
                </c:pt>
                <c:pt idx="6">
                  <c:v>SRN</c:v>
                </c:pt>
                <c:pt idx="7">
                  <c:v>TMS</c:v>
                </c:pt>
                <c:pt idx="8">
                  <c:v>NWT</c:v>
                </c:pt>
                <c:pt idx="9">
                  <c:v>WSX</c:v>
                </c:pt>
                <c:pt idx="10">
                  <c:v>YKY</c:v>
                </c:pt>
              </c:strCache>
            </c:strRef>
          </c:cat>
          <c:val>
            <c:numRef>
              <c:f>'Modelled Costs'!$C$5:$C$15</c:f>
              <c:numCache>
                <c:formatCode>0.000</c:formatCode>
                <c:ptCount val="11"/>
                <c:pt idx="0">
                  <c:v>77.820000000000007</c:v>
                </c:pt>
                <c:pt idx="1">
                  <c:v>6.0719999999999992</c:v>
                </c:pt>
                <c:pt idx="2">
                  <c:v>0</c:v>
                </c:pt>
                <c:pt idx="3">
                  <c:v>55.448</c:v>
                </c:pt>
                <c:pt idx="4">
                  <c:v>134.34716344920167</c:v>
                </c:pt>
                <c:pt idx="5">
                  <c:v>54.433</c:v>
                </c:pt>
                <c:pt idx="6">
                  <c:v>43.146999999999998</c:v>
                </c:pt>
                <c:pt idx="7">
                  <c:v>52.985999999999997</c:v>
                </c:pt>
                <c:pt idx="8">
                  <c:v>84.834619803113227</c:v>
                </c:pt>
                <c:pt idx="9">
                  <c:v>62.595305999999994</c:v>
                </c:pt>
                <c:pt idx="10">
                  <c:v>97.493692799999991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DA-476A-A33D-77BC1CF84CFA}"/>
            </c:ext>
          </c:extLst>
        </c:ser>
        <c:ser>
          <c:idx val="1"/>
          <c:order val="1"/>
          <c:tx>
            <c:v>Median Unit Cost Allowance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'Modelled Costs'!$A$5:$A$15</c:f>
              <c:strCache>
                <c:ptCount val="11"/>
                <c:pt idx="0">
                  <c:v>ANH</c:v>
                </c:pt>
                <c:pt idx="1">
                  <c:v>WSH</c:v>
                </c:pt>
                <c:pt idx="2">
                  <c:v>HDD</c:v>
                </c:pt>
                <c:pt idx="3">
                  <c:v>NES</c:v>
                </c:pt>
                <c:pt idx="4">
                  <c:v>SVE</c:v>
                </c:pt>
                <c:pt idx="5">
                  <c:v>SWB</c:v>
                </c:pt>
                <c:pt idx="6">
                  <c:v>SRN</c:v>
                </c:pt>
                <c:pt idx="7">
                  <c:v>TMS</c:v>
                </c:pt>
                <c:pt idx="8">
                  <c:v>NWT</c:v>
                </c:pt>
                <c:pt idx="9">
                  <c:v>WSX</c:v>
                </c:pt>
                <c:pt idx="10">
                  <c:v>YKY</c:v>
                </c:pt>
              </c:strCache>
            </c:strRef>
          </c:cat>
          <c:val>
            <c:numRef>
              <c:f>'Modelled Costs'!$N$5:$N$15</c:f>
              <c:numCache>
                <c:formatCode>0.000</c:formatCode>
                <c:ptCount val="11"/>
                <c:pt idx="0">
                  <c:v>77.820000000000007</c:v>
                </c:pt>
                <c:pt idx="1">
                  <c:v>0</c:v>
                </c:pt>
                <c:pt idx="2">
                  <c:v>0</c:v>
                </c:pt>
                <c:pt idx="3">
                  <c:v>51.968835616438362</c:v>
                </c:pt>
                <c:pt idx="4">
                  <c:v>133.25342465753425</c:v>
                </c:pt>
                <c:pt idx="5">
                  <c:v>54.500650684931514</c:v>
                </c:pt>
                <c:pt idx="6">
                  <c:v>40.509041095890417</c:v>
                </c:pt>
                <c:pt idx="7">
                  <c:v>41.841575342465759</c:v>
                </c:pt>
                <c:pt idx="8">
                  <c:v>84.349417808219187</c:v>
                </c:pt>
                <c:pt idx="9">
                  <c:v>62.6291095890411</c:v>
                </c:pt>
                <c:pt idx="10">
                  <c:v>98.074520547945212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A-476A-A33D-77BC1CF84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32515823"/>
        <c:axId val="1589706031"/>
      </c:barChart>
      <c:catAx>
        <c:axId val="20325158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89706031"/>
        <c:crosses val="autoZero"/>
        <c:auto val="1"/>
        <c:lblAlgn val="ctr"/>
        <c:lblOffset val="100"/>
        <c:noMultiLvlLbl val="0"/>
      </c:catAx>
      <c:valAx>
        <c:axId val="1589706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Totex</a:t>
                </a:r>
                <a:r>
                  <a:rPr lang="en-GB" baseline="0"/>
                  <a:t> (£m)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325158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29392</xdr:colOff>
      <xdr:row>11</xdr:row>
      <xdr:rowOff>65315</xdr:rowOff>
    </xdr:from>
    <xdr:to>
      <xdr:col>3</xdr:col>
      <xdr:colOff>409576</xdr:colOff>
      <xdr:row>23</xdr:row>
      <xdr:rowOff>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F42A7642-86EA-43C1-9A0A-6C7080ACA352}"/>
            </a:ext>
          </a:extLst>
        </xdr:cNvPr>
        <xdr:cNvSpPr txBox="1"/>
      </xdr:nvSpPr>
      <xdr:spPr>
        <a:xfrm>
          <a:off x="585652" y="3258095"/>
          <a:ext cx="9516564" cy="2868385"/>
        </a:xfrm>
        <a:prstGeom prst="rect">
          <a:avLst/>
        </a:prstGeom>
        <a:solidFill>
          <a:schemeClr val="bg1"/>
        </a:solidFill>
        <a:ln>
          <a:noFill/>
        </a:ln>
      </xdr:spPr>
      <xdr:txBody>
        <a:bodyPr lIns="27432" tIns="22860" rIns="0" bIns="0" rtlCol="0"/>
        <a:lstStyle/>
        <a:p>
          <a:pPr marL="0" indent="0" algn="l"/>
          <a:r>
            <a:rPr lang="en-US" sz="10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Summary of the model:</a:t>
          </a:r>
          <a:endParaRPr lang="en-US" sz="1000" b="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000" b="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000" b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To assess enhancement total expenditure (totex) included by companies in their PR24 business plan submissions in Table CWW3 for line(s) EA/NRW environmental programme wastewater (WINEP/NEP) - Continuous</a:t>
          </a:r>
          <a:r>
            <a:rPr lang="en-US" sz="10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river water quality monitoring</a:t>
          </a:r>
          <a:r>
            <a:rPr lang="en-US" sz="1000" b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totex.</a:t>
          </a:r>
        </a:p>
        <a:p>
          <a:pPr marL="0" indent="0" algn="l"/>
          <a:endParaRPr lang="en-US" sz="1000" b="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000" b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We assess the investment for this line using a cost benchmarking approach, applying the median unit cost per monitor to the number of monitors to be installed. We considered linear regression but discounted it due to a lack of evidence to support a constant (e.g. initial setup cost. Nine companies received an allowance based on the median unit cost and one company received an allowance based on shallow dive.</a:t>
          </a:r>
          <a:r>
            <a:rPr lang="en-US" sz="10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We reconcile information that has been identified within the companies' submissions with the list of schemes in the WINEP/NEP.</a:t>
          </a:r>
          <a:endParaRPr lang="en-US" sz="1000" b="1" i="0" u="none" strike="noStrike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000" b="1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0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Quality assurance: </a:t>
          </a:r>
          <a:r>
            <a:rPr lang="en-GB" sz="10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This model has been subject to Ofwat internal quality assurance and has been subject to external review. </a:t>
          </a:r>
          <a:endParaRPr lang="en-US" sz="1000" b="1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0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</a:t>
          </a:r>
          <a:endParaRPr lang="en-US" sz="1000" b="1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000" b="1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Disclaimer:</a:t>
          </a:r>
          <a:r>
            <a:rPr lang="en-US" sz="1000" b="1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n-US" sz="1000" b="0" i="0" u="none" strike="noStrike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This model is part of our final determinations setting out the price, service, and incentive package for water companies for the period 2025-30. It should be read together with the other documents and information that we have published as part of our consultation.</a:t>
          </a:r>
          <a:endParaRPr lang="en-US" sz="1000" b="1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endParaRPr lang="en-US" sz="1000" b="1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indent="0" algn="l"/>
          <a:r>
            <a:rPr lang="en-US" sz="1000" b="1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Changes since previous published model:</a:t>
          </a:r>
        </a:p>
        <a:p>
          <a:pPr marL="0" indent="0" algn="l"/>
          <a:r>
            <a:rPr lang="en-US" sz="1000" b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</a:t>
          </a:r>
          <a:r>
            <a:rPr lang="en-US" sz="1000" b="0" baseline="0">
              <a:solidFill>
                <a:srgbClr val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Update company efficiencies</a:t>
          </a:r>
          <a:endParaRPr lang="en-US" sz="800" b="0">
            <a:solidFill>
              <a:srgbClr val="000000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 editAs="oneCell">
    <xdr:from>
      <xdr:col>2</xdr:col>
      <xdr:colOff>3481389</xdr:colOff>
      <xdr:row>1</xdr:row>
      <xdr:rowOff>14286</xdr:rowOff>
    </xdr:from>
    <xdr:to>
      <xdr:col>2</xdr:col>
      <xdr:colOff>5506402</xdr:colOff>
      <xdr:row>5</xdr:row>
      <xdr:rowOff>137222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F283E56-F0CC-43DC-9CD0-A5681BD44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1509" y="616266"/>
          <a:ext cx="2027871" cy="9182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950119</xdr:colOff>
      <xdr:row>22</xdr:row>
      <xdr:rowOff>38099</xdr:rowOff>
    </xdr:from>
    <xdr:to>
      <xdr:col>8</xdr:col>
      <xdr:colOff>160734</xdr:colOff>
      <xdr:row>25</xdr:row>
      <xdr:rowOff>161924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1E87450-5C5E-463C-B4F1-1B50066F2962}"/>
            </a:ext>
          </a:extLst>
        </xdr:cNvPr>
        <xdr:cNvSpPr/>
      </xdr:nvSpPr>
      <xdr:spPr>
        <a:xfrm>
          <a:off x="2001679" y="6149339"/>
          <a:ext cx="1306115" cy="923925"/>
        </a:xfrm>
        <a:prstGeom prst="rect">
          <a:avLst/>
        </a:prstGeom>
        <a:solidFill>
          <a:srgbClr val="CCCCC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Materiality &amp; shallow dive</a:t>
          </a:r>
        </a:p>
      </xdr:txBody>
    </xdr:sp>
    <xdr:clientData/>
  </xdr:twoCellAnchor>
  <xdr:twoCellAnchor>
    <xdr:from>
      <xdr:col>11</xdr:col>
      <xdr:colOff>220663</xdr:colOff>
      <xdr:row>22</xdr:row>
      <xdr:rowOff>66675</xdr:rowOff>
    </xdr:from>
    <xdr:to>
      <xdr:col>11</xdr:col>
      <xdr:colOff>1354138</xdr:colOff>
      <xdr:row>25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D8ED8C6-6F0A-4037-AFF6-5AAEBA3A21BB}"/>
            </a:ext>
          </a:extLst>
        </xdr:cNvPr>
        <xdr:cNvSpPr/>
      </xdr:nvSpPr>
      <xdr:spPr>
        <a:xfrm>
          <a:off x="3992563" y="6172200"/>
          <a:ext cx="1133475" cy="904875"/>
        </a:xfrm>
        <a:prstGeom prst="rect">
          <a:avLst/>
        </a:prstGeom>
        <a:solidFill>
          <a:srgbClr val="CCCCC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Modelled costs</a:t>
          </a:r>
        </a:p>
      </xdr:txBody>
    </xdr:sp>
    <xdr:clientData/>
  </xdr:twoCellAnchor>
  <xdr:twoCellAnchor>
    <xdr:from>
      <xdr:col>6</xdr:col>
      <xdr:colOff>132159</xdr:colOff>
      <xdr:row>4</xdr:row>
      <xdr:rowOff>22222</xdr:rowOff>
    </xdr:from>
    <xdr:to>
      <xdr:col>7</xdr:col>
      <xdr:colOff>1293415</xdr:colOff>
      <xdr:row>7</xdr:row>
      <xdr:rowOff>160733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1CFA486-D28F-4B92-A847-A7D7D26680BF}"/>
            </a:ext>
          </a:extLst>
        </xdr:cNvPr>
        <xdr:cNvSpPr/>
      </xdr:nvSpPr>
      <xdr:spPr>
        <a:xfrm>
          <a:off x="1008459" y="1332862"/>
          <a:ext cx="1336516" cy="938611"/>
        </a:xfrm>
        <a:prstGeom prst="rect">
          <a:avLst/>
        </a:prstGeom>
        <a:solidFill>
          <a:srgbClr val="FFDB8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F_Inputs BP:</a:t>
          </a:r>
        </a:p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PR24 business plan data (FY23-FY30)</a:t>
          </a:r>
        </a:p>
      </xdr:txBody>
    </xdr:sp>
    <xdr:clientData/>
  </xdr:twoCellAnchor>
  <xdr:twoCellAnchor>
    <xdr:from>
      <xdr:col>11</xdr:col>
      <xdr:colOff>806452</xdr:colOff>
      <xdr:row>29</xdr:row>
      <xdr:rowOff>39684</xdr:rowOff>
    </xdr:from>
    <xdr:to>
      <xdr:col>11</xdr:col>
      <xdr:colOff>2178052</xdr:colOff>
      <xdr:row>33</xdr:row>
      <xdr:rowOff>384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A86D05FA-1500-4A9C-AC11-0EFD5336883C}"/>
            </a:ext>
          </a:extLst>
        </xdr:cNvPr>
        <xdr:cNvSpPr/>
      </xdr:nvSpPr>
      <xdr:spPr>
        <a:xfrm>
          <a:off x="4608832" y="8017824"/>
          <a:ext cx="1287780" cy="1027500"/>
        </a:xfrm>
        <a:prstGeom prst="rect">
          <a:avLst/>
        </a:prstGeom>
        <a:solidFill>
          <a:srgbClr val="98C561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Allowance</a:t>
          </a:r>
        </a:p>
      </xdr:txBody>
    </xdr:sp>
    <xdr:clientData/>
  </xdr:twoCellAnchor>
  <xdr:twoCellAnchor>
    <xdr:from>
      <xdr:col>7</xdr:col>
      <xdr:colOff>1646038</xdr:colOff>
      <xdr:row>25</xdr:row>
      <xdr:rowOff>161924</xdr:rowOff>
    </xdr:from>
    <xdr:to>
      <xdr:col>11</xdr:col>
      <xdr:colOff>1492251</xdr:colOff>
      <xdr:row>29</xdr:row>
      <xdr:rowOff>39684</xdr:rowOff>
    </xdr:to>
    <xdr:cxnSp macro="">
      <xdr:nvCxnSpPr>
        <xdr:cNvPr id="8" name="Connector: Elbow 7">
          <a:extLst>
            <a:ext uri="{FF2B5EF4-FFF2-40B4-BE49-F238E27FC236}">
              <a16:creationId xmlns:a16="http://schemas.microsoft.com/office/drawing/2014/main" id="{27FDE1E3-5A2C-4FE1-9AF5-69F28ABA36BA}"/>
            </a:ext>
          </a:extLst>
        </xdr:cNvPr>
        <xdr:cNvCxnSpPr>
          <a:stCxn id="3" idx="2"/>
          <a:endCxn id="7" idx="0"/>
        </xdr:cNvCxnSpPr>
      </xdr:nvCxnSpPr>
      <xdr:spPr>
        <a:xfrm rot="16200000" flipH="1">
          <a:off x="3523835" y="6247027"/>
          <a:ext cx="944560" cy="2597033"/>
        </a:xfrm>
        <a:prstGeom prst="bentConnector3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21035</xdr:colOff>
      <xdr:row>9</xdr:row>
      <xdr:rowOff>107552</xdr:rowOff>
    </xdr:from>
    <xdr:to>
      <xdr:col>7</xdr:col>
      <xdr:colOff>1630363</xdr:colOff>
      <xdr:row>14</xdr:row>
      <xdr:rowOff>134937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0EAC228-36AD-43B4-9275-D25D6D1724CA}"/>
            </a:ext>
          </a:extLst>
        </xdr:cNvPr>
        <xdr:cNvSpPr txBox="1"/>
      </xdr:nvSpPr>
      <xdr:spPr>
        <a:xfrm>
          <a:off x="219155" y="2751692"/>
          <a:ext cx="2462768" cy="1360885"/>
        </a:xfrm>
        <a:prstGeom prst="rect">
          <a:avLst/>
        </a:prstGeom>
        <a:solidFill>
          <a:schemeClr val="lt1"/>
        </a:solidFill>
        <a:ln w="19050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Data from business plan tables</a:t>
          </a:r>
          <a:r>
            <a:rPr lang="en-GB" sz="1100" baseline="0"/>
            <a:t> was overwritten in cases where reallocations have been made or other changes to requested costs were made</a:t>
          </a:r>
          <a:endParaRPr lang="en-GB" sz="1100"/>
        </a:p>
      </xdr:txBody>
    </xdr:sp>
    <xdr:clientData/>
  </xdr:twoCellAnchor>
  <xdr:twoCellAnchor>
    <xdr:from>
      <xdr:col>11</xdr:col>
      <xdr:colOff>1193006</xdr:colOff>
      <xdr:row>9</xdr:row>
      <xdr:rowOff>74614</xdr:rowOff>
    </xdr:from>
    <xdr:to>
      <xdr:col>16</xdr:col>
      <xdr:colOff>735012</xdr:colOff>
      <xdr:row>14</xdr:row>
      <xdr:rowOff>158750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A196C94-B664-44FA-B8A5-7486AE8BA4DD}"/>
            </a:ext>
          </a:extLst>
        </xdr:cNvPr>
        <xdr:cNvSpPr txBox="1"/>
      </xdr:nvSpPr>
      <xdr:spPr>
        <a:xfrm>
          <a:off x="4995386" y="2718754"/>
          <a:ext cx="2468086" cy="1417636"/>
        </a:xfrm>
        <a:prstGeom prst="rect">
          <a:avLst/>
        </a:prstGeom>
        <a:solidFill>
          <a:schemeClr val="lt1"/>
        </a:solidFill>
        <a:ln w="19050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Enhancement</a:t>
          </a:r>
          <a:r>
            <a:rPr lang="en-GB" sz="1100" baseline="0"/>
            <a:t> models use data from a wide range of sources, some of which is stored by Ofwat internally, some of which comes from other, external sources.</a:t>
          </a:r>
          <a:endParaRPr lang="en-GB" sz="1100"/>
        </a:p>
      </xdr:txBody>
    </xdr:sp>
    <xdr:clientData/>
  </xdr:twoCellAnchor>
  <xdr:twoCellAnchor>
    <xdr:from>
      <xdr:col>5</xdr:col>
      <xdr:colOff>106362</xdr:colOff>
      <xdr:row>29</xdr:row>
      <xdr:rowOff>30162</xdr:rowOff>
    </xdr:from>
    <xdr:to>
      <xdr:col>8</xdr:col>
      <xdr:colOff>87312</xdr:colOff>
      <xdr:row>33</xdr:row>
      <xdr:rowOff>19050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1C7FB38-B181-464E-8425-1FA594612AD8}"/>
            </a:ext>
          </a:extLst>
        </xdr:cNvPr>
        <xdr:cNvSpPr txBox="1"/>
      </xdr:nvSpPr>
      <xdr:spPr>
        <a:xfrm>
          <a:off x="677862" y="8008302"/>
          <a:ext cx="2556510" cy="1055688"/>
        </a:xfrm>
        <a:prstGeom prst="rect">
          <a:avLst/>
        </a:prstGeom>
        <a:solidFill>
          <a:schemeClr val="lt1"/>
        </a:solidFill>
        <a:ln w="19050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For all companies, allowances are not allocated by price control</a:t>
          </a:r>
        </a:p>
      </xdr:txBody>
    </xdr:sp>
    <xdr:clientData/>
  </xdr:twoCellAnchor>
  <xdr:twoCellAnchor>
    <xdr:from>
      <xdr:col>8</xdr:col>
      <xdr:colOff>87312</xdr:colOff>
      <xdr:row>31</xdr:row>
      <xdr:rowOff>20034</xdr:rowOff>
    </xdr:from>
    <xdr:to>
      <xdr:col>11</xdr:col>
      <xdr:colOff>806452</xdr:colOff>
      <xdr:row>31</xdr:row>
      <xdr:rowOff>24606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DC3324FD-659C-4E22-B7D4-FF4B33F2E081}"/>
            </a:ext>
          </a:extLst>
        </xdr:cNvPr>
        <xdr:cNvCxnSpPr>
          <a:stCxn id="12" idx="3"/>
          <a:endCxn id="7" idx="1"/>
        </xdr:cNvCxnSpPr>
      </xdr:nvCxnSpPr>
      <xdr:spPr>
        <a:xfrm flipV="1">
          <a:off x="3234372" y="8531574"/>
          <a:ext cx="1374460" cy="4572"/>
        </a:xfrm>
        <a:prstGeom prst="line">
          <a:avLst/>
        </a:prstGeom>
        <a:ln w="19050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800102</xdr:colOff>
      <xdr:row>34</xdr:row>
      <xdr:rowOff>152400</xdr:rowOff>
    </xdr:from>
    <xdr:to>
      <xdr:col>11</xdr:col>
      <xdr:colOff>2209802</xdr:colOff>
      <xdr:row>38</xdr:row>
      <xdr:rowOff>114300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D32476A9-264B-48BB-AE33-B2EF84197539}"/>
            </a:ext>
          </a:extLst>
        </xdr:cNvPr>
        <xdr:cNvSpPr/>
      </xdr:nvSpPr>
      <xdr:spPr>
        <a:xfrm>
          <a:off x="4602482" y="9464040"/>
          <a:ext cx="1295400" cy="1028700"/>
        </a:xfrm>
        <a:prstGeom prst="rect">
          <a:avLst/>
        </a:prstGeom>
        <a:solidFill>
          <a:srgbClr val="98C561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Outputs to aggregator</a:t>
          </a:r>
        </a:p>
      </xdr:txBody>
    </xdr:sp>
    <xdr:clientData/>
  </xdr:twoCellAnchor>
  <xdr:twoCellAnchor>
    <xdr:from>
      <xdr:col>11</xdr:col>
      <xdr:colOff>1504952</xdr:colOff>
      <xdr:row>33</xdr:row>
      <xdr:rowOff>30162</xdr:rowOff>
    </xdr:from>
    <xdr:to>
      <xdr:col>11</xdr:col>
      <xdr:colOff>1504952</xdr:colOff>
      <xdr:row>34</xdr:row>
      <xdr:rowOff>142875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2C6A0906-BC9F-4B1F-8580-3A7732974A83}"/>
            </a:ext>
          </a:extLst>
        </xdr:cNvPr>
        <xdr:cNvCxnSpPr/>
      </xdr:nvCxnSpPr>
      <xdr:spPr>
        <a:xfrm>
          <a:off x="5307332" y="9075102"/>
          <a:ext cx="0" cy="379413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106362</xdr:colOff>
      <xdr:row>35</xdr:row>
      <xdr:rowOff>0</xdr:rowOff>
    </xdr:from>
    <xdr:to>
      <xdr:col>8</xdr:col>
      <xdr:colOff>87312</xdr:colOff>
      <xdr:row>39</xdr:row>
      <xdr:rowOff>95250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E559E1D-5016-4BC3-92F2-152597148447}"/>
            </a:ext>
          </a:extLst>
        </xdr:cNvPr>
        <xdr:cNvSpPr txBox="1"/>
      </xdr:nvSpPr>
      <xdr:spPr>
        <a:xfrm>
          <a:off x="677862" y="9578340"/>
          <a:ext cx="2556510" cy="1162050"/>
        </a:xfrm>
        <a:prstGeom prst="rect">
          <a:avLst/>
        </a:prstGeom>
        <a:solidFill>
          <a:schemeClr val="lt1"/>
        </a:solidFill>
        <a:ln w="19050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100"/>
            <a:t>Calculated allowances are profiled across the transition period (2023-25) and AMP8 (2025-30) based on the profile</a:t>
          </a:r>
          <a:r>
            <a:rPr lang="en-GB" sz="1100" baseline="0"/>
            <a:t> of</a:t>
          </a:r>
          <a:r>
            <a:rPr lang="en-GB" sz="1100"/>
            <a:t> business plan submissions</a:t>
          </a:r>
        </a:p>
      </xdr:txBody>
    </xdr:sp>
    <xdr:clientData/>
  </xdr:twoCellAnchor>
  <xdr:twoCellAnchor>
    <xdr:from>
      <xdr:col>8</xdr:col>
      <xdr:colOff>87312</xdr:colOff>
      <xdr:row>37</xdr:row>
      <xdr:rowOff>0</xdr:rowOff>
    </xdr:from>
    <xdr:to>
      <xdr:col>11</xdr:col>
      <xdr:colOff>811214</xdr:colOff>
      <xdr:row>37</xdr:row>
      <xdr:rowOff>47625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B5C1BB17-67FF-44EC-9D03-17E757BCD2F6}"/>
            </a:ext>
          </a:extLst>
        </xdr:cNvPr>
        <xdr:cNvCxnSpPr>
          <a:stCxn id="16" idx="3"/>
        </xdr:cNvCxnSpPr>
      </xdr:nvCxnSpPr>
      <xdr:spPr>
        <a:xfrm flipV="1">
          <a:off x="3234372" y="10111740"/>
          <a:ext cx="1379222" cy="47625"/>
        </a:xfrm>
        <a:prstGeom prst="line">
          <a:avLst/>
        </a:prstGeom>
        <a:ln w="19050"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794545</xdr:colOff>
      <xdr:row>40</xdr:row>
      <xdr:rowOff>63501</xdr:rowOff>
    </xdr:from>
    <xdr:to>
      <xdr:col>11</xdr:col>
      <xdr:colOff>2166145</xdr:colOff>
      <xdr:row>44</xdr:row>
      <xdr:rowOff>31751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E277A0C4-9C50-4582-A2BC-0CD8252009BE}"/>
            </a:ext>
          </a:extLst>
        </xdr:cNvPr>
        <xdr:cNvSpPr/>
      </xdr:nvSpPr>
      <xdr:spPr>
        <a:xfrm>
          <a:off x="4596925" y="10975341"/>
          <a:ext cx="1303020" cy="1035050"/>
        </a:xfrm>
        <a:prstGeom prst="rect">
          <a:avLst/>
        </a:prstGeom>
        <a:solidFill>
          <a:srgbClr val="98C561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F_Outputs</a:t>
          </a:r>
        </a:p>
      </xdr:txBody>
    </xdr:sp>
    <xdr:clientData/>
  </xdr:twoCellAnchor>
  <xdr:twoCellAnchor>
    <xdr:from>
      <xdr:col>11</xdr:col>
      <xdr:colOff>1504952</xdr:colOff>
      <xdr:row>38</xdr:row>
      <xdr:rowOff>107552</xdr:rowOff>
    </xdr:from>
    <xdr:to>
      <xdr:col>11</xdr:col>
      <xdr:colOff>1504952</xdr:colOff>
      <xdr:row>40</xdr:row>
      <xdr:rowOff>59531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C170D128-B60A-42ED-9153-3D56E6659F54}"/>
            </a:ext>
          </a:extLst>
        </xdr:cNvPr>
        <xdr:cNvCxnSpPr/>
      </xdr:nvCxnSpPr>
      <xdr:spPr>
        <a:xfrm>
          <a:off x="5307332" y="10485992"/>
          <a:ext cx="0" cy="485379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1921669</xdr:colOff>
      <xdr:row>4</xdr:row>
      <xdr:rowOff>19842</xdr:rowOff>
    </xdr:from>
    <xdr:to>
      <xdr:col>11</xdr:col>
      <xdr:colOff>409973</xdr:colOff>
      <xdr:row>7</xdr:row>
      <xdr:rowOff>158353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260534AB-092B-428D-A8CE-3A048912D65E}"/>
            </a:ext>
          </a:extLst>
        </xdr:cNvPr>
        <xdr:cNvSpPr/>
      </xdr:nvSpPr>
      <xdr:spPr>
        <a:xfrm>
          <a:off x="2973229" y="1330482"/>
          <a:ext cx="1239124" cy="938611"/>
        </a:xfrm>
        <a:prstGeom prst="rect">
          <a:avLst/>
        </a:prstGeom>
        <a:solidFill>
          <a:srgbClr val="FFDB8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Consolidated input</a:t>
          </a:r>
        </a:p>
      </xdr:txBody>
    </xdr:sp>
    <xdr:clientData/>
  </xdr:twoCellAnchor>
  <xdr:twoCellAnchor>
    <xdr:from>
      <xdr:col>7</xdr:col>
      <xdr:colOff>1919286</xdr:colOff>
      <xdr:row>9</xdr:row>
      <xdr:rowOff>112708</xdr:rowOff>
    </xdr:from>
    <xdr:to>
      <xdr:col>11</xdr:col>
      <xdr:colOff>407590</xdr:colOff>
      <xdr:row>13</xdr:row>
      <xdr:rowOff>90484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F6B04022-938F-4094-A9AF-D04B313F2D43}"/>
            </a:ext>
          </a:extLst>
        </xdr:cNvPr>
        <xdr:cNvSpPr/>
      </xdr:nvSpPr>
      <xdr:spPr>
        <a:xfrm>
          <a:off x="2970846" y="2756848"/>
          <a:ext cx="1239124" cy="1044576"/>
        </a:xfrm>
        <a:prstGeom prst="rect">
          <a:avLst/>
        </a:prstGeom>
        <a:solidFill>
          <a:srgbClr val="FFDB8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Input Override</a:t>
          </a:r>
        </a:p>
      </xdr:txBody>
    </xdr:sp>
    <xdr:clientData/>
  </xdr:twoCellAnchor>
  <xdr:twoCellAnchor>
    <xdr:from>
      <xdr:col>7</xdr:col>
      <xdr:colOff>1916904</xdr:colOff>
      <xdr:row>16</xdr:row>
      <xdr:rowOff>38890</xdr:rowOff>
    </xdr:from>
    <xdr:to>
      <xdr:col>11</xdr:col>
      <xdr:colOff>405208</xdr:colOff>
      <xdr:row>19</xdr:row>
      <xdr:rowOff>161515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AE1134C5-AA0D-40F3-BFD0-9D9B5CF2B4EA}"/>
            </a:ext>
          </a:extLst>
        </xdr:cNvPr>
        <xdr:cNvSpPr/>
      </xdr:nvSpPr>
      <xdr:spPr>
        <a:xfrm>
          <a:off x="2968464" y="4549930"/>
          <a:ext cx="1239124" cy="922725"/>
        </a:xfrm>
        <a:prstGeom prst="rect">
          <a:avLst/>
        </a:prstGeom>
        <a:solidFill>
          <a:srgbClr val="FFDB8E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50">
              <a:solidFill>
                <a:schemeClr val="tx1"/>
              </a:solidFill>
              <a:latin typeface="+mn-lt"/>
              <a:ea typeface="+mn-ea"/>
              <a:cs typeface="+mn-cs"/>
            </a:rPr>
            <a:t>Final Input</a:t>
          </a:r>
        </a:p>
      </xdr:txBody>
    </xdr:sp>
    <xdr:clientData/>
  </xdr:twoCellAnchor>
  <xdr:twoCellAnchor>
    <xdr:from>
      <xdr:col>7</xdr:col>
      <xdr:colOff>1293415</xdr:colOff>
      <xdr:row>6</xdr:row>
      <xdr:rowOff>8731</xdr:rowOff>
    </xdr:from>
    <xdr:to>
      <xdr:col>7</xdr:col>
      <xdr:colOff>1921669</xdr:colOff>
      <xdr:row>6</xdr:row>
      <xdr:rowOff>8731</xdr:rowOff>
    </xdr:to>
    <xdr:cxnSp macro="">
      <xdr:nvCxnSpPr>
        <xdr:cNvPr id="31" name="Connector: Elbow 30">
          <a:extLst>
            <a:ext uri="{FF2B5EF4-FFF2-40B4-BE49-F238E27FC236}">
              <a16:creationId xmlns:a16="http://schemas.microsoft.com/office/drawing/2014/main" id="{F758C9B3-FFDB-4A48-A789-293DEF0E2D02}"/>
            </a:ext>
          </a:extLst>
        </xdr:cNvPr>
        <xdr:cNvCxnSpPr>
          <a:stCxn id="5" idx="3"/>
          <a:endCxn id="24" idx="1"/>
        </xdr:cNvCxnSpPr>
      </xdr:nvCxnSpPr>
      <xdr:spPr>
        <a:xfrm flipV="1">
          <a:off x="2344975" y="1852771"/>
          <a:ext cx="628254" cy="0"/>
        </a:xfrm>
        <a:prstGeom prst="bentConnector3">
          <a:avLst>
            <a:gd name="adj1" fmla="val 50000"/>
          </a:avLst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231774</xdr:colOff>
      <xdr:row>7</xdr:row>
      <xdr:rowOff>158353</xdr:rowOff>
    </xdr:from>
    <xdr:to>
      <xdr:col>9</xdr:col>
      <xdr:colOff>234157</xdr:colOff>
      <xdr:row>9</xdr:row>
      <xdr:rowOff>112708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B6662127-0D98-41DC-BF46-FF1111D81B6E}"/>
            </a:ext>
          </a:extLst>
        </xdr:cNvPr>
        <xdr:cNvCxnSpPr>
          <a:stCxn id="24" idx="2"/>
          <a:endCxn id="25" idx="0"/>
        </xdr:cNvCxnSpPr>
      </xdr:nvCxnSpPr>
      <xdr:spPr>
        <a:xfrm flipH="1">
          <a:off x="3554094" y="2269093"/>
          <a:ext cx="2383" cy="48775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227606</xdr:colOff>
      <xdr:row>13</xdr:row>
      <xdr:rowOff>90484</xdr:rowOff>
    </xdr:from>
    <xdr:to>
      <xdr:col>9</xdr:col>
      <xdr:colOff>229988</xdr:colOff>
      <xdr:row>16</xdr:row>
      <xdr:rowOff>38890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37B6E9E6-D375-414E-A53A-303C94B6534F}"/>
            </a:ext>
          </a:extLst>
        </xdr:cNvPr>
        <xdr:cNvCxnSpPr>
          <a:stCxn id="25" idx="2"/>
          <a:endCxn id="26" idx="0"/>
        </xdr:cNvCxnSpPr>
      </xdr:nvCxnSpPr>
      <xdr:spPr>
        <a:xfrm flipH="1">
          <a:off x="3549926" y="3801424"/>
          <a:ext cx="2382" cy="748506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1603177</xdr:colOff>
      <xdr:row>20</xdr:row>
      <xdr:rowOff>257175</xdr:rowOff>
    </xdr:from>
    <xdr:to>
      <xdr:col>9</xdr:col>
      <xdr:colOff>219075</xdr:colOff>
      <xdr:row>22</xdr:row>
      <xdr:rowOff>38099</xdr:rowOff>
    </xdr:to>
    <xdr:cxnSp macro="">
      <xdr:nvCxnSpPr>
        <xdr:cNvPr id="34" name="Connector: Elbow 33">
          <a:extLst>
            <a:ext uri="{FF2B5EF4-FFF2-40B4-BE49-F238E27FC236}">
              <a16:creationId xmlns:a16="http://schemas.microsoft.com/office/drawing/2014/main" id="{12017884-DF91-4487-9941-E021E37F72D3}"/>
            </a:ext>
          </a:extLst>
        </xdr:cNvPr>
        <xdr:cNvCxnSpPr>
          <a:endCxn id="3" idx="0"/>
        </xdr:cNvCxnSpPr>
      </xdr:nvCxnSpPr>
      <xdr:spPr>
        <a:xfrm rot="10800000" flipV="1">
          <a:off x="2631877" y="5829300"/>
          <a:ext cx="882848" cy="314324"/>
        </a:xfrm>
        <a:prstGeom prst="bentConnector2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219075</xdr:colOff>
      <xdr:row>20</xdr:row>
      <xdr:rowOff>257175</xdr:rowOff>
    </xdr:from>
    <xdr:to>
      <xdr:col>11</xdr:col>
      <xdr:colOff>769625</xdr:colOff>
      <xdr:row>22</xdr:row>
      <xdr:rowOff>48814</xdr:rowOff>
    </xdr:to>
    <xdr:cxnSp macro="">
      <xdr:nvCxnSpPr>
        <xdr:cNvPr id="38" name="Connector: Elbow 37">
          <a:extLst>
            <a:ext uri="{FF2B5EF4-FFF2-40B4-BE49-F238E27FC236}">
              <a16:creationId xmlns:a16="http://schemas.microsoft.com/office/drawing/2014/main" id="{B2430B64-94CD-4115-AEA6-393E5675F2E1}"/>
            </a:ext>
          </a:extLst>
        </xdr:cNvPr>
        <xdr:cNvCxnSpPr>
          <a:cxnSpLocks/>
        </xdr:cNvCxnSpPr>
      </xdr:nvCxnSpPr>
      <xdr:spPr>
        <a:xfrm>
          <a:off x="3514725" y="5829300"/>
          <a:ext cx="1026800" cy="325039"/>
        </a:xfrm>
        <a:prstGeom prst="bentConnector2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266183</xdr:colOff>
      <xdr:row>19</xdr:row>
      <xdr:rowOff>172399</xdr:rowOff>
    </xdr:from>
    <xdr:to>
      <xdr:col>9</xdr:col>
      <xdr:colOff>276225</xdr:colOff>
      <xdr:row>21</xdr:row>
      <xdr:rowOff>9525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ED085AF2-3534-49EF-822A-E7C0E9CAEBB5}"/>
            </a:ext>
          </a:extLst>
        </xdr:cNvPr>
        <xdr:cNvCxnSpPr/>
      </xdr:nvCxnSpPr>
      <xdr:spPr>
        <a:xfrm>
          <a:off x="3561833" y="5477824"/>
          <a:ext cx="10042" cy="370526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825500</xdr:colOff>
      <xdr:row>25</xdr:row>
      <xdr:rowOff>171450</xdr:rowOff>
    </xdr:from>
    <xdr:to>
      <xdr:col>11</xdr:col>
      <xdr:colOff>1488441</xdr:colOff>
      <xdr:row>29</xdr:row>
      <xdr:rowOff>39684</xdr:rowOff>
    </xdr:to>
    <xdr:cxnSp macro="">
      <xdr:nvCxnSpPr>
        <xdr:cNvPr id="54" name="Connector: Elbow 53">
          <a:extLst>
            <a:ext uri="{FF2B5EF4-FFF2-40B4-BE49-F238E27FC236}">
              <a16:creationId xmlns:a16="http://schemas.microsoft.com/office/drawing/2014/main" id="{76CF8FC6-7FAE-EE0A-79D3-723C2A34A637}"/>
            </a:ext>
          </a:extLst>
        </xdr:cNvPr>
        <xdr:cNvCxnSpPr/>
      </xdr:nvCxnSpPr>
      <xdr:spPr>
        <a:xfrm rot="16200000" flipH="1">
          <a:off x="4461354" y="7213121"/>
          <a:ext cx="935034" cy="662941"/>
        </a:xfrm>
        <a:prstGeom prst="bentConnector3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17929</xdr:colOff>
      <xdr:row>19</xdr:row>
      <xdr:rowOff>0</xdr:rowOff>
    </xdr:from>
    <xdr:to>
      <xdr:col>5</xdr:col>
      <xdr:colOff>1082488</xdr:colOff>
      <xdr:row>31</xdr:row>
      <xdr:rowOff>147916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B06FE82-F27C-CF6F-F003-81546F6C2C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256742</xdr:colOff>
      <xdr:row>18</xdr:row>
      <xdr:rowOff>117980</xdr:rowOff>
    </xdr:from>
    <xdr:to>
      <xdr:col>7</xdr:col>
      <xdr:colOff>676275</xdr:colOff>
      <xdr:row>36</xdr:row>
      <xdr:rowOff>10174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D3E1325-14E1-712A-C925-C8BF098846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145256</xdr:colOff>
      <xdr:row>18</xdr:row>
      <xdr:rowOff>141685</xdr:rowOff>
    </xdr:from>
    <xdr:to>
      <xdr:col>15</xdr:col>
      <xdr:colOff>252846</xdr:colOff>
      <xdr:row>36</xdr:row>
      <xdr:rowOff>29117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7F13948C-54ED-42C1-AC57-C03052ECB207}"/>
            </a:ext>
            <a:ext uri="{147F2762-F138-4A5C-976F-8EAC2B608ADB}">
              <a16:predDERef xmlns:a16="http://schemas.microsoft.com/office/drawing/2014/main" pred="{2D3E1325-14E1-712A-C925-C8BF09884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BD71368-6030-4FF8-9055-C15A2AD6B178}" name="Table25" displayName="Table25" ref="B31:C52" totalsRowShown="0" headerRowDxfId="37" dataDxfId="36">
  <autoFilter ref="B31:C52" xr:uid="{0BD71368-6030-4FF8-9055-C15A2AD6B178}"/>
  <tableColumns count="2">
    <tableColumn id="1" xr3:uid="{DA65009C-62CB-45BF-AC47-C5E37B7D1E47}" name="Tab name" dataDxfId="35"/>
    <tableColumn id="2" xr3:uid="{F82FFBC8-6053-4788-A5D3-5F9CA12B1610}" name="Description" dataDxfId="3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FD695E-0CC4-400D-A87D-C61FB862060C}" name="Table1" displayName="Table1" ref="A4:N147" totalsRowShown="0" headerRowDxfId="33" headerRowBorderDxfId="31" tableBorderDxfId="32">
  <tableColumns count="14">
    <tableColumn id="1" xr3:uid="{9A2DD89F-D3AB-4BBA-BA3E-38420033F2D7}" name="Acronym" dataDxfId="30">
      <calculatedColumnFormula>F_Inputs!A7</calculatedColumnFormula>
    </tableColumn>
    <tableColumn id="2" xr3:uid="{73ADD5D4-1820-4E3D-83F8-5D56375CE07D}" name="BON code">
      <calculatedColumnFormula>F_Inputs!B7</calculatedColumnFormula>
    </tableColumn>
    <tableColumn id="3" xr3:uid="{9E4E27F9-9366-4FE7-8CFD-FD025A1638EB}" name="Item Description" dataDxfId="29">
      <calculatedColumnFormula>F_Inputs!C7</calculatedColumnFormula>
    </tableColumn>
    <tableColumn id="4" xr3:uid="{C1A8F3A4-9D1B-4619-A188-DD027954B83A}" name="Unit" dataDxfId="28">
      <calculatedColumnFormula>F_Inputs!D7</calculatedColumnFormula>
    </tableColumn>
    <tableColumn id="5" xr3:uid="{393FA4A1-AA21-4982-86A2-14B339E12C52}" name="Model" dataDxfId="27">
      <calculatedColumnFormula>F_Inputs!E7</calculatedColumnFormula>
    </tableColumn>
    <tableColumn id="6" xr3:uid="{92AD016D-C75C-4C56-9DA9-1B1088947B00}" name="2023-24" dataDxfId="26">
      <calculatedColumnFormula>SUMIFS(F_Inputs_adjusted!P:P,F_Inputs_adjusted!$A:$A,$A5,F_Inputs_adjusted!$B:$B,$B5)</calculatedColumnFormula>
    </tableColumn>
    <tableColumn id="7" xr3:uid="{C3C9799C-D2FC-408E-AA5A-F6C5E60A0701}" name="2024-25" dataDxfId="25">
      <calculatedColumnFormula>SUMIFS(F_Inputs_adjusted!Q:Q,F_Inputs_adjusted!$A:$A,$A5,F_Inputs_adjusted!$B:$B,$B5)</calculatedColumnFormula>
    </tableColumn>
    <tableColumn id="8" xr3:uid="{31EDFEC2-743C-4B44-9A85-9689F1228398}" name="2025-26" dataDxfId="24">
      <calculatedColumnFormula>SUMIFS(F_Inputs_adjusted!R:R,F_Inputs_adjusted!$A:$A,$A5,F_Inputs_adjusted!$B:$B,$B5)</calculatedColumnFormula>
    </tableColumn>
    <tableColumn id="9" xr3:uid="{22712C16-36E8-4C7D-AD2A-9344F1E75A06}" name="2026-27" dataDxfId="23">
      <calculatedColumnFormula>SUMIFS(F_Inputs_adjusted!S:S,F_Inputs_adjusted!$A:$A,$A5,F_Inputs_adjusted!$B:$B,$B5)</calculatedColumnFormula>
    </tableColumn>
    <tableColumn id="10" xr3:uid="{4C372EC9-749E-4DFC-A815-2BD2C24DF333}" name="2027-28" dataDxfId="22">
      <calculatedColumnFormula>SUMIFS(F_Inputs_adjusted!T:T,F_Inputs_adjusted!$A:$A,$A5,F_Inputs_adjusted!$B:$B,$B5)</calculatedColumnFormula>
    </tableColumn>
    <tableColumn id="11" xr3:uid="{65EA9F98-4F3B-4353-B458-25A3B5C68F58}" name="2028-29" dataDxfId="21">
      <calculatedColumnFormula>SUMIFS(F_Inputs_adjusted!U:U,F_Inputs_adjusted!$A:$A,$A5,F_Inputs_adjusted!$B:$B,$B5)</calculatedColumnFormula>
    </tableColumn>
    <tableColumn id="12" xr3:uid="{F0F6240F-1F05-4457-A4A7-9F16E433B85D}" name="2029-30" dataDxfId="20">
      <calculatedColumnFormula>SUMIFS(F_Inputs_adjusted!V:V,F_Inputs_adjusted!$A:$A,$A5,F_Inputs_adjusted!$B:$B,$B5)</calculatedColumnFormula>
    </tableColumn>
    <tableColumn id="13" xr3:uid="{4C3603E2-BF83-4C5B-9153-06BF6F0E3F7B}" name="Constant" dataDxfId="19">
      <calculatedColumnFormula>SUMIFS(F_Inputs_adjusted!M:M,F_Inputs_adjusted!$A:$A,$A5,F_Inputs_adjusted!$B:$B,$B5)</calculatedColumnFormula>
    </tableColumn>
    <tableColumn id="14" xr3:uid="{0AC917E2-2FEE-447A-BB32-EA12612842FB}" name="Total" dataDxfId="18">
      <calculatedColumnFormula>SUM(Table1[[#This Row],[2023-24]:[2029-30]])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494378E-EF12-4C7D-AEF9-BC2060AD9DE8}" name="Table3" displayName="Table3" ref="A4:N148" totalsRowShown="0" headerRowDxfId="17" tableBorderDxfId="16">
  <tableColumns count="14">
    <tableColumn id="1" xr3:uid="{B232B5DB-3CBF-46CC-AF62-A90E69B21F50}" name="Acronym" dataDxfId="15">
      <calculatedColumnFormula>'F_Input Override'!A5</calculatedColumnFormula>
    </tableColumn>
    <tableColumn id="2" xr3:uid="{673FB5E4-8A47-4A39-9F10-4C092E9CEA50}" name="BON code" dataDxfId="14">
      <calculatedColumnFormula>Table1[[#This Row],[BON code]]</calculatedColumnFormula>
    </tableColumn>
    <tableColumn id="3" xr3:uid="{A7BAEB4F-98C6-4388-B631-8D9E4914D915}" name="Item Description" dataDxfId="13">
      <calculatedColumnFormula>'F_Input Override'!C5</calculatedColumnFormula>
    </tableColumn>
    <tableColumn id="4" xr3:uid="{B730EDB1-A7EE-4C4A-843C-29BAF045A594}" name="Unit" dataDxfId="12">
      <calculatedColumnFormula>'F_Input Override'!D5</calculatedColumnFormula>
    </tableColumn>
    <tableColumn id="5" xr3:uid="{A3ED67AD-9430-47DC-8FE4-3DEA8FCFBF01}" name="Model" dataDxfId="11">
      <calculatedColumnFormula>'F_Input Override'!E5</calculatedColumnFormula>
    </tableColumn>
    <tableColumn id="6" xr3:uid="{D1BE4EE6-4E33-45C1-AAD2-DDFF5FBC0769}" name="2023-24" dataDxfId="10">
      <calculatedColumnFormula>IF('F_Input Override'!F5="",'Consolidated Input'!F5,('F_Input Override'!F5))</calculatedColumnFormula>
    </tableColumn>
    <tableColumn id="7" xr3:uid="{1C87F7CC-1249-4D69-885B-08B671ED305B}" name="2024-25" dataDxfId="9">
      <calculatedColumnFormula>IF('F_Input Override'!G5="",'Consolidated Input'!G5,('F_Input Override'!G5))</calculatedColumnFormula>
    </tableColumn>
    <tableColumn id="8" xr3:uid="{542BE371-38B1-422E-9A5D-2B26ED52E43B}" name="2025-26" dataDxfId="8">
      <calculatedColumnFormula>IF('F_Input Override'!H5="",'Consolidated Input'!H5,('F_Input Override'!H5))</calculatedColumnFormula>
    </tableColumn>
    <tableColumn id="9" xr3:uid="{4247CC5D-56EB-4F56-B461-278CB4E2CF5D}" name="2026-27" dataDxfId="7">
      <calculatedColumnFormula>IF('F_Input Override'!I5="",'Consolidated Input'!I5,('F_Input Override'!I5))</calculatedColumnFormula>
    </tableColumn>
    <tableColumn id="10" xr3:uid="{5316AEBB-81DE-43D6-AFAB-348CA38D8944}" name="2027-28" dataDxfId="6">
      <calculatedColumnFormula>IF('F_Input Override'!J5="",'Consolidated Input'!J5,('F_Input Override'!J5))</calculatedColumnFormula>
    </tableColumn>
    <tableColumn id="11" xr3:uid="{2BE9645A-ABC3-4D8F-B35A-1A08E764F09E}" name="2028-29" dataDxfId="5">
      <calculatedColumnFormula>IF('F_Input Override'!K5="",'Consolidated Input'!K5,('F_Input Override'!K5))</calculatedColumnFormula>
    </tableColumn>
    <tableColumn id="12" xr3:uid="{3D99C436-7B0D-4FEC-A26B-E69F7CF4048C}" name="2029-30" dataDxfId="4">
      <calculatedColumnFormula>IF('F_Input Override'!L5="",'Consolidated Input'!L5,('F_Input Override'!L5))</calculatedColumnFormula>
    </tableColumn>
    <tableColumn id="13" xr3:uid="{1A59EC99-CAC0-46FB-B518-74426085149B}" name="Constant" dataDxfId="3">
      <calculatedColumnFormula>IF('F_Input Override'!M5="",'Consolidated Input'!M5,('F_Input Override'!M5))</calculatedColumnFormula>
    </tableColumn>
    <tableColumn id="14" xr3:uid="{1C5389CE-2ABB-4352-B752-D9BB09F155AB}" name="Total" dataDxfId="2">
      <calculatedColumnFormula>SUM(F5:L5)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wat">
  <a:themeElements>
    <a:clrScheme name="Ofwat">
      <a:dk1>
        <a:sysClr val="windowText" lastClr="000000"/>
      </a:dk1>
      <a:lt1>
        <a:sysClr val="window" lastClr="FFFFFF"/>
      </a:lt1>
      <a:dk2>
        <a:srgbClr val="003595"/>
      </a:dk2>
      <a:lt2>
        <a:srgbClr val="DCECF5"/>
      </a:lt2>
      <a:accent1>
        <a:srgbClr val="0071CE"/>
      </a:accent1>
      <a:accent2>
        <a:srgbClr val="63656A"/>
      </a:accent2>
      <a:accent3>
        <a:srgbClr val="FFB81D"/>
      </a:accent3>
      <a:accent4>
        <a:srgbClr val="62A70F"/>
      </a:accent4>
      <a:accent5>
        <a:srgbClr val="FF8772"/>
      </a:accent5>
      <a:accent6>
        <a:srgbClr val="D60037"/>
      </a:accent6>
      <a:hlink>
        <a:srgbClr val="0071CE"/>
      </a:hlink>
      <a:folHlink>
        <a:srgbClr val="94368D"/>
      </a:folHlink>
    </a:clrScheme>
    <a:fontScheme name="Ofwat">
      <a:majorFont>
        <a:latin typeface="Krub SemiBold"/>
        <a:ea typeface=""/>
        <a:cs typeface=""/>
      </a:majorFont>
      <a:minorFont>
        <a:latin typeface="Krub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wat 2016" id="{A420DE61-A4E8-4DB5-890E-1E2F09860D19}" vid="{7B41E948-0C9A-4054-BED8-27FCA73304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mailto:PR24@ofwat.gov.uk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F6BC0-E22D-48A0-A260-9724920E20F8}">
  <sheetPr codeName="Sheet6">
    <tabColor theme="0" tint="-0.249977111117893"/>
  </sheetPr>
  <dimension ref="A1:D110"/>
  <sheetViews>
    <sheetView showGridLines="0" topLeftCell="A29" zoomScale="80" zoomScaleNormal="80" workbookViewId="0">
      <selection activeCell="B49" sqref="B49"/>
    </sheetView>
  </sheetViews>
  <sheetFormatPr defaultColWidth="8.85546875" defaultRowHeight="13.5" customHeight="1" zeroHeight="1"/>
  <cols>
    <col min="1" max="1" width="8.140625" style="206" customWidth="1"/>
    <col min="2" max="2" width="44.140625" style="206" customWidth="1"/>
    <col min="3" max="3" width="115.5703125" style="206" customWidth="1"/>
    <col min="4" max="4" width="14.85546875" style="206" customWidth="1"/>
    <col min="5" max="16384" width="8.85546875" style="206"/>
  </cols>
  <sheetData>
    <row r="1" spans="1:4" ht="31.5">
      <c r="A1" s="204" t="str">
        <f ca="1" xml:space="preserve"> RIGHT(CELL("filename", $A$1), LEN(CELL("filename", $A$1)) - SEARCH("]", CELL("filename", $A$1)))</f>
        <v>Cover</v>
      </c>
      <c r="B1" s="204"/>
      <c r="C1" s="205"/>
      <c r="D1" s="205"/>
    </row>
    <row r="2" spans="1:4" ht="12.75"/>
    <row r="3" spans="1:4" s="207" customFormat="1" ht="23.25">
      <c r="B3" s="208" t="s">
        <v>0</v>
      </c>
    </row>
    <row r="4" spans="1:4" ht="12.75"/>
    <row r="5" spans="1:4" ht="12.75">
      <c r="B5" s="206" t="s">
        <v>1</v>
      </c>
      <c r="C5" s="206" t="s">
        <v>2</v>
      </c>
    </row>
    <row r="6" spans="1:4" ht="12.75">
      <c r="B6" s="206" t="s">
        <v>3</v>
      </c>
      <c r="C6" s="209">
        <v>2</v>
      </c>
    </row>
    <row r="7" spans="1:4" ht="12.75">
      <c r="B7" s="206" t="s">
        <v>4</v>
      </c>
      <c r="C7" s="210" t="str">
        <f ca="1" xml:space="preserve"> MID(CELL("filename"), FIND("[", CELL("filename"), 1) + 1, FIND("]", CELL("filename"), 1) - FIND("[", CELL("filename"), 1) - 1)</f>
        <v>OT13 Final Determinations Tables.xlsx</v>
      </c>
    </row>
    <row r="8" spans="1:4" ht="12.75">
      <c r="B8" s="206" t="s">
        <v>5</v>
      </c>
      <c r="C8" s="211">
        <v>45627</v>
      </c>
    </row>
    <row r="9" spans="1:4" ht="12.75"/>
    <row r="10" spans="1:4" ht="12.75">
      <c r="B10" s="206" t="s">
        <v>6</v>
      </c>
      <c r="C10" s="212" t="s">
        <v>7</v>
      </c>
    </row>
    <row r="11" spans="1:4" ht="12.75"/>
    <row r="12" spans="1:4" ht="12.75">
      <c r="C12" s="213"/>
    </row>
    <row r="13" spans="1:4" ht="12.75">
      <c r="C13" s="213"/>
    </row>
    <row r="14" spans="1:4" ht="12.75">
      <c r="C14" s="213"/>
    </row>
    <row r="15" spans="1:4" ht="12.75"/>
    <row r="16" spans="1:4" ht="12.75"/>
    <row r="17" spans="2:3" ht="12.75"/>
    <row r="18" spans="2:3" ht="12.75"/>
    <row r="19" spans="2:3" ht="12.75"/>
    <row r="20" spans="2:3" ht="12.75"/>
    <row r="21" spans="2:3" ht="12.75"/>
    <row r="22" spans="2:3" ht="12.75"/>
    <row r="23" spans="2:3" ht="12.75"/>
    <row r="24" spans="2:3" ht="12.75"/>
    <row r="25" spans="2:3" ht="12.75"/>
    <row r="26" spans="2:3" ht="12.75"/>
    <row r="27" spans="2:3" ht="12.75"/>
    <row r="28" spans="2:3" ht="12.75"/>
    <row r="29" spans="2:3" ht="15">
      <c r="B29" s="214" t="s">
        <v>8</v>
      </c>
    </row>
    <row r="30" spans="2:3" ht="7.5" customHeight="1"/>
    <row r="31" spans="2:3" ht="12.75">
      <c r="B31" s="215" t="s">
        <v>9</v>
      </c>
      <c r="C31" s="215" t="s">
        <v>10</v>
      </c>
    </row>
    <row r="32" spans="2:3" ht="12.75">
      <c r="B32" s="216" t="s">
        <v>11</v>
      </c>
      <c r="C32" s="216" t="s">
        <v>12</v>
      </c>
    </row>
    <row r="33" spans="2:3" ht="12.75">
      <c r="B33" s="216" t="s">
        <v>13</v>
      </c>
      <c r="C33" s="216" t="s">
        <v>14</v>
      </c>
    </row>
    <row r="34" spans="2:3" ht="12.75">
      <c r="B34" s="216" t="s">
        <v>15</v>
      </c>
      <c r="C34" s="216" t="s">
        <v>16</v>
      </c>
    </row>
    <row r="35" spans="2:3" ht="12.75">
      <c r="B35" s="216" t="s">
        <v>17</v>
      </c>
      <c r="C35" s="216" t="s">
        <v>18</v>
      </c>
    </row>
    <row r="36" spans="2:3" ht="40.9" customHeight="1">
      <c r="B36" s="216" t="s">
        <v>19</v>
      </c>
      <c r="C36" s="217" t="s">
        <v>20</v>
      </c>
    </row>
    <row r="37" spans="2:3" ht="12.75">
      <c r="B37" s="216" t="s">
        <v>21</v>
      </c>
      <c r="C37" s="216" t="s">
        <v>22</v>
      </c>
    </row>
    <row r="38" spans="2:3" ht="12.75">
      <c r="B38" s="216" t="s">
        <v>23</v>
      </c>
      <c r="C38" s="216" t="s">
        <v>24</v>
      </c>
    </row>
    <row r="39" spans="2:3" ht="12.75">
      <c r="B39" s="216" t="s">
        <v>25</v>
      </c>
      <c r="C39" s="216" t="s">
        <v>26</v>
      </c>
    </row>
    <row r="40" spans="2:3" ht="12.75">
      <c r="B40" s="216" t="s">
        <v>27</v>
      </c>
      <c r="C40" s="216" t="s">
        <v>28</v>
      </c>
    </row>
    <row r="41" spans="2:3" ht="12.75">
      <c r="B41" s="216" t="s">
        <v>29</v>
      </c>
      <c r="C41" s="216" t="s">
        <v>30</v>
      </c>
    </row>
    <row r="42" spans="2:3" ht="12.75">
      <c r="B42" s="216" t="s">
        <v>31</v>
      </c>
      <c r="C42" s="216" t="s">
        <v>32</v>
      </c>
    </row>
    <row r="43" spans="2:3" ht="12.75">
      <c r="B43" s="216" t="s">
        <v>33</v>
      </c>
      <c r="C43" s="216" t="s">
        <v>34</v>
      </c>
    </row>
    <row r="44" spans="2:3" ht="12.75">
      <c r="B44" s="216" t="s">
        <v>35</v>
      </c>
      <c r="C44" s="216" t="s">
        <v>16</v>
      </c>
    </row>
    <row r="45" spans="2:3" ht="12.75">
      <c r="B45" s="216" t="s">
        <v>36</v>
      </c>
      <c r="C45" s="216" t="s">
        <v>37</v>
      </c>
    </row>
    <row r="46" spans="2:3" ht="12.75">
      <c r="B46" s="216" t="s">
        <v>38</v>
      </c>
      <c r="C46" s="216" t="s">
        <v>39</v>
      </c>
    </row>
    <row r="47" spans="2:3" ht="12.75">
      <c r="B47" s="216" t="s">
        <v>40</v>
      </c>
      <c r="C47" s="216" t="s">
        <v>16</v>
      </c>
    </row>
    <row r="48" spans="2:3" ht="12.75">
      <c r="B48" s="216" t="s">
        <v>41</v>
      </c>
      <c r="C48" s="216" t="s">
        <v>42</v>
      </c>
    </row>
    <row r="49" spans="2:4" ht="17.25" customHeight="1">
      <c r="B49" s="216" t="s">
        <v>43</v>
      </c>
      <c r="C49" s="217" t="s">
        <v>44</v>
      </c>
    </row>
    <row r="50" spans="2:4" ht="12.75">
      <c r="B50" s="216" t="s">
        <v>45</v>
      </c>
      <c r="C50" s="216" t="s">
        <v>46</v>
      </c>
    </row>
    <row r="51" spans="2:4" ht="12.75">
      <c r="B51" s="216" t="s">
        <v>47</v>
      </c>
      <c r="C51" s="216" t="s">
        <v>48</v>
      </c>
    </row>
    <row r="52" spans="2:4" ht="12.75">
      <c r="B52" s="216" t="s">
        <v>49</v>
      </c>
      <c r="C52" s="216" t="s">
        <v>50</v>
      </c>
    </row>
    <row r="53" spans="2:4" ht="12.75"/>
    <row r="54" spans="2:4" ht="15">
      <c r="B54" s="218" t="s">
        <v>51</v>
      </c>
    </row>
    <row r="55" spans="2:4" ht="12.75"/>
    <row r="56" spans="2:4" ht="46.15" customHeight="1">
      <c r="B56" s="219" t="s">
        <v>52</v>
      </c>
      <c r="C56" s="219" t="s">
        <v>53</v>
      </c>
      <c r="D56" s="219" t="s">
        <v>54</v>
      </c>
    </row>
    <row r="57" spans="2:4" ht="13.5" customHeight="1">
      <c r="B57" s="220"/>
      <c r="C57" s="220"/>
      <c r="D57" s="220"/>
    </row>
    <row r="58" spans="2:4" ht="13.5" customHeight="1">
      <c r="B58" s="220"/>
      <c r="C58" s="220"/>
      <c r="D58" s="220"/>
    </row>
    <row r="59" spans="2:4" ht="13.5" customHeight="1"/>
    <row r="60" spans="2:4" ht="13.5" customHeight="1"/>
    <row r="61" spans="2:4" ht="13.5" customHeight="1"/>
    <row r="62" spans="2:4" ht="13.5" customHeight="1"/>
    <row r="63" spans="2:4" ht="13.5" customHeight="1"/>
    <row r="64" spans="2: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</sheetData>
  <hyperlinks>
    <hyperlink ref="C10" r:id="rId1" xr:uid="{D3E013F3-7319-4667-9BE3-0ADA2BDB74C8}"/>
  </hyperlinks>
  <pageMargins left="0.7" right="0.7" top="0.75" bottom="0.75" header="0.3" footer="0.3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67D06-DE01-407C-BE23-E66DD045C1D0}">
  <sheetPr>
    <tabColor rgb="FFFFDB8E"/>
  </sheetPr>
  <dimension ref="A1:M19"/>
  <sheetViews>
    <sheetView showGridLines="0" zoomScale="80" zoomScaleNormal="80" workbookViewId="0"/>
  </sheetViews>
  <sheetFormatPr defaultRowHeight="12.75"/>
  <cols>
    <col min="3" max="3" width="37.85546875" customWidth="1"/>
    <col min="4" max="4" width="28.42578125" customWidth="1"/>
    <col min="6" max="6" width="17.7109375" customWidth="1"/>
    <col min="7" max="7" width="27.140625" customWidth="1"/>
  </cols>
  <sheetData>
    <row r="1" spans="1:13" ht="31.5">
      <c r="A1" s="1" t="str">
        <f ca="1" xml:space="preserve"> RIGHT(CELL("filename", $B$1), LEN(CELL("filename", $B$1)) - SEARCH("]", CELL("filename", $B$1)))</f>
        <v>PR24_NETTOTEX_WASTE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ht="15">
      <c r="B3" s="157"/>
      <c r="C3" s="157"/>
      <c r="D3" s="33" t="s">
        <v>117</v>
      </c>
      <c r="E3" s="157"/>
      <c r="F3" s="33" t="s">
        <v>118</v>
      </c>
      <c r="G3" s="157"/>
    </row>
    <row r="4" spans="1:13" ht="15">
      <c r="B4" s="56" t="s">
        <v>59</v>
      </c>
      <c r="C4" s="56" t="s">
        <v>60</v>
      </c>
      <c r="D4" s="56" t="s">
        <v>61</v>
      </c>
      <c r="E4" s="56" t="s">
        <v>62</v>
      </c>
      <c r="F4" s="56" t="s">
        <v>63</v>
      </c>
      <c r="G4" s="56" t="s">
        <v>71</v>
      </c>
    </row>
    <row r="5" spans="1:13" ht="15">
      <c r="B5" s="157"/>
      <c r="C5" s="157"/>
      <c r="D5" s="157"/>
      <c r="E5" s="157"/>
      <c r="F5" s="157"/>
      <c r="G5" s="56" t="s">
        <v>72</v>
      </c>
    </row>
    <row r="6" spans="1:13" ht="15">
      <c r="B6" s="157"/>
      <c r="C6" s="157"/>
      <c r="D6" s="157"/>
      <c r="E6" s="157"/>
      <c r="F6" s="157"/>
      <c r="G6" s="56" t="s">
        <v>73</v>
      </c>
    </row>
    <row r="7" spans="1:13" ht="15">
      <c r="B7" s="157"/>
      <c r="C7" s="157"/>
      <c r="D7" s="157"/>
      <c r="E7" s="157"/>
      <c r="F7" s="157"/>
      <c r="G7" s="56" t="s">
        <v>74</v>
      </c>
    </row>
    <row r="8" spans="1:13" ht="14.25">
      <c r="B8" s="157" t="s">
        <v>75</v>
      </c>
      <c r="C8" s="157" t="s">
        <v>29</v>
      </c>
      <c r="D8" s="157" t="s">
        <v>89</v>
      </c>
      <c r="E8" s="157" t="s">
        <v>78</v>
      </c>
      <c r="F8" s="157" t="s">
        <v>72</v>
      </c>
      <c r="G8" s="158">
        <v>6050.1790000000001</v>
      </c>
    </row>
    <row r="9" spans="1:13" ht="14.25">
      <c r="B9" s="157" t="s">
        <v>97</v>
      </c>
      <c r="C9" s="157" t="s">
        <v>29</v>
      </c>
      <c r="D9" s="157" t="s">
        <v>89</v>
      </c>
      <c r="E9" s="157" t="s">
        <v>78</v>
      </c>
      <c r="F9" s="157" t="s">
        <v>72</v>
      </c>
      <c r="G9" s="158">
        <v>3318.1689999999999</v>
      </c>
    </row>
    <row r="10" spans="1:13" ht="14.25">
      <c r="B10" s="157" t="s">
        <v>98</v>
      </c>
      <c r="C10" s="157" t="s">
        <v>29</v>
      </c>
      <c r="D10" s="157" t="s">
        <v>89</v>
      </c>
      <c r="E10" s="157" t="s">
        <v>78</v>
      </c>
      <c r="F10" s="157" t="s">
        <v>72</v>
      </c>
      <c r="G10" s="159">
        <v>61.302999999999997</v>
      </c>
    </row>
    <row r="11" spans="1:13" ht="14.25">
      <c r="B11" s="157" t="s">
        <v>99</v>
      </c>
      <c r="C11" s="157" t="s">
        <v>29</v>
      </c>
      <c r="D11" s="157" t="s">
        <v>89</v>
      </c>
      <c r="E11" s="157" t="s">
        <v>78</v>
      </c>
      <c r="F11" s="157" t="s">
        <v>72</v>
      </c>
      <c r="G11" s="158">
        <v>3207.9270000000001</v>
      </c>
    </row>
    <row r="12" spans="1:13" ht="14.25">
      <c r="B12" s="157" t="s">
        <v>101</v>
      </c>
      <c r="C12" s="157" t="s">
        <v>29</v>
      </c>
      <c r="D12" s="157" t="s">
        <v>89</v>
      </c>
      <c r="E12" s="157" t="s">
        <v>78</v>
      </c>
      <c r="F12" s="157" t="s">
        <v>72</v>
      </c>
      <c r="G12" s="158">
        <v>8618.7119999999995</v>
      </c>
    </row>
    <row r="13" spans="1:13" ht="14.25">
      <c r="B13" s="157" t="s">
        <v>100</v>
      </c>
      <c r="C13" s="157" t="s">
        <v>29</v>
      </c>
      <c r="D13" s="157" t="s">
        <v>89</v>
      </c>
      <c r="E13" s="157" t="s">
        <v>78</v>
      </c>
      <c r="F13" s="157" t="s">
        <v>72</v>
      </c>
      <c r="G13" s="158">
        <v>2220.3789999999999</v>
      </c>
    </row>
    <row r="14" spans="1:13" ht="14.25">
      <c r="B14" s="157" t="s">
        <v>102</v>
      </c>
      <c r="C14" s="157" t="s">
        <v>29</v>
      </c>
      <c r="D14" s="157" t="s">
        <v>89</v>
      </c>
      <c r="E14" s="157" t="s">
        <v>78</v>
      </c>
      <c r="F14" s="157" t="s">
        <v>72</v>
      </c>
      <c r="G14" s="158">
        <v>5114.1959999999999</v>
      </c>
    </row>
    <row r="15" spans="1:13" ht="14.25">
      <c r="B15" s="157" t="s">
        <v>103</v>
      </c>
      <c r="C15" s="157" t="s">
        <v>29</v>
      </c>
      <c r="D15" s="157" t="s">
        <v>89</v>
      </c>
      <c r="E15" s="157" t="s">
        <v>78</v>
      </c>
      <c r="F15" s="157" t="s">
        <v>72</v>
      </c>
      <c r="G15" s="158">
        <v>12775.474</v>
      </c>
    </row>
    <row r="16" spans="1:13" ht="14.25">
      <c r="B16" s="157" t="s">
        <v>104</v>
      </c>
      <c r="C16" s="157" t="s">
        <v>29</v>
      </c>
      <c r="D16" s="157" t="s">
        <v>89</v>
      </c>
      <c r="E16" s="157" t="s">
        <v>78</v>
      </c>
      <c r="F16" s="157" t="s">
        <v>72</v>
      </c>
      <c r="G16" s="158">
        <v>8993.18</v>
      </c>
    </row>
    <row r="17" spans="2:7" ht="14.25">
      <c r="B17" s="157" t="s">
        <v>105</v>
      </c>
      <c r="C17" s="157" t="s">
        <v>29</v>
      </c>
      <c r="D17" s="157" t="s">
        <v>89</v>
      </c>
      <c r="E17" s="157" t="s">
        <v>78</v>
      </c>
      <c r="F17" s="157" t="s">
        <v>72</v>
      </c>
      <c r="G17" s="158">
        <v>3717.8809999999999</v>
      </c>
    </row>
    <row r="18" spans="2:7" ht="14.25">
      <c r="B18" s="157" t="s">
        <v>106</v>
      </c>
      <c r="C18" s="157" t="s">
        <v>29</v>
      </c>
      <c r="D18" s="157" t="s">
        <v>89</v>
      </c>
      <c r="E18" s="157" t="s">
        <v>78</v>
      </c>
      <c r="F18" s="157" t="s">
        <v>72</v>
      </c>
      <c r="G18" s="158">
        <v>4605.5680000000002</v>
      </c>
    </row>
    <row r="19" spans="2:7">
      <c r="G19" s="181">
        <f>SUM(G8:G18)</f>
        <v>58682.968000000001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71E51-8E7D-4428-9328-0E47470E3900}">
  <sheetPr>
    <tabColor rgb="FFFFDB8E"/>
  </sheetPr>
  <dimension ref="A1:M17"/>
  <sheetViews>
    <sheetView showGridLines="0" zoomScale="80" zoomScaleNormal="80" workbookViewId="0"/>
  </sheetViews>
  <sheetFormatPr defaultRowHeight="12.75"/>
  <sheetData>
    <row r="1" spans="1:13" ht="31.5">
      <c r="A1" s="1" t="str">
        <f ca="1" xml:space="preserve"> RIGHT(CELL("filename", $B$1), LEN(CELL("filename", $B$1)) - SEARCH("]", CELL("filename", $B$1)))</f>
        <v>Company level efficiencies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>
      <c r="A2" s="5"/>
      <c r="B2" s="5"/>
      <c r="C2" s="5"/>
      <c r="D2" s="33" t="s">
        <v>119</v>
      </c>
      <c r="E2" s="33"/>
      <c r="F2" s="33" t="s">
        <v>120</v>
      </c>
      <c r="G2" s="33"/>
      <c r="H2" s="33"/>
      <c r="I2" s="5"/>
      <c r="J2" s="5"/>
      <c r="K2" s="5"/>
      <c r="L2" s="5"/>
      <c r="M2" s="5"/>
    </row>
    <row r="3" spans="1:13" ht="15">
      <c r="A3" s="5"/>
      <c r="B3" s="48" t="s">
        <v>121</v>
      </c>
      <c r="C3" s="48" t="s">
        <v>122</v>
      </c>
      <c r="D3" s="48" t="s">
        <v>110</v>
      </c>
      <c r="E3" s="48" t="s">
        <v>123</v>
      </c>
      <c r="F3" s="48" t="s">
        <v>124</v>
      </c>
      <c r="G3" s="48" t="s">
        <v>64</v>
      </c>
      <c r="H3" s="48" t="s">
        <v>65</v>
      </c>
      <c r="I3" s="48" t="s">
        <v>66</v>
      </c>
      <c r="J3" s="48" t="s">
        <v>67</v>
      </c>
      <c r="K3" s="48" t="s">
        <v>68</v>
      </c>
      <c r="L3" s="48" t="s">
        <v>69</v>
      </c>
      <c r="M3" s="48" t="s">
        <v>70</v>
      </c>
    </row>
    <row r="4" spans="1:13" ht="15">
      <c r="A4" s="5"/>
      <c r="B4" s="48" t="s">
        <v>121</v>
      </c>
      <c r="C4" s="48" t="s">
        <v>122</v>
      </c>
      <c r="D4" s="48" t="s">
        <v>110</v>
      </c>
      <c r="E4" s="48" t="s">
        <v>123</v>
      </c>
      <c r="F4" s="48" t="s">
        <v>124</v>
      </c>
      <c r="G4" s="48" t="s">
        <v>64</v>
      </c>
      <c r="H4" s="48" t="s">
        <v>65</v>
      </c>
      <c r="I4" s="48" t="s">
        <v>125</v>
      </c>
      <c r="J4" s="48" t="s">
        <v>125</v>
      </c>
      <c r="K4" s="48" t="s">
        <v>125</v>
      </c>
      <c r="L4" s="48" t="s">
        <v>125</v>
      </c>
      <c r="M4" s="48" t="s">
        <v>125</v>
      </c>
    </row>
    <row r="5" spans="1:13" ht="15">
      <c r="A5" s="5"/>
      <c r="B5" s="48" t="s">
        <v>121</v>
      </c>
      <c r="C5" s="48" t="s">
        <v>122</v>
      </c>
      <c r="D5" s="48" t="s">
        <v>110</v>
      </c>
      <c r="E5" s="48" t="s">
        <v>123</v>
      </c>
      <c r="F5" s="48" t="s">
        <v>124</v>
      </c>
      <c r="G5" s="48" t="s">
        <v>64</v>
      </c>
      <c r="H5" s="48" t="s">
        <v>65</v>
      </c>
      <c r="I5" s="48" t="s">
        <v>73</v>
      </c>
      <c r="J5" s="48" t="s">
        <v>73</v>
      </c>
      <c r="K5" s="48" t="s">
        <v>73</v>
      </c>
      <c r="L5" s="48" t="s">
        <v>73</v>
      </c>
      <c r="M5" s="48" t="s">
        <v>73</v>
      </c>
    </row>
    <row r="6" spans="1:13" ht="15">
      <c r="A6" s="5"/>
      <c r="B6" s="48" t="s">
        <v>121</v>
      </c>
      <c r="C6" s="48" t="s">
        <v>122</v>
      </c>
      <c r="D6" s="48" t="s">
        <v>110</v>
      </c>
      <c r="E6" s="48" t="s">
        <v>123</v>
      </c>
      <c r="F6" s="48" t="s">
        <v>124</v>
      </c>
      <c r="G6" s="48" t="s">
        <v>64</v>
      </c>
      <c r="H6" s="48" t="s">
        <v>65</v>
      </c>
      <c r="I6" s="48" t="s">
        <v>74</v>
      </c>
      <c r="J6" s="48" t="s">
        <v>74</v>
      </c>
      <c r="K6" s="48" t="s">
        <v>74</v>
      </c>
      <c r="L6" s="48" t="s">
        <v>74</v>
      </c>
      <c r="M6" s="48" t="s">
        <v>74</v>
      </c>
    </row>
    <row r="7" spans="1:13" ht="15">
      <c r="A7" s="5"/>
      <c r="B7" s="5" t="s">
        <v>75</v>
      </c>
      <c r="C7" s="5" t="s">
        <v>126</v>
      </c>
      <c r="D7" s="5" t="s">
        <v>127</v>
      </c>
      <c r="E7" s="5" t="s">
        <v>128</v>
      </c>
      <c r="F7" s="5" t="s">
        <v>72</v>
      </c>
      <c r="G7" s="5"/>
      <c r="H7" s="5"/>
      <c r="I7" s="55">
        <v>0</v>
      </c>
      <c r="J7" s="55">
        <v>0</v>
      </c>
      <c r="K7" s="55">
        <v>0</v>
      </c>
      <c r="L7" s="55">
        <v>0</v>
      </c>
      <c r="M7" s="55">
        <v>0</v>
      </c>
    </row>
    <row r="8" spans="1:13" ht="15">
      <c r="A8" s="5"/>
      <c r="B8" s="5" t="s">
        <v>97</v>
      </c>
      <c r="C8" s="5" t="s">
        <v>126</v>
      </c>
      <c r="D8" s="5" t="s">
        <v>127</v>
      </c>
      <c r="E8" s="5" t="s">
        <v>128</v>
      </c>
      <c r="F8" s="5" t="s">
        <v>72</v>
      </c>
      <c r="G8" s="5"/>
      <c r="H8" s="5"/>
      <c r="I8" s="55">
        <v>0</v>
      </c>
      <c r="J8" s="55">
        <v>0</v>
      </c>
      <c r="K8" s="55">
        <v>0</v>
      </c>
      <c r="L8" s="55">
        <v>0</v>
      </c>
      <c r="M8" s="55">
        <v>0</v>
      </c>
    </row>
    <row r="9" spans="1:13" ht="15">
      <c r="A9" s="5"/>
      <c r="B9" s="5" t="s">
        <v>98</v>
      </c>
      <c r="C9" s="5" t="s">
        <v>126</v>
      </c>
      <c r="D9" s="5" t="s">
        <v>127</v>
      </c>
      <c r="E9" s="5" t="s">
        <v>128</v>
      </c>
      <c r="F9" s="5" t="s">
        <v>72</v>
      </c>
      <c r="G9" s="5"/>
      <c r="H9" s="5"/>
      <c r="I9" s="55">
        <v>0</v>
      </c>
      <c r="J9" s="55">
        <v>0</v>
      </c>
      <c r="K9" s="55">
        <v>0</v>
      </c>
      <c r="L9" s="55">
        <v>0</v>
      </c>
      <c r="M9" s="55">
        <v>0</v>
      </c>
    </row>
    <row r="10" spans="1:13" ht="15">
      <c r="A10" s="5"/>
      <c r="B10" s="5" t="s">
        <v>99</v>
      </c>
      <c r="C10" s="5" t="s">
        <v>126</v>
      </c>
      <c r="D10" s="5" t="s">
        <v>127</v>
      </c>
      <c r="E10" s="5" t="s">
        <v>128</v>
      </c>
      <c r="F10" s="5" t="s">
        <v>72</v>
      </c>
      <c r="G10" s="5"/>
      <c r="H10" s="5"/>
      <c r="I10" s="55">
        <v>0.08</v>
      </c>
      <c r="J10" s="55">
        <v>0.08</v>
      </c>
      <c r="K10" s="55">
        <v>0.08</v>
      </c>
      <c r="L10" s="55">
        <v>0.08</v>
      </c>
      <c r="M10" s="55">
        <v>0.08</v>
      </c>
    </row>
    <row r="11" spans="1:13" ht="15">
      <c r="A11" s="5"/>
      <c r="B11" s="5" t="s">
        <v>101</v>
      </c>
      <c r="C11" s="5" t="s">
        <v>126</v>
      </c>
      <c r="D11" s="5" t="s">
        <v>127</v>
      </c>
      <c r="E11" s="5" t="s">
        <v>128</v>
      </c>
      <c r="F11" s="5" t="s">
        <v>72</v>
      </c>
      <c r="G11" s="5"/>
      <c r="H11" s="5"/>
      <c r="I11" s="55">
        <v>0.06</v>
      </c>
      <c r="J11" s="55">
        <v>0.06</v>
      </c>
      <c r="K11" s="55">
        <v>0.06</v>
      </c>
      <c r="L11" s="55">
        <v>0.06</v>
      </c>
      <c r="M11" s="55">
        <v>0.06</v>
      </c>
    </row>
    <row r="12" spans="1:13" ht="15">
      <c r="A12" s="5"/>
      <c r="B12" s="5" t="s">
        <v>100</v>
      </c>
      <c r="C12" s="5" t="s">
        <v>126</v>
      </c>
      <c r="D12" s="5" t="s">
        <v>127</v>
      </c>
      <c r="E12" s="5" t="s">
        <v>128</v>
      </c>
      <c r="F12" s="5" t="s">
        <v>72</v>
      </c>
      <c r="G12" s="5"/>
      <c r="H12" s="5"/>
      <c r="I12" s="55">
        <v>0</v>
      </c>
      <c r="J12" s="55">
        <v>0</v>
      </c>
      <c r="K12" s="55">
        <v>0</v>
      </c>
      <c r="L12" s="55">
        <v>0</v>
      </c>
      <c r="M12" s="55">
        <v>0</v>
      </c>
    </row>
    <row r="13" spans="1:13" ht="15">
      <c r="A13" s="5"/>
      <c r="B13" s="5" t="s">
        <v>102</v>
      </c>
      <c r="C13" s="5" t="s">
        <v>126</v>
      </c>
      <c r="D13" s="5" t="s">
        <v>127</v>
      </c>
      <c r="E13" s="5" t="s">
        <v>128</v>
      </c>
      <c r="F13" s="5" t="s">
        <v>72</v>
      </c>
      <c r="G13" s="5"/>
      <c r="H13" s="5"/>
      <c r="I13" s="55">
        <v>0.08</v>
      </c>
      <c r="J13" s="55">
        <v>0.08</v>
      </c>
      <c r="K13" s="55">
        <v>0.08</v>
      </c>
      <c r="L13" s="55">
        <v>0.08</v>
      </c>
      <c r="M13" s="55">
        <v>0.08</v>
      </c>
    </row>
    <row r="14" spans="1:13" ht="15">
      <c r="A14" s="5"/>
      <c r="B14" s="5" t="s">
        <v>103</v>
      </c>
      <c r="C14" s="5" t="s">
        <v>126</v>
      </c>
      <c r="D14" s="5" t="s">
        <v>127</v>
      </c>
      <c r="E14" s="5" t="s">
        <v>128</v>
      </c>
      <c r="F14" s="5" t="s">
        <v>72</v>
      </c>
      <c r="G14" s="5"/>
      <c r="H14" s="5"/>
      <c r="I14" s="55">
        <v>0.1</v>
      </c>
      <c r="J14" s="55">
        <v>0.1</v>
      </c>
      <c r="K14" s="55">
        <v>0.1</v>
      </c>
      <c r="L14" s="55">
        <v>0.1</v>
      </c>
      <c r="M14" s="55">
        <v>0.1</v>
      </c>
    </row>
    <row r="15" spans="1:13" ht="15">
      <c r="A15" s="5"/>
      <c r="B15" s="5" t="s">
        <v>104</v>
      </c>
      <c r="C15" s="5" t="s">
        <v>126</v>
      </c>
      <c r="D15" s="5" t="s">
        <v>127</v>
      </c>
      <c r="E15" s="5" t="s">
        <v>128</v>
      </c>
      <c r="F15" s="5" t="s">
        <v>72</v>
      </c>
      <c r="G15" s="5"/>
      <c r="H15" s="5"/>
      <c r="I15" s="55">
        <v>0.1</v>
      </c>
      <c r="J15" s="55">
        <v>0.1</v>
      </c>
      <c r="K15" s="55">
        <v>0.1</v>
      </c>
      <c r="L15" s="55">
        <v>0.1</v>
      </c>
      <c r="M15" s="55">
        <v>0.1</v>
      </c>
    </row>
    <row r="16" spans="1:13" ht="15">
      <c r="A16" s="5"/>
      <c r="B16" s="5" t="s">
        <v>105</v>
      </c>
      <c r="C16" s="5" t="s">
        <v>126</v>
      </c>
      <c r="D16" s="5" t="s">
        <v>127</v>
      </c>
      <c r="E16" s="5" t="s">
        <v>128</v>
      </c>
      <c r="F16" s="5" t="s">
        <v>72</v>
      </c>
      <c r="G16" s="5"/>
      <c r="H16" s="5"/>
      <c r="I16" s="55">
        <v>0.1</v>
      </c>
      <c r="J16" s="55">
        <v>0.1</v>
      </c>
      <c r="K16" s="55">
        <v>0.1</v>
      </c>
      <c r="L16" s="55">
        <v>0.1</v>
      </c>
      <c r="M16" s="55">
        <v>0.1</v>
      </c>
    </row>
    <row r="17" spans="1:13" ht="15">
      <c r="A17" s="5"/>
      <c r="B17" s="5" t="s">
        <v>106</v>
      </c>
      <c r="C17" s="5" t="s">
        <v>126</v>
      </c>
      <c r="D17" s="5" t="s">
        <v>127</v>
      </c>
      <c r="E17" s="5" t="s">
        <v>128</v>
      </c>
      <c r="F17" s="5" t="s">
        <v>72</v>
      </c>
      <c r="G17" s="5"/>
      <c r="H17" s="5"/>
      <c r="I17" s="55">
        <v>0.04</v>
      </c>
      <c r="J17" s="55">
        <v>0.04</v>
      </c>
      <c r="K17" s="55">
        <v>0.04</v>
      </c>
      <c r="L17" s="55">
        <v>0.04</v>
      </c>
      <c r="M17" s="55">
        <v>0.04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44362-2AE9-4F35-B3E5-E7925D3619A9}">
  <sheetPr>
    <tabColor rgb="FFFFDB8E"/>
  </sheetPr>
  <dimension ref="A1:M769"/>
  <sheetViews>
    <sheetView showGridLines="0" zoomScale="80" zoomScaleNormal="80" workbookViewId="0"/>
  </sheetViews>
  <sheetFormatPr defaultRowHeight="12.75"/>
  <cols>
    <col min="2" max="2" width="50" bestFit="1" customWidth="1"/>
    <col min="3" max="3" width="131.85546875" bestFit="1" customWidth="1"/>
    <col min="4" max="4" width="8.42578125" bestFit="1" customWidth="1"/>
  </cols>
  <sheetData>
    <row r="1" spans="1:13" ht="31.5">
      <c r="A1" s="1" t="str">
        <f ca="1" xml:space="preserve"> RIGHT(CELL("filename", $B$1), LEN(CELL("filename", $B$1)) - SEARCH("]", CELL("filename", $B$1)))</f>
        <v>Post Adj &amp; FS Allowances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">
      <c r="A2" t="s">
        <v>129</v>
      </c>
      <c r="C2" s="33" t="s">
        <v>130</v>
      </c>
      <c r="E2" s="33" t="s">
        <v>131</v>
      </c>
      <c r="M2" s="5"/>
    </row>
    <row r="3" spans="1:13" ht="15">
      <c r="M3" s="5"/>
    </row>
    <row r="4" spans="1:13" ht="15">
      <c r="A4" s="160" t="s">
        <v>121</v>
      </c>
      <c r="B4" s="160" t="s">
        <v>122</v>
      </c>
      <c r="C4" s="160" t="s">
        <v>110</v>
      </c>
      <c r="D4" s="160" t="s">
        <v>123</v>
      </c>
      <c r="E4" s="160" t="s">
        <v>124</v>
      </c>
      <c r="F4" s="160" t="s">
        <v>64</v>
      </c>
      <c r="G4" s="160" t="s">
        <v>65</v>
      </c>
      <c r="H4" s="160" t="s">
        <v>66</v>
      </c>
      <c r="I4" s="160" t="s">
        <v>67</v>
      </c>
      <c r="J4" s="160" t="s">
        <v>68</v>
      </c>
      <c r="K4" s="160" t="s">
        <v>69</v>
      </c>
      <c r="L4" s="160" t="s">
        <v>70</v>
      </c>
      <c r="M4" s="56" t="s">
        <v>111</v>
      </c>
    </row>
    <row r="5" spans="1:13" ht="15">
      <c r="A5" t="s">
        <v>75</v>
      </c>
      <c r="B5" t="s">
        <v>132</v>
      </c>
      <c r="C5" t="s">
        <v>133</v>
      </c>
      <c r="D5" t="s">
        <v>78</v>
      </c>
      <c r="E5" t="s">
        <v>72</v>
      </c>
      <c r="F5" s="32">
        <v>2.6006707295150466</v>
      </c>
      <c r="G5" s="32">
        <v>49.761716703240708</v>
      </c>
      <c r="H5" s="32">
        <v>294.71861771174355</v>
      </c>
      <c r="I5" s="32">
        <v>578.99972985522754</v>
      </c>
      <c r="J5" s="32">
        <v>672.22880136540618</v>
      </c>
      <c r="K5" s="32">
        <v>754.70198850771737</v>
      </c>
      <c r="L5" s="32">
        <v>457.11422546866174</v>
      </c>
      <c r="M5" s="57">
        <f>SUM(F5:L5)</f>
        <v>2810.1257503415118</v>
      </c>
    </row>
    <row r="6" spans="1:13" ht="15">
      <c r="A6" t="s">
        <v>75</v>
      </c>
      <c r="B6" t="s">
        <v>134</v>
      </c>
      <c r="C6" t="s">
        <v>135</v>
      </c>
      <c r="D6" t="s">
        <v>78</v>
      </c>
      <c r="E6" t="s">
        <v>72</v>
      </c>
      <c r="F6" s="32">
        <v>1E-3</v>
      </c>
      <c r="G6" s="32">
        <v>8.9569029101495678E-3</v>
      </c>
      <c r="H6" s="32">
        <v>4.9857506832860743</v>
      </c>
      <c r="I6" s="32">
        <v>0.64135210860864778</v>
      </c>
      <c r="J6" s="32">
        <v>7.8330780676334512E-3</v>
      </c>
      <c r="K6" s="32">
        <v>7.7752298213024399E-3</v>
      </c>
      <c r="L6" s="32">
        <v>7.725202115265806E-3</v>
      </c>
      <c r="M6" s="57">
        <f t="shared" ref="M6:M69" si="0">SUM(F6:L6)</f>
        <v>5.6603932048090728</v>
      </c>
    </row>
    <row r="7" spans="1:13" ht="15">
      <c r="A7" t="s">
        <v>75</v>
      </c>
      <c r="B7" t="s">
        <v>136</v>
      </c>
      <c r="C7" t="s">
        <v>137</v>
      </c>
      <c r="D7" t="s">
        <v>78</v>
      </c>
      <c r="E7" t="s">
        <v>72</v>
      </c>
      <c r="F7" s="32">
        <v>0.52900000000000003</v>
      </c>
      <c r="G7" s="32">
        <v>10.942349721899388</v>
      </c>
      <c r="H7" s="32">
        <v>20.023226373459384</v>
      </c>
      <c r="I7" s="32">
        <v>11.38966471217293</v>
      </c>
      <c r="J7" s="32">
        <v>0.74022587739136103</v>
      </c>
      <c r="K7" s="32">
        <v>0.87179764371353607</v>
      </c>
      <c r="L7" s="32">
        <v>0.95406246123532701</v>
      </c>
      <c r="M7" s="57">
        <f t="shared" si="0"/>
        <v>45.450326789871923</v>
      </c>
    </row>
    <row r="8" spans="1:13" ht="15">
      <c r="A8" t="s">
        <v>75</v>
      </c>
      <c r="B8" t="s">
        <v>138</v>
      </c>
      <c r="C8" t="s">
        <v>139</v>
      </c>
      <c r="D8" t="s">
        <v>78</v>
      </c>
      <c r="E8" t="s">
        <v>72</v>
      </c>
      <c r="F8" s="32">
        <v>0</v>
      </c>
      <c r="G8" s="32">
        <v>0</v>
      </c>
      <c r="H8" s="32">
        <v>0</v>
      </c>
      <c r="I8" s="32">
        <v>15.359595532045594</v>
      </c>
      <c r="J8" s="32">
        <v>15.265347992533927</v>
      </c>
      <c r="K8" s="32">
        <v>22.664162525986146</v>
      </c>
      <c r="L8" s="32">
        <v>22.518335831923668</v>
      </c>
      <c r="M8" s="57">
        <f t="shared" si="0"/>
        <v>75.807441882489329</v>
      </c>
    </row>
    <row r="9" spans="1:13" ht="15">
      <c r="A9" t="s">
        <v>75</v>
      </c>
      <c r="B9" t="s">
        <v>140</v>
      </c>
      <c r="C9" t="s">
        <v>141</v>
      </c>
      <c r="D9" t="s">
        <v>78</v>
      </c>
      <c r="E9" t="s">
        <v>72</v>
      </c>
      <c r="F9" s="32">
        <v>1E-3</v>
      </c>
      <c r="G9" s="32">
        <v>2.3885074427065524E-2</v>
      </c>
      <c r="H9" s="32">
        <v>2.4938657569555684</v>
      </c>
      <c r="I9" s="32">
        <v>4.4278910171145425</v>
      </c>
      <c r="J9" s="32">
        <v>5.4518223350728814</v>
      </c>
      <c r="K9" s="32">
        <v>5.6185754496186755</v>
      </c>
      <c r="L9" s="32">
        <v>5.4337140378250863</v>
      </c>
      <c r="M9" s="57">
        <f t="shared" si="0"/>
        <v>23.450753671013821</v>
      </c>
    </row>
    <row r="10" spans="1:13" ht="15">
      <c r="A10" t="s">
        <v>75</v>
      </c>
      <c r="B10" t="s">
        <v>142</v>
      </c>
      <c r="C10" t="s">
        <v>143</v>
      </c>
      <c r="D10" t="s">
        <v>78</v>
      </c>
      <c r="E10" t="s">
        <v>72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57">
        <f t="shared" si="0"/>
        <v>0</v>
      </c>
    </row>
    <row r="11" spans="1:13" ht="15">
      <c r="A11" t="s">
        <v>75</v>
      </c>
      <c r="B11" t="s">
        <v>144</v>
      </c>
      <c r="C11" t="s">
        <v>145</v>
      </c>
      <c r="D11" t="s">
        <v>78</v>
      </c>
      <c r="E11" t="s">
        <v>72</v>
      </c>
      <c r="F11" s="32">
        <v>0.23053427813112193</v>
      </c>
      <c r="G11" s="32">
        <v>12.438863362028282</v>
      </c>
      <c r="H11" s="32">
        <v>100.07170052947899</v>
      </c>
      <c r="I11" s="32">
        <v>187.03139906285645</v>
      </c>
      <c r="J11" s="32">
        <v>147.87858064944902</v>
      </c>
      <c r="K11" s="32">
        <v>148.81867613754298</v>
      </c>
      <c r="L11" s="32">
        <v>93.191397441183824</v>
      </c>
      <c r="M11" s="57">
        <f t="shared" si="0"/>
        <v>689.66115146067068</v>
      </c>
    </row>
    <row r="12" spans="1:13" ht="15">
      <c r="A12" t="s">
        <v>75</v>
      </c>
      <c r="B12" t="s">
        <v>146</v>
      </c>
      <c r="C12" t="s">
        <v>147</v>
      </c>
      <c r="D12" t="s">
        <v>78</v>
      </c>
      <c r="E12" t="s">
        <v>72</v>
      </c>
      <c r="F12" s="32">
        <v>0</v>
      </c>
      <c r="G12" s="32">
        <v>0</v>
      </c>
      <c r="H12" s="32">
        <v>2.2561660819478893</v>
      </c>
      <c r="I12" s="32">
        <v>7.8745428634545647</v>
      </c>
      <c r="J12" s="32">
        <v>13.146842401764292</v>
      </c>
      <c r="K12" s="32">
        <v>12.603647540331254</v>
      </c>
      <c r="L12" s="32">
        <v>6.4408872636028658</v>
      </c>
      <c r="M12" s="57">
        <f t="shared" si="0"/>
        <v>42.322086151100869</v>
      </c>
    </row>
    <row r="13" spans="1:13" ht="15">
      <c r="A13" t="s">
        <v>75</v>
      </c>
      <c r="B13" t="s">
        <v>148</v>
      </c>
      <c r="C13" t="s">
        <v>149</v>
      </c>
      <c r="D13" t="s">
        <v>78</v>
      </c>
      <c r="E13" t="s">
        <v>72</v>
      </c>
      <c r="F13" s="32">
        <v>1.7099999999999997E-2</v>
      </c>
      <c r="G13" s="32">
        <v>1.6122425238269223E-2</v>
      </c>
      <c r="H13" s="32">
        <v>4.1422139616025717</v>
      </c>
      <c r="I13" s="32">
        <v>5.8138420868390366</v>
      </c>
      <c r="J13" s="32">
        <v>4.1135409472177065</v>
      </c>
      <c r="K13" s="32">
        <v>4.0910343608510438</v>
      </c>
      <c r="L13" s="32">
        <v>4.3723678322140049</v>
      </c>
      <c r="M13" s="57">
        <f t="shared" si="0"/>
        <v>22.566221613962632</v>
      </c>
    </row>
    <row r="14" spans="1:13" ht="15">
      <c r="A14" t="s">
        <v>75</v>
      </c>
      <c r="B14" t="s">
        <v>150</v>
      </c>
      <c r="C14" t="s">
        <v>151</v>
      </c>
      <c r="D14" t="s">
        <v>78</v>
      </c>
      <c r="E14" t="s">
        <v>72</v>
      </c>
      <c r="F14" s="32">
        <v>0</v>
      </c>
      <c r="G14" s="32">
        <v>0</v>
      </c>
      <c r="H14" s="32">
        <v>6.1980190258252374</v>
      </c>
      <c r="I14" s="32">
        <v>8.6419979980262038</v>
      </c>
      <c r="J14" s="32">
        <v>16.303572863020573</v>
      </c>
      <c r="K14" s="32">
        <v>18.844241375654125</v>
      </c>
      <c r="L14" s="32">
        <v>12.80645380658189</v>
      </c>
      <c r="M14" s="57">
        <f t="shared" si="0"/>
        <v>62.794285069108035</v>
      </c>
    </row>
    <row r="15" spans="1:13" ht="15">
      <c r="A15" t="s">
        <v>75</v>
      </c>
      <c r="B15" t="s">
        <v>152</v>
      </c>
      <c r="C15" t="s">
        <v>153</v>
      </c>
      <c r="D15" t="s">
        <v>78</v>
      </c>
      <c r="E15" t="s">
        <v>72</v>
      </c>
      <c r="F15" s="32">
        <v>0</v>
      </c>
      <c r="G15" s="32">
        <v>0</v>
      </c>
      <c r="H15" s="32">
        <v>1.7282747203683351</v>
      </c>
      <c r="I15" s="32">
        <v>4.0392375503770444</v>
      </c>
      <c r="J15" s="32">
        <v>0.59433479838168801</v>
      </c>
      <c r="K15" s="32">
        <v>0.25852639155830615</v>
      </c>
      <c r="L15" s="32">
        <v>0.2587942708614045</v>
      </c>
      <c r="M15" s="57">
        <f t="shared" si="0"/>
        <v>6.8791677315467785</v>
      </c>
    </row>
    <row r="16" spans="1:13" ht="15">
      <c r="A16" t="s">
        <v>75</v>
      </c>
      <c r="B16" t="s">
        <v>154</v>
      </c>
      <c r="C16" t="s">
        <v>155</v>
      </c>
      <c r="D16" t="s">
        <v>78</v>
      </c>
      <c r="E16" t="s">
        <v>72</v>
      </c>
      <c r="F16" s="32">
        <v>1.1293968144251929</v>
      </c>
      <c r="G16" s="32">
        <v>18.732181380877655</v>
      </c>
      <c r="H16" s="32">
        <v>46.968527226671625</v>
      </c>
      <c r="I16" s="32">
        <v>127.48780001536285</v>
      </c>
      <c r="J16" s="32">
        <v>241.77450945740324</v>
      </c>
      <c r="K16" s="32">
        <v>318.07312139841122</v>
      </c>
      <c r="L16" s="32">
        <v>175.13466719426216</v>
      </c>
      <c r="M16" s="57">
        <f t="shared" si="0"/>
        <v>929.30020348741402</v>
      </c>
    </row>
    <row r="17" spans="1:13" ht="15">
      <c r="A17" t="s">
        <v>75</v>
      </c>
      <c r="B17" t="s">
        <v>156</v>
      </c>
      <c r="C17" t="s">
        <v>157</v>
      </c>
      <c r="D17" t="s">
        <v>78</v>
      </c>
      <c r="E17" t="s">
        <v>72</v>
      </c>
      <c r="F17" s="32">
        <v>2.4713952545122691E-2</v>
      </c>
      <c r="G17" s="32">
        <v>0.35636303383754442</v>
      </c>
      <c r="H17" s="32">
        <v>3.8189679523302651</v>
      </c>
      <c r="I17" s="32">
        <v>8.7624627621568649</v>
      </c>
      <c r="J17" s="32">
        <v>4.3755885637703935</v>
      </c>
      <c r="K17" s="32">
        <v>4.658731488149348</v>
      </c>
      <c r="L17" s="32">
        <v>1.9097331188884898</v>
      </c>
      <c r="M17" s="57">
        <f t="shared" si="0"/>
        <v>23.906560871678025</v>
      </c>
    </row>
    <row r="18" spans="1:13" ht="15">
      <c r="A18" t="s">
        <v>75</v>
      </c>
      <c r="B18" t="s">
        <v>158</v>
      </c>
      <c r="C18" t="s">
        <v>159</v>
      </c>
      <c r="D18" t="s">
        <v>78</v>
      </c>
      <c r="E18" t="s">
        <v>72</v>
      </c>
      <c r="F18" s="32">
        <v>0.57765472081181202</v>
      </c>
      <c r="G18" s="32">
        <v>3.2651273704442807</v>
      </c>
      <c r="H18" s="32">
        <v>1.7052720521171871</v>
      </c>
      <c r="I18" s="32">
        <v>4.0125936751283415</v>
      </c>
      <c r="J18" s="32">
        <v>8.5278511024641848</v>
      </c>
      <c r="K18" s="32">
        <v>11.515325136523812</v>
      </c>
      <c r="L18" s="32">
        <v>6.1643001168704785</v>
      </c>
      <c r="M18" s="57">
        <f t="shared" si="0"/>
        <v>35.768124174360096</v>
      </c>
    </row>
    <row r="19" spans="1:13" ht="15">
      <c r="A19" t="s">
        <v>75</v>
      </c>
      <c r="B19" t="s">
        <v>160</v>
      </c>
      <c r="C19" t="s">
        <v>161</v>
      </c>
      <c r="D19" t="s">
        <v>78</v>
      </c>
      <c r="E19" t="s">
        <v>72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57">
        <f t="shared" si="0"/>
        <v>0</v>
      </c>
    </row>
    <row r="20" spans="1:13" ht="15">
      <c r="A20" t="s">
        <v>75</v>
      </c>
      <c r="B20" t="s">
        <v>162</v>
      </c>
      <c r="C20" t="s">
        <v>163</v>
      </c>
      <c r="D20" t="s">
        <v>78</v>
      </c>
      <c r="E20" t="s">
        <v>72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57">
        <f t="shared" si="0"/>
        <v>0</v>
      </c>
    </row>
    <row r="21" spans="1:13" ht="15">
      <c r="A21" t="s">
        <v>75</v>
      </c>
      <c r="B21" t="s">
        <v>164</v>
      </c>
      <c r="C21" t="s">
        <v>165</v>
      </c>
      <c r="D21" t="s">
        <v>78</v>
      </c>
      <c r="E21" t="s">
        <v>72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57">
        <f t="shared" si="0"/>
        <v>0</v>
      </c>
    </row>
    <row r="22" spans="1:13" ht="15">
      <c r="A22" t="s">
        <v>75</v>
      </c>
      <c r="B22" t="s">
        <v>166</v>
      </c>
      <c r="C22" t="s">
        <v>167</v>
      </c>
      <c r="D22" t="s">
        <v>78</v>
      </c>
      <c r="E22" t="s">
        <v>72</v>
      </c>
      <c r="F22" s="32">
        <v>0</v>
      </c>
      <c r="G22" s="32">
        <v>0</v>
      </c>
      <c r="H22" s="32">
        <v>0</v>
      </c>
      <c r="I22" s="32">
        <v>0.9290246365867203</v>
      </c>
      <c r="J22" s="32">
        <v>7.2455972125609419E-2</v>
      </c>
      <c r="K22" s="32">
        <v>2.2353785736244514E-2</v>
      </c>
      <c r="L22" s="32">
        <v>3.862601057632903E-3</v>
      </c>
      <c r="M22" s="57">
        <f t="shared" si="0"/>
        <v>1.0276969955062072</v>
      </c>
    </row>
    <row r="23" spans="1:13" ht="15">
      <c r="A23" t="s">
        <v>75</v>
      </c>
      <c r="B23" t="s">
        <v>168</v>
      </c>
      <c r="C23" t="s">
        <v>169</v>
      </c>
      <c r="D23" t="s">
        <v>78</v>
      </c>
      <c r="E23" t="s">
        <v>72</v>
      </c>
      <c r="F23" s="32">
        <v>9.0270963601796733E-2</v>
      </c>
      <c r="G23" s="32">
        <v>8.7204681076915938E-2</v>
      </c>
      <c r="H23" s="32">
        <v>38.435108332066108</v>
      </c>
      <c r="I23" s="32">
        <v>49.111579403037133</v>
      </c>
      <c r="J23" s="32">
        <v>38.91175980932244</v>
      </c>
      <c r="K23" s="32">
        <v>37.173783615573413</v>
      </c>
      <c r="L23" s="32">
        <v>16.954828178992678</v>
      </c>
      <c r="M23" s="57">
        <f t="shared" si="0"/>
        <v>180.7645349836705</v>
      </c>
    </row>
    <row r="24" spans="1:13" ht="15">
      <c r="A24" t="s">
        <v>75</v>
      </c>
      <c r="B24" t="s">
        <v>170</v>
      </c>
      <c r="C24" t="s">
        <v>171</v>
      </c>
      <c r="D24" t="s">
        <v>78</v>
      </c>
      <c r="E24" t="s">
        <v>72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57">
        <f t="shared" si="0"/>
        <v>0</v>
      </c>
    </row>
    <row r="25" spans="1:13" ht="15">
      <c r="A25" t="s">
        <v>75</v>
      </c>
      <c r="B25" t="s">
        <v>172</v>
      </c>
      <c r="C25" t="s">
        <v>173</v>
      </c>
      <c r="D25" t="s">
        <v>78</v>
      </c>
      <c r="E25" t="s">
        <v>72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57">
        <f t="shared" si="0"/>
        <v>0</v>
      </c>
    </row>
    <row r="26" spans="1:13" ht="15">
      <c r="A26" t="s">
        <v>75</v>
      </c>
      <c r="B26" t="s">
        <v>174</v>
      </c>
      <c r="C26" t="s">
        <v>175</v>
      </c>
      <c r="D26" t="s">
        <v>78</v>
      </c>
      <c r="E26" t="s">
        <v>72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57">
        <f t="shared" si="0"/>
        <v>0</v>
      </c>
    </row>
    <row r="27" spans="1:13" ht="15">
      <c r="A27" t="s">
        <v>75</v>
      </c>
      <c r="B27" t="s">
        <v>176</v>
      </c>
      <c r="C27" t="s">
        <v>177</v>
      </c>
      <c r="D27" t="s">
        <v>78</v>
      </c>
      <c r="E27" t="s">
        <v>72</v>
      </c>
      <c r="F27" s="32">
        <v>0</v>
      </c>
      <c r="G27" s="32">
        <v>3.8906627505011464</v>
      </c>
      <c r="H27" s="32">
        <v>12.56172350178413</v>
      </c>
      <c r="I27" s="32">
        <v>9.6529218653285138</v>
      </c>
      <c r="J27" s="32">
        <v>0.37794954517685808</v>
      </c>
      <c r="K27" s="32">
        <v>2.1315814842819214E-3</v>
      </c>
      <c r="L27" s="32">
        <v>0</v>
      </c>
      <c r="M27" s="57">
        <f t="shared" si="0"/>
        <v>26.485389244274927</v>
      </c>
    </row>
    <row r="28" spans="1:13" ht="15">
      <c r="A28" t="s">
        <v>75</v>
      </c>
      <c r="B28" t="s">
        <v>178</v>
      </c>
      <c r="C28" t="s">
        <v>179</v>
      </c>
      <c r="D28" t="s">
        <v>78</v>
      </c>
      <c r="E28" t="s">
        <v>72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57">
        <f t="shared" si="0"/>
        <v>0</v>
      </c>
    </row>
    <row r="29" spans="1:13" ht="15">
      <c r="A29" t="s">
        <v>75</v>
      </c>
      <c r="B29" t="s">
        <v>180</v>
      </c>
      <c r="C29" t="s">
        <v>181</v>
      </c>
      <c r="D29" t="s">
        <v>78</v>
      </c>
      <c r="E29" t="s">
        <v>72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57">
        <f t="shared" si="0"/>
        <v>0</v>
      </c>
    </row>
    <row r="30" spans="1:13" ht="15">
      <c r="A30" t="s">
        <v>75</v>
      </c>
      <c r="B30" t="s">
        <v>182</v>
      </c>
      <c r="C30" t="s">
        <v>183</v>
      </c>
      <c r="D30" t="s">
        <v>78</v>
      </c>
      <c r="E30" t="s">
        <v>72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57">
        <f t="shared" si="0"/>
        <v>0</v>
      </c>
    </row>
    <row r="31" spans="1:13" ht="15">
      <c r="A31" t="s">
        <v>75</v>
      </c>
      <c r="B31" t="s">
        <v>184</v>
      </c>
      <c r="C31" t="s">
        <v>185</v>
      </c>
      <c r="D31" t="s">
        <v>78</v>
      </c>
      <c r="E31" t="s">
        <v>72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57">
        <f t="shared" si="0"/>
        <v>0</v>
      </c>
    </row>
    <row r="32" spans="1:13" ht="15">
      <c r="A32" t="s">
        <v>75</v>
      </c>
      <c r="B32" t="s">
        <v>186</v>
      </c>
      <c r="C32" t="s">
        <v>187</v>
      </c>
      <c r="D32" t="s">
        <v>78</v>
      </c>
      <c r="E32" t="s">
        <v>72</v>
      </c>
      <c r="F32" s="32">
        <v>0</v>
      </c>
      <c r="G32" s="32">
        <v>0</v>
      </c>
      <c r="H32" s="32">
        <v>5.2056228826681767</v>
      </c>
      <c r="I32" s="32">
        <v>5.1781055036053036</v>
      </c>
      <c r="J32" s="32">
        <v>5.1463322904351774</v>
      </c>
      <c r="K32" s="32">
        <v>5.1083259925957032</v>
      </c>
      <c r="L32" s="32">
        <v>5.0754577897296347</v>
      </c>
      <c r="M32" s="57">
        <f t="shared" si="0"/>
        <v>25.713844459033993</v>
      </c>
    </row>
    <row r="33" spans="1:13" ht="15">
      <c r="A33" t="s">
        <v>75</v>
      </c>
      <c r="B33" t="s">
        <v>188</v>
      </c>
      <c r="C33" t="s">
        <v>189</v>
      </c>
      <c r="D33" t="s">
        <v>78</v>
      </c>
      <c r="E33" t="s">
        <v>72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57">
        <f t="shared" si="0"/>
        <v>0</v>
      </c>
    </row>
    <row r="34" spans="1:13" ht="15">
      <c r="A34" t="s">
        <v>75</v>
      </c>
      <c r="B34" t="s">
        <v>190</v>
      </c>
      <c r="C34" t="s">
        <v>191</v>
      </c>
      <c r="D34" t="s">
        <v>78</v>
      </c>
      <c r="E34" t="s">
        <v>72</v>
      </c>
      <c r="F34" s="32">
        <v>0</v>
      </c>
      <c r="G34" s="32">
        <v>0</v>
      </c>
      <c r="H34" s="32">
        <v>1.3848006925340051E-2</v>
      </c>
      <c r="I34" s="32">
        <v>7.3603075154690618</v>
      </c>
      <c r="J34" s="32">
        <v>16.255589872889942</v>
      </c>
      <c r="K34" s="32">
        <v>14.876991330320456</v>
      </c>
      <c r="L34" s="32">
        <v>2.7637664182717101</v>
      </c>
      <c r="M34" s="57">
        <f t="shared" si="0"/>
        <v>41.27050314387651</v>
      </c>
    </row>
    <row r="35" spans="1:13" ht="15">
      <c r="A35" t="s">
        <v>75</v>
      </c>
      <c r="B35" t="s">
        <v>192</v>
      </c>
      <c r="C35" t="s">
        <v>193</v>
      </c>
      <c r="D35" t="s">
        <v>78</v>
      </c>
      <c r="E35" t="s">
        <v>72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57">
        <f t="shared" si="0"/>
        <v>0</v>
      </c>
    </row>
    <row r="36" spans="1:13" ht="15">
      <c r="A36" t="s">
        <v>75</v>
      </c>
      <c r="B36" t="s">
        <v>194</v>
      </c>
      <c r="C36" t="s">
        <v>195</v>
      </c>
      <c r="D36" t="s">
        <v>78</v>
      </c>
      <c r="E36" t="s">
        <v>72</v>
      </c>
      <c r="F36" s="32">
        <v>0</v>
      </c>
      <c r="G36" s="32">
        <v>0</v>
      </c>
      <c r="H36" s="32">
        <v>0</v>
      </c>
      <c r="I36" s="32">
        <v>1.3117769172526026</v>
      </c>
      <c r="J36" s="32">
        <v>3.6934310023073662</v>
      </c>
      <c r="K36" s="32">
        <v>6.6708010382633161</v>
      </c>
      <c r="L36" s="32">
        <v>4.8363505696262887</v>
      </c>
      <c r="M36" s="57">
        <f t="shared" si="0"/>
        <v>16.512359527449576</v>
      </c>
    </row>
    <row r="37" spans="1:13" ht="15">
      <c r="A37" t="s">
        <v>75</v>
      </c>
      <c r="B37" t="s">
        <v>196</v>
      </c>
      <c r="C37" t="s">
        <v>197</v>
      </c>
      <c r="D37" t="s">
        <v>78</v>
      </c>
      <c r="E37" t="s">
        <v>72</v>
      </c>
      <c r="F37" s="32">
        <v>0</v>
      </c>
      <c r="G37" s="32">
        <v>0</v>
      </c>
      <c r="H37" s="32">
        <v>1.2364291897625044</v>
      </c>
      <c r="I37" s="32">
        <v>1.2291762717884205</v>
      </c>
      <c r="J37" s="32">
        <v>1.221049656938431</v>
      </c>
      <c r="K37" s="32">
        <v>1.2116392469963884</v>
      </c>
      <c r="L37" s="32">
        <v>1.2033117460256491</v>
      </c>
      <c r="M37" s="57">
        <f t="shared" si="0"/>
        <v>6.1016061115113924</v>
      </c>
    </row>
    <row r="38" spans="1:13" ht="15">
      <c r="A38" t="s">
        <v>75</v>
      </c>
      <c r="B38" t="s">
        <v>198</v>
      </c>
      <c r="C38" t="s">
        <v>199</v>
      </c>
      <c r="D38" t="s">
        <v>78</v>
      </c>
      <c r="E38" t="s">
        <v>72</v>
      </c>
      <c r="F38" s="32">
        <v>0</v>
      </c>
      <c r="G38" s="32">
        <v>0</v>
      </c>
      <c r="H38" s="32">
        <v>0</v>
      </c>
      <c r="I38" s="32">
        <v>0</v>
      </c>
      <c r="J38" s="32">
        <v>0</v>
      </c>
      <c r="K38" s="32">
        <v>0</v>
      </c>
      <c r="L38" s="32">
        <v>0</v>
      </c>
      <c r="M38" s="57">
        <f t="shared" si="0"/>
        <v>0</v>
      </c>
    </row>
    <row r="39" spans="1:13" ht="15">
      <c r="A39" t="s">
        <v>75</v>
      </c>
      <c r="B39" t="s">
        <v>200</v>
      </c>
      <c r="C39" t="s">
        <v>201</v>
      </c>
      <c r="D39" t="s">
        <v>78</v>
      </c>
      <c r="E39" t="s">
        <v>72</v>
      </c>
      <c r="F39" s="32">
        <v>0</v>
      </c>
      <c r="G39" s="32">
        <v>0</v>
      </c>
      <c r="H39" s="32">
        <v>12.649592934651391</v>
      </c>
      <c r="I39" s="32">
        <v>42.424556910624496</v>
      </c>
      <c r="J39" s="32">
        <v>72.87370097563381</v>
      </c>
      <c r="K39" s="32">
        <v>87.665139324526123</v>
      </c>
      <c r="L39" s="32">
        <v>57.658045238099142</v>
      </c>
      <c r="M39" s="57">
        <f t="shared" si="0"/>
        <v>273.27103538353498</v>
      </c>
    </row>
    <row r="40" spans="1:13" ht="15">
      <c r="A40" t="s">
        <v>75</v>
      </c>
      <c r="B40" t="s">
        <v>202</v>
      </c>
      <c r="C40" t="s">
        <v>203</v>
      </c>
      <c r="D40" t="s">
        <v>78</v>
      </c>
      <c r="E40" t="s">
        <v>72</v>
      </c>
      <c r="F40" s="32">
        <v>0</v>
      </c>
      <c r="G40" s="32">
        <v>0</v>
      </c>
      <c r="H40" s="32">
        <v>4.216819013659407</v>
      </c>
      <c r="I40" s="32">
        <v>15.861027288568156</v>
      </c>
      <c r="J40" s="32">
        <v>15.953507956266543</v>
      </c>
      <c r="K40" s="32">
        <v>10.924447228076755</v>
      </c>
      <c r="L40" s="32">
        <v>11.431329135954559</v>
      </c>
      <c r="M40" s="57">
        <f t="shared" si="0"/>
        <v>58.387130622525419</v>
      </c>
    </row>
    <row r="41" spans="1:13" ht="15">
      <c r="A41" t="s">
        <v>75</v>
      </c>
      <c r="B41" t="s">
        <v>204</v>
      </c>
      <c r="C41" t="s">
        <v>205</v>
      </c>
      <c r="D41" t="s">
        <v>78</v>
      </c>
      <c r="E41" t="s">
        <v>72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57">
        <f t="shared" si="0"/>
        <v>0</v>
      </c>
    </row>
    <row r="42" spans="1:13" ht="15">
      <c r="A42" t="s">
        <v>75</v>
      </c>
      <c r="B42" t="s">
        <v>206</v>
      </c>
      <c r="C42" t="s">
        <v>207</v>
      </c>
      <c r="D42" t="s">
        <v>78</v>
      </c>
      <c r="E42" t="s">
        <v>72</v>
      </c>
      <c r="F42" s="32">
        <v>0</v>
      </c>
      <c r="G42" s="32">
        <v>0</v>
      </c>
      <c r="H42" s="32">
        <v>3.2619501654103606</v>
      </c>
      <c r="I42" s="32">
        <v>3.244707210780541</v>
      </c>
      <c r="J42" s="32">
        <v>3.2247974631303635</v>
      </c>
      <c r="K42" s="32">
        <v>3.2009819366663019</v>
      </c>
      <c r="L42" s="32">
        <v>3.1803860459934148</v>
      </c>
      <c r="M42" s="57">
        <f t="shared" si="0"/>
        <v>16.112822821980981</v>
      </c>
    </row>
    <row r="43" spans="1:13" ht="15">
      <c r="A43" t="s">
        <v>75</v>
      </c>
      <c r="B43" t="s">
        <v>208</v>
      </c>
      <c r="C43" t="s">
        <v>209</v>
      </c>
      <c r="D43" t="s">
        <v>78</v>
      </c>
      <c r="E43" t="s">
        <v>72</v>
      </c>
      <c r="F43" s="32">
        <v>0</v>
      </c>
      <c r="G43" s="32">
        <v>0</v>
      </c>
      <c r="H43" s="32">
        <v>3.2238018422916506</v>
      </c>
      <c r="I43" s="32">
        <v>5.0204767211515655</v>
      </c>
      <c r="J43" s="32">
        <v>3.3780149166669262</v>
      </c>
      <c r="K43" s="32">
        <v>0.8329214946070238</v>
      </c>
      <c r="L43" s="32">
        <v>0.44709607242100857</v>
      </c>
      <c r="M43" s="57">
        <f t="shared" si="0"/>
        <v>12.902311047138175</v>
      </c>
    </row>
    <row r="44" spans="1:13" ht="15">
      <c r="A44" t="s">
        <v>75</v>
      </c>
      <c r="B44" t="s">
        <v>210</v>
      </c>
      <c r="C44" t="s">
        <v>211</v>
      </c>
      <c r="D44" t="s">
        <v>78</v>
      </c>
      <c r="E44" t="s">
        <v>72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57">
        <f t="shared" si="0"/>
        <v>0</v>
      </c>
    </row>
    <row r="45" spans="1:13" ht="15">
      <c r="A45" t="s">
        <v>75</v>
      </c>
      <c r="B45" t="s">
        <v>212</v>
      </c>
      <c r="C45" t="s">
        <v>213</v>
      </c>
      <c r="D45" t="s">
        <v>78</v>
      </c>
      <c r="E45" t="s">
        <v>72</v>
      </c>
      <c r="F45" s="32">
        <v>0</v>
      </c>
      <c r="G45" s="32">
        <v>0</v>
      </c>
      <c r="H45" s="32">
        <v>2.414423346334849</v>
      </c>
      <c r="I45" s="32">
        <v>8.8567848488394585</v>
      </c>
      <c r="J45" s="32">
        <v>20.853563500890441</v>
      </c>
      <c r="K45" s="32">
        <v>25.935712364538585</v>
      </c>
      <c r="L45" s="32">
        <v>15.540434267090566</v>
      </c>
      <c r="M45" s="57">
        <f t="shared" si="0"/>
        <v>73.60091832769389</v>
      </c>
    </row>
    <row r="46" spans="1:13" ht="15">
      <c r="A46" t="s">
        <v>75</v>
      </c>
      <c r="B46" t="s">
        <v>214</v>
      </c>
      <c r="C46" t="s">
        <v>215</v>
      </c>
      <c r="D46" t="s">
        <v>78</v>
      </c>
      <c r="E46" t="s">
        <v>72</v>
      </c>
      <c r="F46" s="32">
        <v>0</v>
      </c>
      <c r="G46" s="32">
        <v>0</v>
      </c>
      <c r="H46" s="32">
        <v>0.67087528533639518</v>
      </c>
      <c r="I46" s="32">
        <v>1.0447131589939569</v>
      </c>
      <c r="J46" s="32">
        <v>1.0332138430488962</v>
      </c>
      <c r="K46" s="32">
        <v>0.61443059139068257</v>
      </c>
      <c r="L46" s="32">
        <v>0.15911904880786498</v>
      </c>
      <c r="M46" s="57">
        <f t="shared" si="0"/>
        <v>3.5223519275777955</v>
      </c>
    </row>
    <row r="47" spans="1:13" ht="15">
      <c r="A47" t="s">
        <v>75</v>
      </c>
      <c r="B47" t="s">
        <v>216</v>
      </c>
      <c r="C47" t="s">
        <v>217</v>
      </c>
      <c r="D47" t="s">
        <v>78</v>
      </c>
      <c r="E47" t="s">
        <v>72</v>
      </c>
      <c r="F47" s="32">
        <v>0</v>
      </c>
      <c r="G47" s="32">
        <v>0</v>
      </c>
      <c r="H47" s="32">
        <v>14.718049467752078</v>
      </c>
      <c r="I47" s="32">
        <v>40.573802840000489</v>
      </c>
      <c r="J47" s="32">
        <v>29.334995114978327</v>
      </c>
      <c r="K47" s="32">
        <v>10.718324919722438</v>
      </c>
      <c r="L47" s="32">
        <v>6.949410399969187</v>
      </c>
      <c r="M47" s="57">
        <f t="shared" si="0"/>
        <v>102.29458274242251</v>
      </c>
    </row>
    <row r="48" spans="1:13" ht="15">
      <c r="A48" t="s">
        <v>97</v>
      </c>
      <c r="B48" t="s">
        <v>132</v>
      </c>
      <c r="C48" t="s">
        <v>133</v>
      </c>
      <c r="D48" t="s">
        <v>78</v>
      </c>
      <c r="E48" t="s">
        <v>72</v>
      </c>
      <c r="F48" s="32">
        <v>0</v>
      </c>
      <c r="G48" s="32">
        <v>0</v>
      </c>
      <c r="H48" s="32">
        <v>245.05218233216024</v>
      </c>
      <c r="I48" s="32">
        <v>375.5950399137518</v>
      </c>
      <c r="J48" s="32">
        <v>464.10447148957854</v>
      </c>
      <c r="K48" s="32">
        <v>440.16799365815331</v>
      </c>
      <c r="L48" s="32">
        <v>296.02944640673411</v>
      </c>
      <c r="M48" s="57">
        <f t="shared" si="0"/>
        <v>1820.9491338003781</v>
      </c>
    </row>
    <row r="49" spans="1:13" ht="15">
      <c r="A49" t="s">
        <v>97</v>
      </c>
      <c r="B49" t="s">
        <v>134</v>
      </c>
      <c r="C49" t="s">
        <v>135</v>
      </c>
      <c r="D49" t="s">
        <v>78</v>
      </c>
      <c r="E49" t="s">
        <v>72</v>
      </c>
      <c r="F49" s="32">
        <v>0</v>
      </c>
      <c r="G49" s="32">
        <v>0</v>
      </c>
      <c r="H49" s="32">
        <v>2.4304791769535212</v>
      </c>
      <c r="I49" s="32">
        <v>2.3565502976833876</v>
      </c>
      <c r="J49" s="32">
        <v>0</v>
      </c>
      <c r="K49" s="32">
        <v>0</v>
      </c>
      <c r="L49" s="32">
        <v>0</v>
      </c>
      <c r="M49" s="57">
        <f t="shared" si="0"/>
        <v>4.7870294746369089</v>
      </c>
    </row>
    <row r="50" spans="1:13" ht="15">
      <c r="A50" t="s">
        <v>97</v>
      </c>
      <c r="B50" t="s">
        <v>136</v>
      </c>
      <c r="C50" t="s">
        <v>137</v>
      </c>
      <c r="D50" t="s">
        <v>78</v>
      </c>
      <c r="E50" t="s">
        <v>72</v>
      </c>
      <c r="F50" s="32">
        <v>0</v>
      </c>
      <c r="G50" s="32">
        <v>0</v>
      </c>
      <c r="H50" s="32">
        <v>0.18817890938107945</v>
      </c>
      <c r="I50" s="32">
        <v>0.18225827971213493</v>
      </c>
      <c r="J50" s="32">
        <v>0</v>
      </c>
      <c r="K50" s="32">
        <v>0</v>
      </c>
      <c r="L50" s="32">
        <v>0</v>
      </c>
      <c r="M50" s="57">
        <f t="shared" si="0"/>
        <v>0.37043718909321438</v>
      </c>
    </row>
    <row r="51" spans="1:13" ht="15">
      <c r="A51" t="s">
        <v>97</v>
      </c>
      <c r="B51" t="s">
        <v>138</v>
      </c>
      <c r="C51" t="s">
        <v>139</v>
      </c>
      <c r="D51" t="s">
        <v>78</v>
      </c>
      <c r="E51" t="s">
        <v>72</v>
      </c>
      <c r="F51" s="32">
        <v>0</v>
      </c>
      <c r="G51" s="32">
        <v>0</v>
      </c>
      <c r="H51" s="32">
        <v>3.0069008888471429</v>
      </c>
      <c r="I51" s="32">
        <v>2.991006147059684</v>
      </c>
      <c r="J51" s="32">
        <v>0</v>
      </c>
      <c r="K51" s="32">
        <v>0</v>
      </c>
      <c r="L51" s="32">
        <v>0</v>
      </c>
      <c r="M51" s="57">
        <f t="shared" si="0"/>
        <v>5.9979070359068274</v>
      </c>
    </row>
    <row r="52" spans="1:13" ht="15">
      <c r="A52" t="s">
        <v>97</v>
      </c>
      <c r="B52" t="s">
        <v>140</v>
      </c>
      <c r="C52" t="s">
        <v>141</v>
      </c>
      <c r="D52" t="s">
        <v>78</v>
      </c>
      <c r="E52" t="s">
        <v>72</v>
      </c>
      <c r="F52" s="32">
        <v>0</v>
      </c>
      <c r="G52" s="32">
        <v>0</v>
      </c>
      <c r="H52" s="32">
        <v>3.1550670196019306</v>
      </c>
      <c r="I52" s="32">
        <v>4.7036428684195526</v>
      </c>
      <c r="J52" s="32">
        <v>4.7719111588022987</v>
      </c>
      <c r="K52" s="32">
        <v>3.4490919487297624</v>
      </c>
      <c r="L52" s="32">
        <v>0.55157943102997864</v>
      </c>
      <c r="M52" s="57">
        <f t="shared" si="0"/>
        <v>16.631292426583521</v>
      </c>
    </row>
    <row r="53" spans="1:13" ht="15">
      <c r="A53" t="s">
        <v>97</v>
      </c>
      <c r="B53" t="s">
        <v>142</v>
      </c>
      <c r="C53" t="s">
        <v>143</v>
      </c>
      <c r="D53" t="s">
        <v>78</v>
      </c>
      <c r="E53" t="s">
        <v>72</v>
      </c>
      <c r="F53" s="32">
        <v>0</v>
      </c>
      <c r="G53" s="32">
        <v>0</v>
      </c>
      <c r="H53" s="32">
        <v>0</v>
      </c>
      <c r="I53" s="32">
        <v>0</v>
      </c>
      <c r="J53" s="32">
        <v>0</v>
      </c>
      <c r="K53" s="32">
        <v>0</v>
      </c>
      <c r="L53" s="32">
        <v>0</v>
      </c>
      <c r="M53" s="57">
        <f t="shared" si="0"/>
        <v>0</v>
      </c>
    </row>
    <row r="54" spans="1:13" ht="15">
      <c r="A54" t="s">
        <v>97</v>
      </c>
      <c r="B54" t="s">
        <v>144</v>
      </c>
      <c r="C54" t="s">
        <v>145</v>
      </c>
      <c r="D54" t="s">
        <v>78</v>
      </c>
      <c r="E54" t="s">
        <v>72</v>
      </c>
      <c r="F54" s="32">
        <v>0</v>
      </c>
      <c r="G54" s="32">
        <v>0</v>
      </c>
      <c r="H54" s="32">
        <v>109.70807744762634</v>
      </c>
      <c r="I54" s="32">
        <v>196.13912414781248</v>
      </c>
      <c r="J54" s="32">
        <v>285.23835213940322</v>
      </c>
      <c r="K54" s="32">
        <v>279.65119364014527</v>
      </c>
      <c r="L54" s="32">
        <v>201.01550305434287</v>
      </c>
      <c r="M54" s="57">
        <f t="shared" si="0"/>
        <v>1071.7522504293302</v>
      </c>
    </row>
    <row r="55" spans="1:13" ht="15">
      <c r="A55" t="s">
        <v>97</v>
      </c>
      <c r="B55" t="s">
        <v>146</v>
      </c>
      <c r="C55" t="s">
        <v>147</v>
      </c>
      <c r="D55" t="s">
        <v>78</v>
      </c>
      <c r="E55" t="s">
        <v>72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57">
        <f t="shared" si="0"/>
        <v>0</v>
      </c>
    </row>
    <row r="56" spans="1:13" ht="15">
      <c r="A56" t="s">
        <v>97</v>
      </c>
      <c r="B56" t="s">
        <v>148</v>
      </c>
      <c r="C56" t="s">
        <v>149</v>
      </c>
      <c r="D56" t="s">
        <v>78</v>
      </c>
      <c r="E56" t="s">
        <v>72</v>
      </c>
      <c r="F56" s="32">
        <v>0</v>
      </c>
      <c r="G56" s="32">
        <v>0</v>
      </c>
      <c r="H56" s="32">
        <v>1.3802432992771263</v>
      </c>
      <c r="I56" s="32">
        <v>1.3382678460470545</v>
      </c>
      <c r="J56" s="32">
        <v>0</v>
      </c>
      <c r="K56" s="32">
        <v>0</v>
      </c>
      <c r="L56" s="32">
        <v>0</v>
      </c>
      <c r="M56" s="57">
        <f t="shared" si="0"/>
        <v>2.7185111453241806</v>
      </c>
    </row>
    <row r="57" spans="1:13" ht="15">
      <c r="A57" t="s">
        <v>97</v>
      </c>
      <c r="B57" t="s">
        <v>150</v>
      </c>
      <c r="C57" t="s">
        <v>151</v>
      </c>
      <c r="D57" t="s">
        <v>78</v>
      </c>
      <c r="E57" t="s">
        <v>72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57">
        <f t="shared" si="0"/>
        <v>0</v>
      </c>
    </row>
    <row r="58" spans="1:13" ht="15">
      <c r="A58" t="s">
        <v>97</v>
      </c>
      <c r="B58" t="s">
        <v>152</v>
      </c>
      <c r="C58" t="s">
        <v>153</v>
      </c>
      <c r="D58" t="s">
        <v>78</v>
      </c>
      <c r="E58" t="s">
        <v>72</v>
      </c>
      <c r="F58" s="32">
        <v>0</v>
      </c>
      <c r="G58" s="32">
        <v>0</v>
      </c>
      <c r="H58" s="32">
        <v>0.12380191406649964</v>
      </c>
      <c r="I58" s="32">
        <v>0.12019194662097547</v>
      </c>
      <c r="J58" s="32">
        <v>0</v>
      </c>
      <c r="K58" s="32">
        <v>0</v>
      </c>
      <c r="L58" s="32">
        <v>0</v>
      </c>
      <c r="M58" s="57">
        <f t="shared" si="0"/>
        <v>0.24399386068747511</v>
      </c>
    </row>
    <row r="59" spans="1:13" ht="15">
      <c r="A59" t="s">
        <v>97</v>
      </c>
      <c r="B59" t="s">
        <v>154</v>
      </c>
      <c r="C59" t="s">
        <v>155</v>
      </c>
      <c r="D59" t="s">
        <v>78</v>
      </c>
      <c r="E59" t="s">
        <v>72</v>
      </c>
      <c r="F59" s="32">
        <v>0</v>
      </c>
      <c r="G59" s="32">
        <v>0</v>
      </c>
      <c r="H59" s="32">
        <v>18.877809887305215</v>
      </c>
      <c r="I59" s="32">
        <v>39.483503681940682</v>
      </c>
      <c r="J59" s="32">
        <v>36.260640689081036</v>
      </c>
      <c r="K59" s="32">
        <v>39.627584436470492</v>
      </c>
      <c r="L59" s="32">
        <v>26.525259686945351</v>
      </c>
      <c r="M59" s="57">
        <f t="shared" si="0"/>
        <v>160.77479838174278</v>
      </c>
    </row>
    <row r="60" spans="1:13" ht="15">
      <c r="A60" t="s">
        <v>97</v>
      </c>
      <c r="B60" t="s">
        <v>156</v>
      </c>
      <c r="C60" t="s">
        <v>157</v>
      </c>
      <c r="D60" t="s">
        <v>78</v>
      </c>
      <c r="E60" t="s">
        <v>72</v>
      </c>
      <c r="F60" s="32">
        <v>0</v>
      </c>
      <c r="G60" s="32">
        <v>0</v>
      </c>
      <c r="H60" s="32">
        <v>0</v>
      </c>
      <c r="I60" s="32">
        <v>0</v>
      </c>
      <c r="J60" s="32">
        <v>3.6619639966186384</v>
      </c>
      <c r="K60" s="32">
        <v>9.3331914967459184</v>
      </c>
      <c r="L60" s="32">
        <v>6.1840242932702782</v>
      </c>
      <c r="M60" s="57">
        <f t="shared" si="0"/>
        <v>19.179179786634833</v>
      </c>
    </row>
    <row r="61" spans="1:13" ht="15">
      <c r="A61" t="s">
        <v>97</v>
      </c>
      <c r="B61" t="s">
        <v>158</v>
      </c>
      <c r="C61" t="s">
        <v>159</v>
      </c>
      <c r="D61" t="s">
        <v>78</v>
      </c>
      <c r="E61" t="s">
        <v>72</v>
      </c>
      <c r="F61" s="32">
        <v>0</v>
      </c>
      <c r="G61" s="32">
        <v>0</v>
      </c>
      <c r="H61" s="32">
        <v>45.051995821124564</v>
      </c>
      <c r="I61" s="32">
        <v>54.302942242895412</v>
      </c>
      <c r="J61" s="32">
        <v>23.219220026471437</v>
      </c>
      <c r="K61" s="32">
        <v>13.798595442530019</v>
      </c>
      <c r="L61" s="32">
        <v>11.706691440896025</v>
      </c>
      <c r="M61" s="57">
        <f t="shared" si="0"/>
        <v>148.07944497391748</v>
      </c>
    </row>
    <row r="62" spans="1:13" ht="15">
      <c r="A62" t="s">
        <v>97</v>
      </c>
      <c r="B62" t="s">
        <v>160</v>
      </c>
      <c r="C62" t="s">
        <v>161</v>
      </c>
      <c r="D62" t="s">
        <v>78</v>
      </c>
      <c r="E62" t="s">
        <v>72</v>
      </c>
      <c r="F62" s="32">
        <v>0</v>
      </c>
      <c r="G62" s="32">
        <v>0</v>
      </c>
      <c r="H62" s="32">
        <v>0</v>
      </c>
      <c r="I62" s="32">
        <v>0</v>
      </c>
      <c r="J62" s="32">
        <v>0</v>
      </c>
      <c r="K62" s="32">
        <v>0</v>
      </c>
      <c r="L62" s="32">
        <v>0</v>
      </c>
      <c r="M62" s="57">
        <f t="shared" si="0"/>
        <v>0</v>
      </c>
    </row>
    <row r="63" spans="1:13" ht="15">
      <c r="A63" t="s">
        <v>97</v>
      </c>
      <c r="B63" t="s">
        <v>162</v>
      </c>
      <c r="C63" t="s">
        <v>163</v>
      </c>
      <c r="D63" t="s">
        <v>78</v>
      </c>
      <c r="E63" t="s">
        <v>72</v>
      </c>
      <c r="F63" s="32">
        <v>0</v>
      </c>
      <c r="G63" s="32">
        <v>0</v>
      </c>
      <c r="H63" s="32">
        <v>0</v>
      </c>
      <c r="I63" s="32">
        <v>0</v>
      </c>
      <c r="J63" s="32">
        <v>0</v>
      </c>
      <c r="K63" s="32">
        <v>0</v>
      </c>
      <c r="L63" s="32">
        <v>0</v>
      </c>
      <c r="M63" s="57">
        <f t="shared" si="0"/>
        <v>0</v>
      </c>
    </row>
    <row r="64" spans="1:13" ht="15">
      <c r="A64" t="s">
        <v>97</v>
      </c>
      <c r="B64" t="s">
        <v>164</v>
      </c>
      <c r="C64" t="s">
        <v>165</v>
      </c>
      <c r="D64" t="s">
        <v>78</v>
      </c>
      <c r="E64" t="s">
        <v>72</v>
      </c>
      <c r="F64" s="32">
        <v>0</v>
      </c>
      <c r="G64" s="32">
        <v>0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57">
        <f t="shared" si="0"/>
        <v>0</v>
      </c>
    </row>
    <row r="65" spans="1:13" ht="15">
      <c r="A65" t="s">
        <v>97</v>
      </c>
      <c r="B65" t="s">
        <v>166</v>
      </c>
      <c r="C65" t="s">
        <v>167</v>
      </c>
      <c r="D65" t="s">
        <v>78</v>
      </c>
      <c r="E65" t="s">
        <v>72</v>
      </c>
      <c r="F65" s="32">
        <v>0</v>
      </c>
      <c r="G65" s="32">
        <v>0</v>
      </c>
      <c r="H65" s="32">
        <v>4.0270286607551</v>
      </c>
      <c r="I65" s="32">
        <v>15.610175362371773</v>
      </c>
      <c r="J65" s="32">
        <v>34.398962334012296</v>
      </c>
      <c r="K65" s="32">
        <v>26.719577280905835</v>
      </c>
      <c r="L65" s="32">
        <v>3.3266651608863378</v>
      </c>
      <c r="M65" s="57">
        <f t="shared" si="0"/>
        <v>84.08240879893134</v>
      </c>
    </row>
    <row r="66" spans="1:13" ht="15">
      <c r="A66" t="s">
        <v>97</v>
      </c>
      <c r="B66" t="s">
        <v>168</v>
      </c>
      <c r="C66" t="s">
        <v>169</v>
      </c>
      <c r="D66" t="s">
        <v>78</v>
      </c>
      <c r="E66" t="s">
        <v>72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57">
        <f t="shared" si="0"/>
        <v>0</v>
      </c>
    </row>
    <row r="67" spans="1:13" ht="15">
      <c r="A67" t="s">
        <v>97</v>
      </c>
      <c r="B67" t="s">
        <v>170</v>
      </c>
      <c r="C67" t="s">
        <v>171</v>
      </c>
      <c r="D67" t="s">
        <v>78</v>
      </c>
      <c r="E67" t="s">
        <v>72</v>
      </c>
      <c r="F67" s="32">
        <v>0</v>
      </c>
      <c r="G67" s="32">
        <v>0</v>
      </c>
      <c r="H67" s="32">
        <v>0.74886365790601039</v>
      </c>
      <c r="I67" s="32">
        <v>0.77714472736689411</v>
      </c>
      <c r="J67" s="32">
        <v>0.75045277415056644</v>
      </c>
      <c r="K67" s="32">
        <v>0.5691451683443236</v>
      </c>
      <c r="L67" s="32">
        <v>0.5893221464858871</v>
      </c>
      <c r="M67" s="57">
        <f t="shared" si="0"/>
        <v>3.4349284742536819</v>
      </c>
    </row>
    <row r="68" spans="1:13" ht="15">
      <c r="A68" t="s">
        <v>97</v>
      </c>
      <c r="B68" t="s">
        <v>172</v>
      </c>
      <c r="C68" t="s">
        <v>173</v>
      </c>
      <c r="D68" t="s">
        <v>78</v>
      </c>
      <c r="E68" t="s">
        <v>72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57">
        <f t="shared" si="0"/>
        <v>0</v>
      </c>
    </row>
    <row r="69" spans="1:13" ht="15">
      <c r="A69" t="s">
        <v>97</v>
      </c>
      <c r="B69" t="s">
        <v>174</v>
      </c>
      <c r="C69" t="s">
        <v>175</v>
      </c>
      <c r="D69" t="s">
        <v>78</v>
      </c>
      <c r="E69" t="s">
        <v>72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57">
        <f t="shared" si="0"/>
        <v>0</v>
      </c>
    </row>
    <row r="70" spans="1:13" ht="15">
      <c r="A70" t="s">
        <v>97</v>
      </c>
      <c r="B70" t="s">
        <v>176</v>
      </c>
      <c r="C70" t="s">
        <v>177</v>
      </c>
      <c r="D70" t="s">
        <v>78</v>
      </c>
      <c r="E70" t="s">
        <v>72</v>
      </c>
      <c r="F70" s="32">
        <v>0</v>
      </c>
      <c r="G70" s="32">
        <v>0</v>
      </c>
      <c r="H70" s="32">
        <v>9.9797779449929482</v>
      </c>
      <c r="I70" s="32">
        <v>15.595247290374932</v>
      </c>
      <c r="J70" s="32">
        <v>6.0240150267624024</v>
      </c>
      <c r="K70" s="32">
        <v>3.4804461288447128</v>
      </c>
      <c r="L70" s="32">
        <v>2.3951499875320823</v>
      </c>
      <c r="M70" s="57">
        <f t="shared" ref="M70:M133" si="1">SUM(F70:L70)</f>
        <v>37.474636378507078</v>
      </c>
    </row>
    <row r="71" spans="1:13" ht="15">
      <c r="A71" t="s">
        <v>97</v>
      </c>
      <c r="B71" t="s">
        <v>178</v>
      </c>
      <c r="C71" t="s">
        <v>179</v>
      </c>
      <c r="D71" t="s">
        <v>78</v>
      </c>
      <c r="E71" t="s">
        <v>72</v>
      </c>
      <c r="F71" s="32">
        <v>0</v>
      </c>
      <c r="G71" s="32">
        <v>0</v>
      </c>
      <c r="H71" s="32">
        <v>0</v>
      </c>
      <c r="I71" s="32">
        <v>0</v>
      </c>
      <c r="J71" s="32">
        <v>0</v>
      </c>
      <c r="K71" s="32">
        <v>0</v>
      </c>
      <c r="L71" s="32">
        <v>0</v>
      </c>
      <c r="M71" s="57">
        <f t="shared" si="1"/>
        <v>0</v>
      </c>
    </row>
    <row r="72" spans="1:13" ht="15">
      <c r="A72" t="s">
        <v>97</v>
      </c>
      <c r="B72" t="s">
        <v>180</v>
      </c>
      <c r="C72" t="s">
        <v>181</v>
      </c>
      <c r="D72" t="s">
        <v>78</v>
      </c>
      <c r="E72" t="s">
        <v>72</v>
      </c>
      <c r="F72" s="32">
        <v>0</v>
      </c>
      <c r="G72" s="32">
        <v>0</v>
      </c>
      <c r="H72" s="32">
        <v>1.055782723159109</v>
      </c>
      <c r="I72" s="32">
        <v>1.0216315462782914</v>
      </c>
      <c r="J72" s="32">
        <v>0.99773831886481068</v>
      </c>
      <c r="K72" s="32">
        <v>1.0010608394926892</v>
      </c>
      <c r="L72" s="32">
        <v>1.0371083839744346</v>
      </c>
      <c r="M72" s="57">
        <f t="shared" si="1"/>
        <v>5.1133218117693344</v>
      </c>
    </row>
    <row r="73" spans="1:13" ht="15">
      <c r="A73" t="s">
        <v>97</v>
      </c>
      <c r="B73" t="s">
        <v>182</v>
      </c>
      <c r="C73" t="s">
        <v>183</v>
      </c>
      <c r="D73" t="s">
        <v>78</v>
      </c>
      <c r="E73" t="s">
        <v>72</v>
      </c>
      <c r="F73" s="32">
        <v>0</v>
      </c>
      <c r="G73" s="32">
        <v>0</v>
      </c>
      <c r="H73" s="32">
        <v>0</v>
      </c>
      <c r="I73" s="32">
        <v>0</v>
      </c>
      <c r="J73" s="32">
        <v>0</v>
      </c>
      <c r="K73" s="32">
        <v>0</v>
      </c>
      <c r="L73" s="32">
        <v>0</v>
      </c>
      <c r="M73" s="57">
        <f t="shared" si="1"/>
        <v>0</v>
      </c>
    </row>
    <row r="74" spans="1:13" ht="15">
      <c r="A74" t="s">
        <v>97</v>
      </c>
      <c r="B74" t="s">
        <v>184</v>
      </c>
      <c r="C74" t="s">
        <v>185</v>
      </c>
      <c r="D74" t="s">
        <v>78</v>
      </c>
      <c r="E74" t="s">
        <v>72</v>
      </c>
      <c r="F74" s="32">
        <v>0</v>
      </c>
      <c r="G74" s="32">
        <v>0</v>
      </c>
      <c r="H74" s="32">
        <v>0</v>
      </c>
      <c r="I74" s="32">
        <v>0</v>
      </c>
      <c r="J74" s="32">
        <v>0</v>
      </c>
      <c r="K74" s="32">
        <v>0</v>
      </c>
      <c r="L74" s="32">
        <v>0</v>
      </c>
      <c r="M74" s="57">
        <f t="shared" si="1"/>
        <v>0</v>
      </c>
    </row>
    <row r="75" spans="1:13" ht="15">
      <c r="A75" t="s">
        <v>97</v>
      </c>
      <c r="B75" t="s">
        <v>186</v>
      </c>
      <c r="C75" t="s">
        <v>187</v>
      </c>
      <c r="D75" t="s">
        <v>78</v>
      </c>
      <c r="E75" t="s">
        <v>72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  <c r="M75" s="57">
        <f t="shared" si="1"/>
        <v>0</v>
      </c>
    </row>
    <row r="76" spans="1:13" ht="15">
      <c r="A76" t="s">
        <v>97</v>
      </c>
      <c r="B76" t="s">
        <v>188</v>
      </c>
      <c r="C76" t="s">
        <v>189</v>
      </c>
      <c r="D76" t="s">
        <v>78</v>
      </c>
      <c r="E76" t="s">
        <v>72</v>
      </c>
      <c r="F76" s="32">
        <v>0</v>
      </c>
      <c r="G76" s="32">
        <v>0</v>
      </c>
      <c r="H76" s="32">
        <v>2.935064315047931</v>
      </c>
      <c r="I76" s="32">
        <v>5.7092365474664755</v>
      </c>
      <c r="J76" s="32">
        <v>8.4325236124909537</v>
      </c>
      <c r="K76" s="32">
        <v>7.4897120289017485</v>
      </c>
      <c r="L76" s="32">
        <v>5.3623581702840983</v>
      </c>
      <c r="M76" s="57">
        <f t="shared" si="1"/>
        <v>29.928894674191206</v>
      </c>
    </row>
    <row r="77" spans="1:13" ht="15">
      <c r="A77" t="s">
        <v>97</v>
      </c>
      <c r="B77" t="s">
        <v>190</v>
      </c>
      <c r="C77" t="s">
        <v>191</v>
      </c>
      <c r="D77" t="s">
        <v>78</v>
      </c>
      <c r="E77" t="s">
        <v>72</v>
      </c>
      <c r="F77" s="32">
        <v>0</v>
      </c>
      <c r="G77" s="32">
        <v>0</v>
      </c>
      <c r="H77" s="32">
        <v>2.7926174681174878</v>
      </c>
      <c r="I77" s="32">
        <v>2.7502191979313331</v>
      </c>
      <c r="J77" s="32">
        <v>2.7453755187018247</v>
      </c>
      <c r="K77" s="32">
        <v>2.8011540020943255</v>
      </c>
      <c r="L77" s="32">
        <v>2.9322527616932414</v>
      </c>
      <c r="M77" s="57">
        <f t="shared" si="1"/>
        <v>14.021618948538212</v>
      </c>
    </row>
    <row r="78" spans="1:13" ht="15">
      <c r="A78" t="s">
        <v>97</v>
      </c>
      <c r="B78" t="s">
        <v>192</v>
      </c>
      <c r="C78" t="s">
        <v>193</v>
      </c>
      <c r="D78" t="s">
        <v>78</v>
      </c>
      <c r="E78" t="s">
        <v>72</v>
      </c>
      <c r="F78" s="32">
        <v>0</v>
      </c>
      <c r="G78" s="32">
        <v>0</v>
      </c>
      <c r="H78" s="32">
        <v>0</v>
      </c>
      <c r="I78" s="32">
        <v>0</v>
      </c>
      <c r="J78" s="32">
        <v>0</v>
      </c>
      <c r="K78" s="32">
        <v>0</v>
      </c>
      <c r="L78" s="32">
        <v>0</v>
      </c>
      <c r="M78" s="57">
        <f t="shared" si="1"/>
        <v>0</v>
      </c>
    </row>
    <row r="79" spans="1:13" ht="15">
      <c r="A79" t="s">
        <v>97</v>
      </c>
      <c r="B79" t="s">
        <v>194</v>
      </c>
      <c r="C79" t="s">
        <v>195</v>
      </c>
      <c r="D79" t="s">
        <v>78</v>
      </c>
      <c r="E79" t="s">
        <v>72</v>
      </c>
      <c r="F79" s="32">
        <v>0</v>
      </c>
      <c r="G79" s="32">
        <v>0</v>
      </c>
      <c r="H79" s="32">
        <v>1.338409869334116</v>
      </c>
      <c r="I79" s="32">
        <v>2.6026086708339298</v>
      </c>
      <c r="J79" s="32">
        <v>3.8442550559324009</v>
      </c>
      <c r="K79" s="32">
        <v>3.4136239489177451</v>
      </c>
      <c r="L79" s="32">
        <v>2.4447444081653908</v>
      </c>
      <c r="M79" s="57">
        <f t="shared" si="1"/>
        <v>13.643641953183584</v>
      </c>
    </row>
    <row r="80" spans="1:13" ht="15">
      <c r="A80" t="s">
        <v>97</v>
      </c>
      <c r="B80" t="s">
        <v>196</v>
      </c>
      <c r="C80" t="s">
        <v>197</v>
      </c>
      <c r="D80" t="s">
        <v>78</v>
      </c>
      <c r="E80" t="s">
        <v>72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57">
        <f t="shared" si="1"/>
        <v>0</v>
      </c>
    </row>
    <row r="81" spans="1:13" ht="15">
      <c r="A81" t="s">
        <v>97</v>
      </c>
      <c r="B81" t="s">
        <v>198</v>
      </c>
      <c r="C81" t="s">
        <v>199</v>
      </c>
      <c r="D81" t="s">
        <v>78</v>
      </c>
      <c r="E81" t="s">
        <v>72</v>
      </c>
      <c r="F81" s="32">
        <v>0</v>
      </c>
      <c r="G81" s="32">
        <v>0</v>
      </c>
      <c r="H81" s="32">
        <v>0.34362840041879528</v>
      </c>
      <c r="I81" s="32">
        <v>1.9868405257188029</v>
      </c>
      <c r="J81" s="32">
        <v>8.1119701328910523</v>
      </c>
      <c r="K81" s="32">
        <v>5.2107272800627893</v>
      </c>
      <c r="L81" s="32">
        <v>2.7828268763287576</v>
      </c>
      <c r="M81" s="57">
        <f t="shared" si="1"/>
        <v>18.435993215420197</v>
      </c>
    </row>
    <row r="82" spans="1:13" ht="15">
      <c r="A82" t="s">
        <v>97</v>
      </c>
      <c r="B82" t="s">
        <v>200</v>
      </c>
      <c r="C82" t="s">
        <v>201</v>
      </c>
      <c r="D82" t="s">
        <v>78</v>
      </c>
      <c r="E82" t="s">
        <v>72</v>
      </c>
      <c r="F82" s="32">
        <v>0</v>
      </c>
      <c r="G82" s="32">
        <v>0</v>
      </c>
      <c r="H82" s="32">
        <v>12.662261687659075</v>
      </c>
      <c r="I82" s="32">
        <v>13.557651578846032</v>
      </c>
      <c r="J82" s="32">
        <v>23.81764882634965</v>
      </c>
      <c r="K82" s="32">
        <v>21.071261577220678</v>
      </c>
      <c r="L82" s="32">
        <v>14.164930598551383</v>
      </c>
      <c r="M82" s="57">
        <f t="shared" si="1"/>
        <v>85.273754268626817</v>
      </c>
    </row>
    <row r="83" spans="1:13" ht="15">
      <c r="A83" t="s">
        <v>97</v>
      </c>
      <c r="B83" t="s">
        <v>202</v>
      </c>
      <c r="C83" t="s">
        <v>203</v>
      </c>
      <c r="D83" t="s">
        <v>78</v>
      </c>
      <c r="E83" t="s">
        <v>72</v>
      </c>
      <c r="F83" s="32">
        <v>0</v>
      </c>
      <c r="G83" s="32">
        <v>0</v>
      </c>
      <c r="H83" s="32">
        <v>2.007943398538492</v>
      </c>
      <c r="I83" s="32">
        <v>2.3737795795546823</v>
      </c>
      <c r="J83" s="32">
        <v>1.1175543944565245</v>
      </c>
      <c r="K83" s="32">
        <v>0.70048410256981886</v>
      </c>
      <c r="L83" s="32">
        <v>0.4067865678372814</v>
      </c>
      <c r="M83" s="57">
        <f t="shared" si="1"/>
        <v>6.6065480429567991</v>
      </c>
    </row>
    <row r="84" spans="1:13" ht="15">
      <c r="A84" t="s">
        <v>97</v>
      </c>
      <c r="B84" t="s">
        <v>204</v>
      </c>
      <c r="C84" t="s">
        <v>205</v>
      </c>
      <c r="D84" t="s">
        <v>78</v>
      </c>
      <c r="E84" t="s">
        <v>72</v>
      </c>
      <c r="F84" s="32">
        <v>0</v>
      </c>
      <c r="G84" s="32">
        <v>0</v>
      </c>
      <c r="H84" s="32">
        <v>5.2690094626702245E-2</v>
      </c>
      <c r="I84" s="32">
        <v>1.6040698974448546</v>
      </c>
      <c r="J84" s="32">
        <v>7.5763489339667647</v>
      </c>
      <c r="K84" s="32">
        <v>5.9413446775754943</v>
      </c>
      <c r="L84" s="32">
        <v>0.12167193331543645</v>
      </c>
      <c r="M84" s="57">
        <f t="shared" si="1"/>
        <v>15.296125536929253</v>
      </c>
    </row>
    <row r="85" spans="1:13" ht="15">
      <c r="A85" t="s">
        <v>97</v>
      </c>
      <c r="B85" t="s">
        <v>206</v>
      </c>
      <c r="C85" t="s">
        <v>207</v>
      </c>
      <c r="D85" t="s">
        <v>78</v>
      </c>
      <c r="E85" t="s">
        <v>72</v>
      </c>
      <c r="F85" s="32">
        <v>0</v>
      </c>
      <c r="G85" s="32">
        <v>0</v>
      </c>
      <c r="H85" s="32">
        <v>0.7549783488033156</v>
      </c>
      <c r="I85" s="32">
        <v>0.90591145500063719</v>
      </c>
      <c r="J85" s="32">
        <v>2.1467540499651587</v>
      </c>
      <c r="K85" s="32">
        <v>3.4996911127018455</v>
      </c>
      <c r="L85" s="32">
        <v>2.3555210681243732</v>
      </c>
      <c r="M85" s="57">
        <f t="shared" si="1"/>
        <v>9.6628560345953307</v>
      </c>
    </row>
    <row r="86" spans="1:13" ht="15">
      <c r="A86" t="s">
        <v>97</v>
      </c>
      <c r="B86" t="s">
        <v>208</v>
      </c>
      <c r="C86" t="s">
        <v>209</v>
      </c>
      <c r="D86" t="s">
        <v>78</v>
      </c>
      <c r="E86" t="s">
        <v>72</v>
      </c>
      <c r="F86" s="32">
        <v>0</v>
      </c>
      <c r="G86" s="32">
        <v>0</v>
      </c>
      <c r="H86" s="32">
        <v>0</v>
      </c>
      <c r="I86" s="32">
        <v>0</v>
      </c>
      <c r="J86" s="32">
        <v>0</v>
      </c>
      <c r="K86" s="32">
        <v>0</v>
      </c>
      <c r="L86" s="32">
        <v>0</v>
      </c>
      <c r="M86" s="57">
        <f t="shared" si="1"/>
        <v>0</v>
      </c>
    </row>
    <row r="87" spans="1:13" ht="15">
      <c r="A87" t="s">
        <v>97</v>
      </c>
      <c r="B87" t="s">
        <v>210</v>
      </c>
      <c r="C87" t="s">
        <v>211</v>
      </c>
      <c r="D87" t="s">
        <v>78</v>
      </c>
      <c r="E87" t="s">
        <v>72</v>
      </c>
      <c r="F87" s="32">
        <v>0</v>
      </c>
      <c r="G87" s="32">
        <v>0</v>
      </c>
      <c r="H87" s="32">
        <v>1.1003514122230487</v>
      </c>
      <c r="I87" s="32">
        <v>1.075816440246764</v>
      </c>
      <c r="J87" s="32">
        <v>1.0711734257488745</v>
      </c>
      <c r="K87" s="32">
        <v>1.0710379078844112</v>
      </c>
      <c r="L87" s="32">
        <v>1.0767000448151718</v>
      </c>
      <c r="M87" s="57">
        <f t="shared" si="1"/>
        <v>5.3950792309182694</v>
      </c>
    </row>
    <row r="88" spans="1:13" ht="15">
      <c r="A88" t="s">
        <v>97</v>
      </c>
      <c r="B88" t="s">
        <v>212</v>
      </c>
      <c r="C88" t="s">
        <v>213</v>
      </c>
      <c r="D88" t="s">
        <v>78</v>
      </c>
      <c r="E88" t="s">
        <v>72</v>
      </c>
      <c r="F88" s="32">
        <v>0</v>
      </c>
      <c r="G88" s="32">
        <v>0</v>
      </c>
      <c r="H88" s="32">
        <v>6.247482523145548</v>
      </c>
      <c r="I88" s="32">
        <v>7.16797483833379</v>
      </c>
      <c r="J88" s="32">
        <v>7.1125574208660911</v>
      </c>
      <c r="K88" s="32">
        <v>7.1770234168988463</v>
      </c>
      <c r="L88" s="32">
        <v>6.8808236809783736</v>
      </c>
      <c r="M88" s="57">
        <f t="shared" si="1"/>
        <v>34.585861880222652</v>
      </c>
    </row>
    <row r="89" spans="1:13" ht="15">
      <c r="A89" t="s">
        <v>97</v>
      </c>
      <c r="B89" t="s">
        <v>214</v>
      </c>
      <c r="C89" t="s">
        <v>215</v>
      </c>
      <c r="D89" t="s">
        <v>78</v>
      </c>
      <c r="E89" t="s">
        <v>72</v>
      </c>
      <c r="F89" s="32">
        <v>0</v>
      </c>
      <c r="G89" s="32">
        <v>0</v>
      </c>
      <c r="H89" s="32">
        <v>0.9379975323660722</v>
      </c>
      <c r="I89" s="32">
        <v>1.2392447977912415</v>
      </c>
      <c r="J89" s="32">
        <v>2.8050536540424909</v>
      </c>
      <c r="K89" s="32">
        <v>4.1620472211164845</v>
      </c>
      <c r="L89" s="32">
        <v>4.1695267112772747</v>
      </c>
      <c r="M89" s="57">
        <f t="shared" si="1"/>
        <v>13.313869916593564</v>
      </c>
    </row>
    <row r="90" spans="1:13" ht="15">
      <c r="A90" t="s">
        <v>97</v>
      </c>
      <c r="B90" t="s">
        <v>216</v>
      </c>
      <c r="C90" t="s">
        <v>217</v>
      </c>
      <c r="D90" t="s">
        <v>78</v>
      </c>
      <c r="E90" t="s">
        <v>72</v>
      </c>
      <c r="F90" s="32">
        <v>0</v>
      </c>
      <c r="G90" s="32">
        <v>0</v>
      </c>
      <c r="H90" s="32">
        <v>14.14474993088305</v>
      </c>
      <c r="I90" s="32">
        <v>0</v>
      </c>
      <c r="J90" s="32">
        <v>0</v>
      </c>
      <c r="K90" s="32">
        <v>0</v>
      </c>
      <c r="L90" s="32">
        <v>0</v>
      </c>
      <c r="M90" s="57">
        <f t="shared" si="1"/>
        <v>14.14474993088305</v>
      </c>
    </row>
    <row r="91" spans="1:13" ht="15">
      <c r="A91" t="s">
        <v>98</v>
      </c>
      <c r="B91" t="s">
        <v>132</v>
      </c>
      <c r="C91" t="s">
        <v>133</v>
      </c>
      <c r="D91" t="s">
        <v>78</v>
      </c>
      <c r="E91" t="s">
        <v>72</v>
      </c>
      <c r="F91" s="32">
        <v>0</v>
      </c>
      <c r="G91" s="32">
        <v>0</v>
      </c>
      <c r="H91" s="32">
        <v>1.7549806302281359</v>
      </c>
      <c r="I91" s="32">
        <v>3.154733808110731</v>
      </c>
      <c r="J91" s="32">
        <v>7.2597014913090323</v>
      </c>
      <c r="K91" s="32">
        <v>10.155491941599223</v>
      </c>
      <c r="L91" s="32">
        <v>1.9091424302281816</v>
      </c>
      <c r="M91" s="57">
        <f t="shared" si="1"/>
        <v>24.234050301475303</v>
      </c>
    </row>
    <row r="92" spans="1:13" ht="15">
      <c r="A92" t="s">
        <v>98</v>
      </c>
      <c r="B92" t="s">
        <v>134</v>
      </c>
      <c r="C92" t="s">
        <v>135</v>
      </c>
      <c r="D92" t="s">
        <v>78</v>
      </c>
      <c r="E92" t="s">
        <v>72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57">
        <f t="shared" si="1"/>
        <v>0</v>
      </c>
    </row>
    <row r="93" spans="1:13" ht="15">
      <c r="A93" t="s">
        <v>98</v>
      </c>
      <c r="B93" t="s">
        <v>136</v>
      </c>
      <c r="C93" t="s">
        <v>137</v>
      </c>
      <c r="D93" t="s">
        <v>78</v>
      </c>
      <c r="E93" t="s">
        <v>72</v>
      </c>
      <c r="F93" s="32">
        <v>0</v>
      </c>
      <c r="G93" s="32">
        <v>0</v>
      </c>
      <c r="H93" s="32">
        <v>2.376996750076793E-2</v>
      </c>
      <c r="I93" s="32">
        <v>1.9703597806717292E-3</v>
      </c>
      <c r="J93" s="32">
        <v>1.9582695169083628E-3</v>
      </c>
      <c r="K93" s="32">
        <v>1.94380745532561E-3</v>
      </c>
      <c r="L93" s="32">
        <v>1.9313005288164515E-3</v>
      </c>
      <c r="M93" s="57">
        <f t="shared" si="1"/>
        <v>3.1573704782490081E-2</v>
      </c>
    </row>
    <row r="94" spans="1:13" ht="15">
      <c r="A94" t="s">
        <v>98</v>
      </c>
      <c r="B94" t="s">
        <v>138</v>
      </c>
      <c r="C94" t="s">
        <v>139</v>
      </c>
      <c r="D94" t="s">
        <v>78</v>
      </c>
      <c r="E94" t="s">
        <v>72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57">
        <f t="shared" si="1"/>
        <v>0</v>
      </c>
    </row>
    <row r="95" spans="1:13" ht="15">
      <c r="A95" t="s">
        <v>98</v>
      </c>
      <c r="B95" t="s">
        <v>140</v>
      </c>
      <c r="C95" t="s">
        <v>141</v>
      </c>
      <c r="D95" t="s">
        <v>78</v>
      </c>
      <c r="E95" t="s">
        <v>72</v>
      </c>
      <c r="F95" s="32">
        <v>0</v>
      </c>
      <c r="G95" s="32">
        <v>0</v>
      </c>
      <c r="H95" s="32">
        <v>5.4472842189259851E-2</v>
      </c>
      <c r="I95" s="32">
        <v>5.4184893968472557E-2</v>
      </c>
      <c r="J95" s="32">
        <v>0.13609973142513121</v>
      </c>
      <c r="K95" s="32">
        <v>0.16619553743033966</v>
      </c>
      <c r="L95" s="32">
        <v>0.14098493860360095</v>
      </c>
      <c r="M95" s="57">
        <f t="shared" si="1"/>
        <v>0.55193794361680426</v>
      </c>
    </row>
    <row r="96" spans="1:13" ht="15">
      <c r="A96" t="s">
        <v>98</v>
      </c>
      <c r="B96" t="s">
        <v>142</v>
      </c>
      <c r="C96" t="s">
        <v>143</v>
      </c>
      <c r="D96" t="s">
        <v>78</v>
      </c>
      <c r="E96" t="s">
        <v>72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57">
        <f t="shared" si="1"/>
        <v>0</v>
      </c>
    </row>
    <row r="97" spans="1:13" ht="15">
      <c r="A97" t="s">
        <v>98</v>
      </c>
      <c r="B97" t="s">
        <v>144</v>
      </c>
      <c r="C97" t="s">
        <v>145</v>
      </c>
      <c r="D97" t="s">
        <v>78</v>
      </c>
      <c r="E97" t="s">
        <v>72</v>
      </c>
      <c r="F97" s="32">
        <v>0</v>
      </c>
      <c r="G97" s="32">
        <v>0</v>
      </c>
      <c r="H97" s="32">
        <v>0.27038338032123521</v>
      </c>
      <c r="I97" s="32">
        <v>0.88075082196026278</v>
      </c>
      <c r="J97" s="32">
        <v>3.3417869306041208</v>
      </c>
      <c r="K97" s="32">
        <v>5.6409292353549212</v>
      </c>
      <c r="L97" s="32">
        <v>0.91929905171663084</v>
      </c>
      <c r="M97" s="57">
        <f t="shared" si="1"/>
        <v>11.053149419957172</v>
      </c>
    </row>
    <row r="98" spans="1:13" ht="15">
      <c r="A98" t="s">
        <v>98</v>
      </c>
      <c r="B98" t="s">
        <v>146</v>
      </c>
      <c r="C98" t="s">
        <v>147</v>
      </c>
      <c r="D98" t="s">
        <v>78</v>
      </c>
      <c r="E98" t="s">
        <v>72</v>
      </c>
      <c r="F98" s="32">
        <v>0</v>
      </c>
      <c r="G98" s="32">
        <v>0</v>
      </c>
      <c r="H98" s="32">
        <v>0</v>
      </c>
      <c r="I98" s="32">
        <v>0</v>
      </c>
      <c r="J98" s="32">
        <v>0</v>
      </c>
      <c r="K98" s="32">
        <v>0</v>
      </c>
      <c r="L98" s="32">
        <v>0</v>
      </c>
      <c r="M98" s="57">
        <f t="shared" si="1"/>
        <v>0</v>
      </c>
    </row>
    <row r="99" spans="1:13" ht="15">
      <c r="A99" t="s">
        <v>98</v>
      </c>
      <c r="B99" t="s">
        <v>148</v>
      </c>
      <c r="C99" t="s">
        <v>149</v>
      </c>
      <c r="D99" t="s">
        <v>78</v>
      </c>
      <c r="E99" t="s">
        <v>72</v>
      </c>
      <c r="F99" s="32">
        <v>0</v>
      </c>
      <c r="G99" s="32">
        <v>0</v>
      </c>
      <c r="H99" s="32">
        <v>0</v>
      </c>
      <c r="I99" s="32">
        <v>0</v>
      </c>
      <c r="J99" s="32">
        <v>0</v>
      </c>
      <c r="K99" s="32">
        <v>0</v>
      </c>
      <c r="L99" s="32">
        <v>0</v>
      </c>
      <c r="M99" s="57">
        <f t="shared" si="1"/>
        <v>0</v>
      </c>
    </row>
    <row r="100" spans="1:13" ht="15">
      <c r="A100" t="s">
        <v>98</v>
      </c>
      <c r="B100" t="s">
        <v>150</v>
      </c>
      <c r="C100" t="s">
        <v>151</v>
      </c>
      <c r="D100" t="s">
        <v>78</v>
      </c>
      <c r="E100" t="s">
        <v>72</v>
      </c>
      <c r="F100" s="32">
        <v>0</v>
      </c>
      <c r="G100" s="32">
        <v>0</v>
      </c>
      <c r="H100" s="32">
        <v>0</v>
      </c>
      <c r="I100" s="32">
        <v>0</v>
      </c>
      <c r="J100" s="32">
        <v>0</v>
      </c>
      <c r="K100" s="32">
        <v>0</v>
      </c>
      <c r="L100" s="32">
        <v>0</v>
      </c>
      <c r="M100" s="57">
        <f t="shared" si="1"/>
        <v>0</v>
      </c>
    </row>
    <row r="101" spans="1:13" ht="15">
      <c r="A101" t="s">
        <v>98</v>
      </c>
      <c r="B101" t="s">
        <v>152</v>
      </c>
      <c r="C101" t="s">
        <v>153</v>
      </c>
      <c r="D101" t="s">
        <v>78</v>
      </c>
      <c r="E101" t="s">
        <v>72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57">
        <f t="shared" si="1"/>
        <v>0</v>
      </c>
    </row>
    <row r="102" spans="1:13" ht="15">
      <c r="A102" t="s">
        <v>98</v>
      </c>
      <c r="B102" t="s">
        <v>154</v>
      </c>
      <c r="C102" t="s">
        <v>155</v>
      </c>
      <c r="D102" t="s">
        <v>78</v>
      </c>
      <c r="E102" t="s">
        <v>72</v>
      </c>
      <c r="F102" s="32">
        <v>0</v>
      </c>
      <c r="G102" s="32">
        <v>0</v>
      </c>
      <c r="H102" s="32">
        <v>0.13697373823951367</v>
      </c>
      <c r="I102" s="32">
        <v>0.70135082748948596</v>
      </c>
      <c r="J102" s="32">
        <v>2.4796236411481987</v>
      </c>
      <c r="K102" s="32">
        <v>3.7558685198394484</v>
      </c>
      <c r="L102" s="32">
        <v>0.74437007959491908</v>
      </c>
      <c r="M102" s="57">
        <f t="shared" si="1"/>
        <v>7.8181868063115658</v>
      </c>
    </row>
    <row r="103" spans="1:13" ht="15">
      <c r="A103" t="s">
        <v>98</v>
      </c>
      <c r="B103" t="s">
        <v>156</v>
      </c>
      <c r="C103" t="s">
        <v>157</v>
      </c>
      <c r="D103" t="s">
        <v>78</v>
      </c>
      <c r="E103" t="s">
        <v>72</v>
      </c>
      <c r="F103" s="32">
        <v>0</v>
      </c>
      <c r="G103" s="32">
        <v>0</v>
      </c>
      <c r="H103" s="32">
        <v>0</v>
      </c>
      <c r="I103" s="32">
        <v>0</v>
      </c>
      <c r="J103" s="32">
        <v>0</v>
      </c>
      <c r="K103" s="32">
        <v>0</v>
      </c>
      <c r="L103" s="32">
        <v>0</v>
      </c>
      <c r="M103" s="57">
        <f t="shared" si="1"/>
        <v>0</v>
      </c>
    </row>
    <row r="104" spans="1:13" ht="15">
      <c r="A104" t="s">
        <v>98</v>
      </c>
      <c r="B104" t="s">
        <v>158</v>
      </c>
      <c r="C104" t="s">
        <v>159</v>
      </c>
      <c r="D104" t="s">
        <v>78</v>
      </c>
      <c r="E104" t="s">
        <v>72</v>
      </c>
      <c r="F104" s="32">
        <v>0</v>
      </c>
      <c r="G104" s="32">
        <v>0</v>
      </c>
      <c r="H104" s="32">
        <v>0</v>
      </c>
      <c r="I104" s="32">
        <v>0</v>
      </c>
      <c r="J104" s="32">
        <v>0</v>
      </c>
      <c r="K104" s="32">
        <v>0</v>
      </c>
      <c r="L104" s="32">
        <v>0</v>
      </c>
      <c r="M104" s="57">
        <f t="shared" si="1"/>
        <v>0</v>
      </c>
    </row>
    <row r="105" spans="1:13" ht="15">
      <c r="A105" t="s">
        <v>98</v>
      </c>
      <c r="B105" t="s">
        <v>160</v>
      </c>
      <c r="C105" t="s">
        <v>161</v>
      </c>
      <c r="D105" t="s">
        <v>78</v>
      </c>
      <c r="E105" t="s">
        <v>72</v>
      </c>
      <c r="F105" s="32">
        <v>0</v>
      </c>
      <c r="G105" s="32">
        <v>0</v>
      </c>
      <c r="H105" s="32">
        <v>0</v>
      </c>
      <c r="I105" s="32">
        <v>0</v>
      </c>
      <c r="J105" s="32">
        <v>0</v>
      </c>
      <c r="K105" s="32">
        <v>0</v>
      </c>
      <c r="L105" s="32">
        <v>0</v>
      </c>
      <c r="M105" s="57">
        <f t="shared" si="1"/>
        <v>0</v>
      </c>
    </row>
    <row r="106" spans="1:13" ht="15">
      <c r="A106" t="s">
        <v>98</v>
      </c>
      <c r="B106" t="s">
        <v>162</v>
      </c>
      <c r="C106" t="s">
        <v>163</v>
      </c>
      <c r="D106" t="s">
        <v>78</v>
      </c>
      <c r="E106" t="s">
        <v>72</v>
      </c>
      <c r="F106" s="32">
        <v>0</v>
      </c>
      <c r="G106" s="32">
        <v>0</v>
      </c>
      <c r="H106" s="32">
        <v>0</v>
      </c>
      <c r="I106" s="32">
        <v>0</v>
      </c>
      <c r="J106" s="32">
        <v>0</v>
      </c>
      <c r="K106" s="32">
        <v>0</v>
      </c>
      <c r="L106" s="32">
        <v>0</v>
      </c>
      <c r="M106" s="57">
        <f t="shared" si="1"/>
        <v>0</v>
      </c>
    </row>
    <row r="107" spans="1:13" ht="15">
      <c r="A107" t="s">
        <v>98</v>
      </c>
      <c r="B107" t="s">
        <v>164</v>
      </c>
      <c r="C107" t="s">
        <v>165</v>
      </c>
      <c r="D107" t="s">
        <v>78</v>
      </c>
      <c r="E107" t="s">
        <v>72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2">
        <v>0</v>
      </c>
      <c r="L107" s="32">
        <v>0</v>
      </c>
      <c r="M107" s="57">
        <f t="shared" si="1"/>
        <v>0</v>
      </c>
    </row>
    <row r="108" spans="1:13" ht="15">
      <c r="A108" t="s">
        <v>98</v>
      </c>
      <c r="B108" t="s">
        <v>166</v>
      </c>
      <c r="C108" t="s">
        <v>167</v>
      </c>
      <c r="D108" t="s">
        <v>78</v>
      </c>
      <c r="E108" t="s">
        <v>72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57">
        <f t="shared" si="1"/>
        <v>0</v>
      </c>
    </row>
    <row r="109" spans="1:13" ht="15">
      <c r="A109" t="s">
        <v>98</v>
      </c>
      <c r="B109" t="s">
        <v>168</v>
      </c>
      <c r="C109" t="s">
        <v>169</v>
      </c>
      <c r="D109" t="s">
        <v>78</v>
      </c>
      <c r="E109" t="s">
        <v>72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57">
        <f t="shared" si="1"/>
        <v>0</v>
      </c>
    </row>
    <row r="110" spans="1:13" ht="15">
      <c r="A110" t="s">
        <v>98</v>
      </c>
      <c r="B110" t="s">
        <v>170</v>
      </c>
      <c r="C110" t="s">
        <v>171</v>
      </c>
      <c r="D110" t="s">
        <v>78</v>
      </c>
      <c r="E110" t="s">
        <v>72</v>
      </c>
      <c r="F110" s="32">
        <v>0</v>
      </c>
      <c r="G110" s="32">
        <v>0</v>
      </c>
      <c r="H110" s="32">
        <v>0.2030351390690594</v>
      </c>
      <c r="I110" s="32">
        <v>0.59406347387252623</v>
      </c>
      <c r="J110" s="32">
        <v>0.85674291364740862</v>
      </c>
      <c r="K110" s="32">
        <v>6.8033260936396348E-2</v>
      </c>
      <c r="L110" s="32">
        <v>1.7381704759348061E-2</v>
      </c>
      <c r="M110" s="57">
        <f t="shared" si="1"/>
        <v>1.7392564922847384</v>
      </c>
    </row>
    <row r="111" spans="1:13" ht="15">
      <c r="A111" t="s">
        <v>98</v>
      </c>
      <c r="B111" t="s">
        <v>172</v>
      </c>
      <c r="C111" t="s">
        <v>173</v>
      </c>
      <c r="D111" t="s">
        <v>78</v>
      </c>
      <c r="E111" t="s">
        <v>72</v>
      </c>
      <c r="F111" s="32">
        <v>0</v>
      </c>
      <c r="G111" s="32">
        <v>0</v>
      </c>
      <c r="H111" s="32">
        <v>0</v>
      </c>
      <c r="I111" s="32">
        <v>0</v>
      </c>
      <c r="J111" s="32">
        <v>0</v>
      </c>
      <c r="K111" s="32">
        <v>0</v>
      </c>
      <c r="L111" s="32">
        <v>0</v>
      </c>
      <c r="M111" s="57">
        <f t="shared" si="1"/>
        <v>0</v>
      </c>
    </row>
    <row r="112" spans="1:13" ht="15">
      <c r="A112" t="s">
        <v>98</v>
      </c>
      <c r="B112" t="s">
        <v>174</v>
      </c>
      <c r="C112" t="s">
        <v>175</v>
      </c>
      <c r="D112" t="s">
        <v>78</v>
      </c>
      <c r="E112" t="s">
        <v>72</v>
      </c>
      <c r="F112" s="32">
        <v>0</v>
      </c>
      <c r="G112" s="32">
        <v>0</v>
      </c>
      <c r="H112" s="32">
        <v>0</v>
      </c>
      <c r="I112" s="32">
        <v>0</v>
      </c>
      <c r="J112" s="32">
        <v>0</v>
      </c>
      <c r="K112" s="32">
        <v>0</v>
      </c>
      <c r="L112" s="32">
        <v>0</v>
      </c>
      <c r="M112" s="57">
        <f t="shared" si="1"/>
        <v>0</v>
      </c>
    </row>
    <row r="113" spans="1:13" ht="15">
      <c r="A113" t="s">
        <v>98</v>
      </c>
      <c r="B113" t="s">
        <v>176</v>
      </c>
      <c r="C113" t="s">
        <v>177</v>
      </c>
      <c r="D113" t="s">
        <v>78</v>
      </c>
      <c r="E113" t="s">
        <v>72</v>
      </c>
      <c r="F113" s="32">
        <v>0</v>
      </c>
      <c r="G113" s="32">
        <v>0</v>
      </c>
      <c r="H113" s="32">
        <v>0.38230031063735087</v>
      </c>
      <c r="I113" s="32">
        <v>0.38224979745031545</v>
      </c>
      <c r="J113" s="32">
        <v>0.3505302435265969</v>
      </c>
      <c r="K113" s="32">
        <v>0</v>
      </c>
      <c r="L113" s="32">
        <v>0</v>
      </c>
      <c r="M113" s="57">
        <f t="shared" si="1"/>
        <v>1.1150803516142633</v>
      </c>
    </row>
    <row r="114" spans="1:13" ht="15">
      <c r="A114" t="s">
        <v>98</v>
      </c>
      <c r="B114" t="s">
        <v>178</v>
      </c>
      <c r="C114" t="s">
        <v>179</v>
      </c>
      <c r="D114" t="s">
        <v>78</v>
      </c>
      <c r="E114" t="s">
        <v>72</v>
      </c>
      <c r="F114" s="32">
        <v>0</v>
      </c>
      <c r="G114" s="32">
        <v>0</v>
      </c>
      <c r="H114" s="32">
        <v>0</v>
      </c>
      <c r="I114" s="32">
        <v>0</v>
      </c>
      <c r="J114" s="32">
        <v>0</v>
      </c>
      <c r="K114" s="32">
        <v>0</v>
      </c>
      <c r="L114" s="32">
        <v>0</v>
      </c>
      <c r="M114" s="57">
        <f t="shared" si="1"/>
        <v>0</v>
      </c>
    </row>
    <row r="115" spans="1:13" ht="15">
      <c r="A115" t="s">
        <v>98</v>
      </c>
      <c r="B115" t="s">
        <v>180</v>
      </c>
      <c r="C115" t="s">
        <v>181</v>
      </c>
      <c r="D115" t="s">
        <v>78</v>
      </c>
      <c r="E115" t="s">
        <v>72</v>
      </c>
      <c r="F115" s="32">
        <v>0</v>
      </c>
      <c r="G115" s="32">
        <v>0</v>
      </c>
      <c r="H115" s="32">
        <v>0</v>
      </c>
      <c r="I115" s="32">
        <v>0</v>
      </c>
      <c r="J115" s="32">
        <v>0</v>
      </c>
      <c r="K115" s="32">
        <v>0</v>
      </c>
      <c r="L115" s="32">
        <v>0</v>
      </c>
      <c r="M115" s="57">
        <f t="shared" si="1"/>
        <v>0</v>
      </c>
    </row>
    <row r="116" spans="1:13" ht="15">
      <c r="A116" t="s">
        <v>98</v>
      </c>
      <c r="B116" t="s">
        <v>182</v>
      </c>
      <c r="C116" t="s">
        <v>183</v>
      </c>
      <c r="D116" t="s">
        <v>78</v>
      </c>
      <c r="E116" t="s">
        <v>72</v>
      </c>
      <c r="F116" s="32">
        <v>0</v>
      </c>
      <c r="G116" s="32">
        <v>0</v>
      </c>
      <c r="H116" s="32">
        <v>0</v>
      </c>
      <c r="I116" s="32">
        <v>0</v>
      </c>
      <c r="J116" s="32">
        <v>0</v>
      </c>
      <c r="K116" s="32">
        <v>0</v>
      </c>
      <c r="L116" s="32">
        <v>0</v>
      </c>
      <c r="M116" s="57">
        <f t="shared" si="1"/>
        <v>0</v>
      </c>
    </row>
    <row r="117" spans="1:13" ht="15">
      <c r="A117" t="s">
        <v>98</v>
      </c>
      <c r="B117" t="s">
        <v>184</v>
      </c>
      <c r="C117" t="s">
        <v>185</v>
      </c>
      <c r="D117" t="s">
        <v>78</v>
      </c>
      <c r="E117" t="s">
        <v>72</v>
      </c>
      <c r="F117" s="32">
        <v>0</v>
      </c>
      <c r="G117" s="32">
        <v>0</v>
      </c>
      <c r="H117" s="32">
        <v>0</v>
      </c>
      <c r="I117" s="32">
        <v>0</v>
      </c>
      <c r="J117" s="32">
        <v>0</v>
      </c>
      <c r="K117" s="32">
        <v>0</v>
      </c>
      <c r="L117" s="32">
        <v>0</v>
      </c>
      <c r="M117" s="57">
        <f t="shared" si="1"/>
        <v>0</v>
      </c>
    </row>
    <row r="118" spans="1:13" ht="15">
      <c r="A118" t="s">
        <v>98</v>
      </c>
      <c r="B118" t="s">
        <v>186</v>
      </c>
      <c r="C118" t="s">
        <v>187</v>
      </c>
      <c r="D118" t="s">
        <v>78</v>
      </c>
      <c r="E118" t="s">
        <v>72</v>
      </c>
      <c r="F118" s="32">
        <v>0</v>
      </c>
      <c r="G118" s="32">
        <v>0</v>
      </c>
      <c r="H118" s="32">
        <v>0</v>
      </c>
      <c r="I118" s="32">
        <v>0</v>
      </c>
      <c r="J118" s="32">
        <v>0</v>
      </c>
      <c r="K118" s="32">
        <v>0</v>
      </c>
      <c r="L118" s="32">
        <v>0</v>
      </c>
      <c r="M118" s="57">
        <f t="shared" si="1"/>
        <v>0</v>
      </c>
    </row>
    <row r="119" spans="1:13" ht="15">
      <c r="A119" t="s">
        <v>98</v>
      </c>
      <c r="B119" t="s">
        <v>188</v>
      </c>
      <c r="C119" t="s">
        <v>189</v>
      </c>
      <c r="D119" t="s">
        <v>78</v>
      </c>
      <c r="E119" t="s">
        <v>72</v>
      </c>
      <c r="F119" s="32">
        <v>0</v>
      </c>
      <c r="G119" s="32">
        <v>0</v>
      </c>
      <c r="H119" s="32">
        <v>0</v>
      </c>
      <c r="I119" s="32">
        <v>0</v>
      </c>
      <c r="J119" s="32">
        <v>0</v>
      </c>
      <c r="K119" s="32">
        <v>0</v>
      </c>
      <c r="L119" s="32">
        <v>0</v>
      </c>
      <c r="M119" s="57">
        <f t="shared" si="1"/>
        <v>0</v>
      </c>
    </row>
    <row r="120" spans="1:13" ht="15">
      <c r="A120" t="s">
        <v>98</v>
      </c>
      <c r="B120" t="s">
        <v>190</v>
      </c>
      <c r="C120" t="s">
        <v>191</v>
      </c>
      <c r="D120" t="s">
        <v>78</v>
      </c>
      <c r="E120" t="s">
        <v>72</v>
      </c>
      <c r="F120" s="32">
        <v>0</v>
      </c>
      <c r="G120" s="32">
        <v>0</v>
      </c>
      <c r="H120" s="32">
        <v>0</v>
      </c>
      <c r="I120" s="32">
        <v>0</v>
      </c>
      <c r="J120" s="32">
        <v>0</v>
      </c>
      <c r="K120" s="32">
        <v>0</v>
      </c>
      <c r="L120" s="32">
        <v>0</v>
      </c>
      <c r="M120" s="57">
        <f t="shared" si="1"/>
        <v>0</v>
      </c>
    </row>
    <row r="121" spans="1:13" ht="15">
      <c r="A121" t="s">
        <v>98</v>
      </c>
      <c r="B121" t="s">
        <v>192</v>
      </c>
      <c r="C121" t="s">
        <v>193</v>
      </c>
      <c r="D121" t="s">
        <v>78</v>
      </c>
      <c r="E121" t="s">
        <v>72</v>
      </c>
      <c r="F121" s="32">
        <v>0</v>
      </c>
      <c r="G121" s="32">
        <v>0</v>
      </c>
      <c r="H121" s="32">
        <v>0</v>
      </c>
      <c r="I121" s="32">
        <v>0</v>
      </c>
      <c r="J121" s="32">
        <v>0</v>
      </c>
      <c r="K121" s="32">
        <v>0</v>
      </c>
      <c r="L121" s="32">
        <v>0</v>
      </c>
      <c r="M121" s="57">
        <f t="shared" si="1"/>
        <v>0</v>
      </c>
    </row>
    <row r="122" spans="1:13" ht="15">
      <c r="A122" t="s">
        <v>98</v>
      </c>
      <c r="B122" t="s">
        <v>194</v>
      </c>
      <c r="C122" t="s">
        <v>195</v>
      </c>
      <c r="D122" t="s">
        <v>78</v>
      </c>
      <c r="E122" t="s">
        <v>72</v>
      </c>
      <c r="F122" s="32">
        <v>0</v>
      </c>
      <c r="G122" s="32">
        <v>0</v>
      </c>
      <c r="H122" s="32">
        <v>0</v>
      </c>
      <c r="I122" s="32">
        <v>0</v>
      </c>
      <c r="J122" s="32">
        <v>0</v>
      </c>
      <c r="K122" s="32">
        <v>0</v>
      </c>
      <c r="L122" s="32">
        <v>0</v>
      </c>
      <c r="M122" s="57">
        <f t="shared" si="1"/>
        <v>0</v>
      </c>
    </row>
    <row r="123" spans="1:13" ht="15">
      <c r="A123" t="s">
        <v>98</v>
      </c>
      <c r="B123" t="s">
        <v>196</v>
      </c>
      <c r="C123" t="s">
        <v>197</v>
      </c>
      <c r="D123" t="s">
        <v>78</v>
      </c>
      <c r="E123" t="s">
        <v>72</v>
      </c>
      <c r="F123" s="32">
        <v>0</v>
      </c>
      <c r="G123" s="32">
        <v>0</v>
      </c>
      <c r="H123" s="32">
        <v>0</v>
      </c>
      <c r="I123" s="32">
        <v>0</v>
      </c>
      <c r="J123" s="32">
        <v>0</v>
      </c>
      <c r="K123" s="32">
        <v>0</v>
      </c>
      <c r="L123" s="32">
        <v>0</v>
      </c>
      <c r="M123" s="57">
        <f t="shared" si="1"/>
        <v>0</v>
      </c>
    </row>
    <row r="124" spans="1:13" ht="15">
      <c r="A124" t="s">
        <v>98</v>
      </c>
      <c r="B124" t="s">
        <v>198</v>
      </c>
      <c r="C124" t="s">
        <v>199</v>
      </c>
      <c r="D124" t="s">
        <v>78</v>
      </c>
      <c r="E124" t="s">
        <v>72</v>
      </c>
      <c r="F124" s="32">
        <v>0</v>
      </c>
      <c r="G124" s="32">
        <v>0</v>
      </c>
      <c r="H124" s="32">
        <v>0</v>
      </c>
      <c r="I124" s="32">
        <v>0</v>
      </c>
      <c r="J124" s="32">
        <v>0</v>
      </c>
      <c r="K124" s="32">
        <v>0</v>
      </c>
      <c r="L124" s="32">
        <v>0</v>
      </c>
      <c r="M124" s="57">
        <f t="shared" si="1"/>
        <v>0</v>
      </c>
    </row>
    <row r="125" spans="1:13" ht="15">
      <c r="A125" t="s">
        <v>98</v>
      </c>
      <c r="B125" t="s">
        <v>200</v>
      </c>
      <c r="C125" t="s">
        <v>201</v>
      </c>
      <c r="D125" t="s">
        <v>78</v>
      </c>
      <c r="E125" t="s">
        <v>72</v>
      </c>
      <c r="F125" s="32">
        <v>0</v>
      </c>
      <c r="G125" s="32">
        <v>0</v>
      </c>
      <c r="H125" s="32">
        <v>0.19709264357221593</v>
      </c>
      <c r="I125" s="32">
        <v>0.19703597444656273</v>
      </c>
      <c r="J125" s="32">
        <v>1.4687021106933181E-2</v>
      </c>
      <c r="K125" s="32">
        <v>0.44318809167049117</v>
      </c>
      <c r="L125" s="32">
        <v>9.6565024666403904E-3</v>
      </c>
      <c r="M125" s="57">
        <f t="shared" si="1"/>
        <v>0.86166023326284336</v>
      </c>
    </row>
    <row r="126" spans="1:13" ht="15">
      <c r="A126" t="s">
        <v>98</v>
      </c>
      <c r="B126" t="s">
        <v>202</v>
      </c>
      <c r="C126" t="s">
        <v>203</v>
      </c>
      <c r="D126" t="s">
        <v>78</v>
      </c>
      <c r="E126" t="s">
        <v>72</v>
      </c>
      <c r="F126" s="32">
        <v>0</v>
      </c>
      <c r="G126" s="32">
        <v>0</v>
      </c>
      <c r="H126" s="32">
        <v>0</v>
      </c>
      <c r="I126" s="32">
        <v>0</v>
      </c>
      <c r="J126" s="32">
        <v>0</v>
      </c>
      <c r="K126" s="32">
        <v>0</v>
      </c>
      <c r="L126" s="32">
        <v>0</v>
      </c>
      <c r="M126" s="57">
        <f t="shared" si="1"/>
        <v>0</v>
      </c>
    </row>
    <row r="127" spans="1:13" ht="15">
      <c r="A127" t="s">
        <v>98</v>
      </c>
      <c r="B127" t="s">
        <v>204</v>
      </c>
      <c r="C127" t="s">
        <v>205</v>
      </c>
      <c r="D127" t="s">
        <v>78</v>
      </c>
      <c r="E127" t="s">
        <v>72</v>
      </c>
      <c r="F127" s="32">
        <v>0</v>
      </c>
      <c r="G127" s="32">
        <v>0</v>
      </c>
      <c r="H127" s="32">
        <v>0</v>
      </c>
      <c r="I127" s="32">
        <v>0</v>
      </c>
      <c r="J127" s="32">
        <v>0</v>
      </c>
      <c r="K127" s="32">
        <v>0</v>
      </c>
      <c r="L127" s="32">
        <v>0</v>
      </c>
      <c r="M127" s="57">
        <f t="shared" si="1"/>
        <v>0</v>
      </c>
    </row>
    <row r="128" spans="1:13" ht="15">
      <c r="A128" t="s">
        <v>98</v>
      </c>
      <c r="B128" t="s">
        <v>206</v>
      </c>
      <c r="C128" t="s">
        <v>207</v>
      </c>
      <c r="D128" t="s">
        <v>78</v>
      </c>
      <c r="E128" t="s">
        <v>72</v>
      </c>
      <c r="F128" s="32">
        <v>0</v>
      </c>
      <c r="G128" s="32">
        <v>0</v>
      </c>
      <c r="H128" s="32">
        <v>0</v>
      </c>
      <c r="I128" s="32">
        <v>5.1273007180130413E-2</v>
      </c>
      <c r="J128" s="32">
        <v>5.0958392465178498E-2</v>
      </c>
      <c r="K128" s="32">
        <v>5.0582058460269419E-2</v>
      </c>
      <c r="L128" s="32">
        <v>5.0256601282856458E-2</v>
      </c>
      <c r="M128" s="57">
        <f t="shared" si="1"/>
        <v>0.20307005938843481</v>
      </c>
    </row>
    <row r="129" spans="1:13" ht="15">
      <c r="A129" t="s">
        <v>98</v>
      </c>
      <c r="B129" t="s">
        <v>208</v>
      </c>
      <c r="C129" t="s">
        <v>209</v>
      </c>
      <c r="D129" t="s">
        <v>78</v>
      </c>
      <c r="E129" t="s">
        <v>72</v>
      </c>
      <c r="F129" s="32">
        <v>0</v>
      </c>
      <c r="G129" s="32">
        <v>0</v>
      </c>
      <c r="H129" s="32">
        <v>0</v>
      </c>
      <c r="I129" s="32">
        <v>0</v>
      </c>
      <c r="J129" s="32">
        <v>0</v>
      </c>
      <c r="K129" s="32">
        <v>0</v>
      </c>
      <c r="L129" s="32">
        <v>0</v>
      </c>
      <c r="M129" s="57">
        <f t="shared" si="1"/>
        <v>0</v>
      </c>
    </row>
    <row r="130" spans="1:13" ht="15">
      <c r="A130" t="s">
        <v>98</v>
      </c>
      <c r="B130" t="s">
        <v>210</v>
      </c>
      <c r="C130" t="s">
        <v>211</v>
      </c>
      <c r="D130" t="s">
        <v>78</v>
      </c>
      <c r="E130" t="s">
        <v>72</v>
      </c>
      <c r="F130" s="32">
        <v>0</v>
      </c>
      <c r="G130" s="32">
        <v>0</v>
      </c>
      <c r="H130" s="32">
        <v>0</v>
      </c>
      <c r="I130" s="32">
        <v>0</v>
      </c>
      <c r="J130" s="32">
        <v>0</v>
      </c>
      <c r="K130" s="32">
        <v>0</v>
      </c>
      <c r="L130" s="32">
        <v>0</v>
      </c>
      <c r="M130" s="57">
        <f t="shared" si="1"/>
        <v>0</v>
      </c>
    </row>
    <row r="131" spans="1:13" ht="15">
      <c r="A131" t="s">
        <v>98</v>
      </c>
      <c r="B131" t="s">
        <v>212</v>
      </c>
      <c r="C131" t="s">
        <v>213</v>
      </c>
      <c r="D131" t="s">
        <v>78</v>
      </c>
      <c r="E131" t="s">
        <v>72</v>
      </c>
      <c r="F131" s="32">
        <v>0</v>
      </c>
      <c r="G131" s="32">
        <v>0</v>
      </c>
      <c r="H131" s="32">
        <v>0.48676192930499446</v>
      </c>
      <c r="I131" s="32">
        <v>0.29123214055063834</v>
      </c>
      <c r="J131" s="32">
        <v>2.4956276500346174E-2</v>
      </c>
      <c r="K131" s="32">
        <v>2.4771971324522361E-2</v>
      </c>
      <c r="L131" s="32">
        <v>2.4612582479709599E-2</v>
      </c>
      <c r="M131" s="57">
        <f t="shared" si="1"/>
        <v>0.85233490016021096</v>
      </c>
    </row>
    <row r="132" spans="1:13" ht="15">
      <c r="A132" t="s">
        <v>98</v>
      </c>
      <c r="B132" t="s">
        <v>214</v>
      </c>
      <c r="C132" t="s">
        <v>215</v>
      </c>
      <c r="D132" t="s">
        <v>78</v>
      </c>
      <c r="E132" t="s">
        <v>72</v>
      </c>
      <c r="F132" s="32">
        <v>0</v>
      </c>
      <c r="G132" s="32">
        <v>0</v>
      </c>
      <c r="H132" s="32">
        <v>1.9067939373852979E-4</v>
      </c>
      <c r="I132" s="32">
        <v>6.2251141166497486E-4</v>
      </c>
      <c r="J132" s="32">
        <v>2.3580713682094701E-3</v>
      </c>
      <c r="K132" s="32">
        <v>3.9794591275107505E-3</v>
      </c>
      <c r="L132" s="32">
        <v>6.4966879565969498E-4</v>
      </c>
      <c r="M132" s="57">
        <f t="shared" si="1"/>
        <v>7.8003900967834206E-3</v>
      </c>
    </row>
    <row r="133" spans="1:13" ht="15">
      <c r="A133" t="s">
        <v>98</v>
      </c>
      <c r="B133" t="s">
        <v>216</v>
      </c>
      <c r="C133" t="s">
        <v>217</v>
      </c>
      <c r="D133" t="s">
        <v>78</v>
      </c>
      <c r="E133" t="s">
        <v>72</v>
      </c>
      <c r="F133" s="32">
        <v>0</v>
      </c>
      <c r="G133" s="32">
        <v>0</v>
      </c>
      <c r="H133" s="32">
        <v>0</v>
      </c>
      <c r="I133" s="32">
        <v>0</v>
      </c>
      <c r="J133" s="32">
        <v>0</v>
      </c>
      <c r="K133" s="32">
        <v>0</v>
      </c>
      <c r="L133" s="32">
        <v>0</v>
      </c>
      <c r="M133" s="57">
        <f t="shared" si="1"/>
        <v>0</v>
      </c>
    </row>
    <row r="134" spans="1:13" ht="15">
      <c r="A134" t="s">
        <v>99</v>
      </c>
      <c r="B134" t="s">
        <v>132</v>
      </c>
      <c r="C134" t="s">
        <v>133</v>
      </c>
      <c r="D134" t="s">
        <v>78</v>
      </c>
      <c r="E134" t="s">
        <v>72</v>
      </c>
      <c r="F134" s="32">
        <v>15.506465679780835</v>
      </c>
      <c r="G134" s="32">
        <v>56.41881575232479</v>
      </c>
      <c r="H134" s="32">
        <v>317.75380839797759</v>
      </c>
      <c r="I134" s="32">
        <v>332.9282271584446</v>
      </c>
      <c r="J134" s="32">
        <v>313.93844729332881</v>
      </c>
      <c r="K134" s="32">
        <v>287.57163675957304</v>
      </c>
      <c r="L134" s="32">
        <v>264.97398607341546</v>
      </c>
      <c r="M134" s="57">
        <f t="shared" ref="M134:M197" si="2">SUM(F134:L134)</f>
        <v>1589.0913871148452</v>
      </c>
    </row>
    <row r="135" spans="1:13" ht="15">
      <c r="A135" t="s">
        <v>99</v>
      </c>
      <c r="B135" t="s">
        <v>134</v>
      </c>
      <c r="C135" t="s">
        <v>135</v>
      </c>
      <c r="D135" t="s">
        <v>78</v>
      </c>
      <c r="E135" t="s">
        <v>72</v>
      </c>
      <c r="F135" s="32">
        <v>0</v>
      </c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0</v>
      </c>
      <c r="M135" s="57">
        <f t="shared" si="2"/>
        <v>0</v>
      </c>
    </row>
    <row r="136" spans="1:13" ht="15">
      <c r="A136" t="s">
        <v>99</v>
      </c>
      <c r="B136" t="s">
        <v>136</v>
      </c>
      <c r="C136" t="s">
        <v>137</v>
      </c>
      <c r="D136" t="s">
        <v>78</v>
      </c>
      <c r="E136" t="s">
        <v>72</v>
      </c>
      <c r="F136" s="32">
        <v>0</v>
      </c>
      <c r="G136" s="32">
        <v>4.321208048429936</v>
      </c>
      <c r="H136" s="32">
        <v>2.5631948288328088</v>
      </c>
      <c r="I136" s="32">
        <v>0.10245870859492991</v>
      </c>
      <c r="J136" s="32">
        <v>0.10183001487923485</v>
      </c>
      <c r="K136" s="32">
        <v>0.10107798767693171</v>
      </c>
      <c r="L136" s="32">
        <v>0.10042762749845548</v>
      </c>
      <c r="M136" s="57">
        <f t="shared" si="2"/>
        <v>7.290197215912297</v>
      </c>
    </row>
    <row r="137" spans="1:13" ht="15">
      <c r="A137" t="s">
        <v>99</v>
      </c>
      <c r="B137" t="s">
        <v>138</v>
      </c>
      <c r="C137" t="s">
        <v>139</v>
      </c>
      <c r="D137" t="s">
        <v>78</v>
      </c>
      <c r="E137" t="s">
        <v>72</v>
      </c>
      <c r="F137" s="32">
        <v>0</v>
      </c>
      <c r="G137" s="32">
        <v>0</v>
      </c>
      <c r="H137" s="32">
        <v>0</v>
      </c>
      <c r="I137" s="32">
        <v>12.734023646225836</v>
      </c>
      <c r="J137" s="32">
        <v>12.786359856994229</v>
      </c>
      <c r="K137" s="32">
        <v>12.562421514403752</v>
      </c>
      <c r="L137" s="32">
        <v>12.610268065877255</v>
      </c>
      <c r="M137" s="57">
        <f t="shared" si="2"/>
        <v>50.693073083501076</v>
      </c>
    </row>
    <row r="138" spans="1:13" ht="15">
      <c r="A138" t="s">
        <v>99</v>
      </c>
      <c r="B138" t="s">
        <v>140</v>
      </c>
      <c r="C138" t="s">
        <v>141</v>
      </c>
      <c r="D138" t="s">
        <v>78</v>
      </c>
      <c r="E138" t="s">
        <v>72</v>
      </c>
      <c r="F138" s="32">
        <v>0</v>
      </c>
      <c r="G138" s="32">
        <v>0</v>
      </c>
      <c r="H138" s="32">
        <v>5.3201941260218781</v>
      </c>
      <c r="I138" s="32">
        <v>6.3775423164914127</v>
      </c>
      <c r="J138" s="32">
        <v>6.3384092761579742</v>
      </c>
      <c r="K138" s="32">
        <v>6.2915993429506152</v>
      </c>
      <c r="L138" s="32">
        <v>6.2511176736413621</v>
      </c>
      <c r="M138" s="57">
        <f t="shared" si="2"/>
        <v>30.578862735263243</v>
      </c>
    </row>
    <row r="139" spans="1:13" ht="15">
      <c r="A139" t="s">
        <v>99</v>
      </c>
      <c r="B139" t="s">
        <v>142</v>
      </c>
      <c r="C139" t="s">
        <v>143</v>
      </c>
      <c r="D139" t="s">
        <v>78</v>
      </c>
      <c r="E139" t="s">
        <v>72</v>
      </c>
      <c r="F139" s="32">
        <v>0</v>
      </c>
      <c r="G139" s="32">
        <v>0</v>
      </c>
      <c r="H139" s="32">
        <v>0</v>
      </c>
      <c r="I139" s="32">
        <v>0</v>
      </c>
      <c r="J139" s="32">
        <v>0</v>
      </c>
      <c r="K139" s="32">
        <v>0</v>
      </c>
      <c r="L139" s="32">
        <v>0</v>
      </c>
      <c r="M139" s="57">
        <f t="shared" si="2"/>
        <v>0</v>
      </c>
    </row>
    <row r="140" spans="1:13" ht="15">
      <c r="A140" t="s">
        <v>99</v>
      </c>
      <c r="B140" t="s">
        <v>144</v>
      </c>
      <c r="C140" t="s">
        <v>145</v>
      </c>
      <c r="D140" t="s">
        <v>78</v>
      </c>
      <c r="E140" t="s">
        <v>72</v>
      </c>
      <c r="F140" s="32">
        <v>3.755354193612789</v>
      </c>
      <c r="G140" s="32">
        <v>19.683856244879522</v>
      </c>
      <c r="H140" s="32">
        <v>189.58322645517202</v>
      </c>
      <c r="I140" s="32">
        <v>198.76537945225843</v>
      </c>
      <c r="J140" s="32">
        <v>197.5838644091088</v>
      </c>
      <c r="K140" s="32">
        <v>196.16252475010438</v>
      </c>
      <c r="L140" s="32">
        <v>195.60836604065662</v>
      </c>
      <c r="M140" s="57">
        <f t="shared" si="2"/>
        <v>1001.1425715457925</v>
      </c>
    </row>
    <row r="141" spans="1:13" ht="15">
      <c r="A141" t="s">
        <v>99</v>
      </c>
      <c r="B141" t="s">
        <v>146</v>
      </c>
      <c r="C141" t="s">
        <v>147</v>
      </c>
      <c r="D141" t="s">
        <v>78</v>
      </c>
      <c r="E141" t="s">
        <v>72</v>
      </c>
      <c r="F141" s="32">
        <v>0.17078875880087238</v>
      </c>
      <c r="G141" s="32">
        <v>7.0669100248053356</v>
      </c>
      <c r="H141" s="32">
        <v>7.3648527563897854</v>
      </c>
      <c r="I141" s="32">
        <v>7.551969010166812</v>
      </c>
      <c r="J141" s="32">
        <v>1.106210760616458</v>
      </c>
      <c r="K141" s="32">
        <v>1.0910552420612705</v>
      </c>
      <c r="L141" s="32">
        <v>1.2536252282719373</v>
      </c>
      <c r="M141" s="57">
        <f t="shared" si="2"/>
        <v>25.605411781112469</v>
      </c>
    </row>
    <row r="142" spans="1:13" ht="15">
      <c r="A142" t="s">
        <v>99</v>
      </c>
      <c r="B142" t="s">
        <v>148</v>
      </c>
      <c r="C142" t="s">
        <v>149</v>
      </c>
      <c r="D142" t="s">
        <v>78</v>
      </c>
      <c r="E142" t="s">
        <v>72</v>
      </c>
      <c r="F142" s="32">
        <v>0.03</v>
      </c>
      <c r="G142" s="32">
        <v>2.9856343033831896E-2</v>
      </c>
      <c r="H142" s="32">
        <v>2.5770606432082563</v>
      </c>
      <c r="I142" s="32">
        <v>2.5634380746539192</v>
      </c>
      <c r="J142" s="32">
        <v>0</v>
      </c>
      <c r="K142" s="32">
        <v>0</v>
      </c>
      <c r="L142" s="32">
        <v>0</v>
      </c>
      <c r="M142" s="57">
        <f t="shared" si="2"/>
        <v>5.2003550608960074</v>
      </c>
    </row>
    <row r="143" spans="1:13" ht="15">
      <c r="A143" t="s">
        <v>99</v>
      </c>
      <c r="B143" t="s">
        <v>150</v>
      </c>
      <c r="C143" t="s">
        <v>151</v>
      </c>
      <c r="D143" t="s">
        <v>78</v>
      </c>
      <c r="E143" t="s">
        <v>72</v>
      </c>
      <c r="F143" s="32">
        <v>2.3999999999999997E-2</v>
      </c>
      <c r="G143" s="32">
        <v>0.49537644361733868</v>
      </c>
      <c r="H143" s="32">
        <v>5.7285621676850704</v>
      </c>
      <c r="I143" s="32">
        <v>5.6982804857026395</v>
      </c>
      <c r="J143" s="32">
        <v>5.6633154428989831</v>
      </c>
      <c r="K143" s="32">
        <v>5.6214911608016633</v>
      </c>
      <c r="L143" s="32">
        <v>5.7665543709613125</v>
      </c>
      <c r="M143" s="57">
        <f t="shared" si="2"/>
        <v>28.997580071667009</v>
      </c>
    </row>
    <row r="144" spans="1:13" ht="15">
      <c r="A144" t="s">
        <v>99</v>
      </c>
      <c r="B144" t="s">
        <v>152</v>
      </c>
      <c r="C144" t="s">
        <v>153</v>
      </c>
      <c r="D144" t="s">
        <v>78</v>
      </c>
      <c r="E144" t="s">
        <v>72</v>
      </c>
      <c r="F144" s="32">
        <v>0</v>
      </c>
      <c r="G144" s="32">
        <v>2.7467835591125342</v>
      </c>
      <c r="H144" s="32">
        <v>0.50347366246439051</v>
      </c>
      <c r="I144" s="32">
        <v>0.50081225653267536</v>
      </c>
      <c r="J144" s="32">
        <v>0</v>
      </c>
      <c r="K144" s="32">
        <v>0</v>
      </c>
      <c r="L144" s="32">
        <v>0</v>
      </c>
      <c r="M144" s="57">
        <f t="shared" si="2"/>
        <v>3.7510694781096001</v>
      </c>
    </row>
    <row r="145" spans="1:13" ht="15">
      <c r="A145" t="s">
        <v>99</v>
      </c>
      <c r="B145" t="s">
        <v>154</v>
      </c>
      <c r="C145" t="s">
        <v>155</v>
      </c>
      <c r="D145" t="s">
        <v>78</v>
      </c>
      <c r="E145" t="s">
        <v>72</v>
      </c>
      <c r="F145" s="32">
        <v>0.25263804854826688</v>
      </c>
      <c r="G145" s="32">
        <v>1.0559987537196904</v>
      </c>
      <c r="H145" s="32">
        <v>7.3163331445362578</v>
      </c>
      <c r="I145" s="32">
        <v>7.2776583659312291</v>
      </c>
      <c r="J145" s="32">
        <v>7.2330021513216405</v>
      </c>
      <c r="K145" s="32">
        <v>0.81421017951874319</v>
      </c>
      <c r="L145" s="32">
        <v>0.80897135462878322</v>
      </c>
      <c r="M145" s="57">
        <f t="shared" si="2"/>
        <v>24.758811998204614</v>
      </c>
    </row>
    <row r="146" spans="1:13" ht="15">
      <c r="A146" t="s">
        <v>99</v>
      </c>
      <c r="B146" t="s">
        <v>156</v>
      </c>
      <c r="C146" t="s">
        <v>157</v>
      </c>
      <c r="D146" t="s">
        <v>78</v>
      </c>
      <c r="E146" t="s">
        <v>72</v>
      </c>
      <c r="F146" s="32">
        <v>1.0561599999999998</v>
      </c>
      <c r="G146" s="32">
        <v>2.3329348362062459</v>
      </c>
      <c r="H146" s="32">
        <v>1.5590325517628671</v>
      </c>
      <c r="I146" s="32">
        <v>1.5507913689754911</v>
      </c>
      <c r="J146" s="32">
        <v>1.5412756059778958</v>
      </c>
      <c r="K146" s="32">
        <v>0.47926516618508241</v>
      </c>
      <c r="L146" s="32">
        <v>0.47618145838498427</v>
      </c>
      <c r="M146" s="57">
        <f t="shared" si="2"/>
        <v>8.9956409874925658</v>
      </c>
    </row>
    <row r="147" spans="1:13" ht="15">
      <c r="A147" t="s">
        <v>99</v>
      </c>
      <c r="B147" t="s">
        <v>158</v>
      </c>
      <c r="C147" t="s">
        <v>159</v>
      </c>
      <c r="D147" t="s">
        <v>78</v>
      </c>
      <c r="E147" t="s">
        <v>72</v>
      </c>
      <c r="F147" s="32">
        <v>0.31076903476680912</v>
      </c>
      <c r="G147" s="32">
        <v>1.2371235875054245</v>
      </c>
      <c r="H147" s="32">
        <v>7.6609033221695855</v>
      </c>
      <c r="I147" s="32">
        <v>7.6142838473168117</v>
      </c>
      <c r="J147" s="32">
        <v>7.5675620754930808</v>
      </c>
      <c r="K147" s="32">
        <v>2.1172834591575556</v>
      </c>
      <c r="L147" s="32">
        <v>2.1036603461531329</v>
      </c>
      <c r="M147" s="57">
        <f t="shared" si="2"/>
        <v>28.611585672562398</v>
      </c>
    </row>
    <row r="148" spans="1:13" ht="15">
      <c r="A148" t="s">
        <v>99</v>
      </c>
      <c r="B148" t="s">
        <v>160</v>
      </c>
      <c r="C148" t="s">
        <v>161</v>
      </c>
      <c r="D148" t="s">
        <v>78</v>
      </c>
      <c r="E148" t="s">
        <v>72</v>
      </c>
      <c r="F148" s="32">
        <v>0</v>
      </c>
      <c r="G148" s="32">
        <v>0</v>
      </c>
      <c r="H148" s="32">
        <v>0</v>
      </c>
      <c r="I148" s="32">
        <v>0</v>
      </c>
      <c r="J148" s="32">
        <v>0</v>
      </c>
      <c r="K148" s="32">
        <v>0</v>
      </c>
      <c r="L148" s="32">
        <v>0</v>
      </c>
      <c r="M148" s="57">
        <f t="shared" si="2"/>
        <v>0</v>
      </c>
    </row>
    <row r="149" spans="1:13" ht="15">
      <c r="A149" t="s">
        <v>99</v>
      </c>
      <c r="B149" t="s">
        <v>162</v>
      </c>
      <c r="C149" t="s">
        <v>163</v>
      </c>
      <c r="D149" t="s">
        <v>78</v>
      </c>
      <c r="E149" t="s">
        <v>72</v>
      </c>
      <c r="F149" s="32">
        <v>4.2229519287234059</v>
      </c>
      <c r="G149" s="32">
        <v>6.2936921603106173</v>
      </c>
      <c r="H149" s="32">
        <v>14.470909198740976</v>
      </c>
      <c r="I149" s="32">
        <v>14.394414703695636</v>
      </c>
      <c r="J149" s="32">
        <v>14.3060895804394</v>
      </c>
      <c r="K149" s="32">
        <v>14.200437346804405</v>
      </c>
      <c r="L149" s="32">
        <v>14.109068304151648</v>
      </c>
      <c r="M149" s="57">
        <f t="shared" si="2"/>
        <v>81.997563222866091</v>
      </c>
    </row>
    <row r="150" spans="1:13" ht="15">
      <c r="A150" t="s">
        <v>99</v>
      </c>
      <c r="B150" t="s">
        <v>164</v>
      </c>
      <c r="C150" t="s">
        <v>165</v>
      </c>
      <c r="D150" t="s">
        <v>78</v>
      </c>
      <c r="E150" t="s">
        <v>72</v>
      </c>
      <c r="F150" s="32">
        <v>0.18000000000000002</v>
      </c>
      <c r="G150" s="32">
        <v>0.62698320371046978</v>
      </c>
      <c r="H150" s="32">
        <v>5.4892380293284226</v>
      </c>
      <c r="I150" s="32">
        <v>5.4602214357287826</v>
      </c>
      <c r="J150" s="32">
        <v>5.4267171397053211</v>
      </c>
      <c r="K150" s="32">
        <v>0.54933895940768518</v>
      </c>
      <c r="L150" s="32">
        <v>0.54580437990234076</v>
      </c>
      <c r="M150" s="57">
        <f t="shared" si="2"/>
        <v>18.278303147783021</v>
      </c>
    </row>
    <row r="151" spans="1:13" ht="15">
      <c r="A151" t="s">
        <v>99</v>
      </c>
      <c r="B151" t="s">
        <v>166</v>
      </c>
      <c r="C151" t="s">
        <v>167</v>
      </c>
      <c r="D151" t="s">
        <v>78</v>
      </c>
      <c r="E151" t="s">
        <v>72</v>
      </c>
      <c r="F151" s="32">
        <v>9.0160000000000004E-2</v>
      </c>
      <c r="G151" s="32">
        <v>8.9728262931009467E-2</v>
      </c>
      <c r="H151" s="32">
        <v>1.2829443792414479</v>
      </c>
      <c r="I151" s="32">
        <v>0.53928747196985227</v>
      </c>
      <c r="J151" s="32">
        <v>0.53597836677781885</v>
      </c>
      <c r="K151" s="32">
        <v>0.53202010052261939</v>
      </c>
      <c r="L151" s="32">
        <v>0.52859695473706281</v>
      </c>
      <c r="M151" s="57">
        <f t="shared" si="2"/>
        <v>3.5987155361798102</v>
      </c>
    </row>
    <row r="152" spans="1:13" ht="15">
      <c r="A152" t="s">
        <v>99</v>
      </c>
      <c r="B152" t="s">
        <v>168</v>
      </c>
      <c r="C152" t="s">
        <v>169</v>
      </c>
      <c r="D152" t="s">
        <v>78</v>
      </c>
      <c r="E152" t="s">
        <v>72</v>
      </c>
      <c r="F152" s="32">
        <v>0</v>
      </c>
      <c r="G152" s="32">
        <v>0</v>
      </c>
      <c r="H152" s="32">
        <v>0.36546325032430693</v>
      </c>
      <c r="I152" s="32">
        <v>0.363531379533934</v>
      </c>
      <c r="J152" s="32">
        <v>0.36130072586959289</v>
      </c>
      <c r="K152" s="32">
        <v>0.35863247550757504</v>
      </c>
      <c r="L152" s="32">
        <v>0.3563249475666353</v>
      </c>
      <c r="M152" s="57">
        <f t="shared" si="2"/>
        <v>1.805252778802044</v>
      </c>
    </row>
    <row r="153" spans="1:13" ht="15">
      <c r="A153" t="s">
        <v>99</v>
      </c>
      <c r="B153" t="s">
        <v>170</v>
      </c>
      <c r="C153" t="s">
        <v>171</v>
      </c>
      <c r="D153" t="s">
        <v>78</v>
      </c>
      <c r="E153" t="s">
        <v>72</v>
      </c>
      <c r="F153" s="32">
        <v>3.184156103005948</v>
      </c>
      <c r="G153" s="32">
        <v>1.5342460941409213E-2</v>
      </c>
      <c r="H153" s="32">
        <v>7.1019904382197492</v>
      </c>
      <c r="I153" s="32">
        <v>6.8968450520171523</v>
      </c>
      <c r="J153" s="32">
        <v>4.4610089506628743</v>
      </c>
      <c r="K153" s="32">
        <v>9.018820141974819E-2</v>
      </c>
      <c r="L153" s="32">
        <v>2.9869302918480528E-2</v>
      </c>
      <c r="M153" s="57">
        <f t="shared" si="2"/>
        <v>21.779400509185361</v>
      </c>
    </row>
    <row r="154" spans="1:13" ht="15">
      <c r="A154" t="s">
        <v>99</v>
      </c>
      <c r="B154" t="s">
        <v>172</v>
      </c>
      <c r="C154" t="s">
        <v>173</v>
      </c>
      <c r="D154" t="s">
        <v>78</v>
      </c>
      <c r="E154" t="s">
        <v>72</v>
      </c>
      <c r="F154" s="32">
        <v>0</v>
      </c>
      <c r="G154" s="32">
        <v>0</v>
      </c>
      <c r="H154" s="32">
        <v>0</v>
      </c>
      <c r="I154" s="32">
        <v>0</v>
      </c>
      <c r="J154" s="32">
        <v>0</v>
      </c>
      <c r="K154" s="32">
        <v>0</v>
      </c>
      <c r="L154" s="32">
        <v>0</v>
      </c>
      <c r="M154" s="57">
        <f t="shared" si="2"/>
        <v>0</v>
      </c>
    </row>
    <row r="155" spans="1:13" ht="15">
      <c r="A155" t="s">
        <v>99</v>
      </c>
      <c r="B155" t="s">
        <v>174</v>
      </c>
      <c r="C155" t="s">
        <v>175</v>
      </c>
      <c r="D155" t="s">
        <v>78</v>
      </c>
      <c r="E155" t="s">
        <v>72</v>
      </c>
      <c r="F155" s="32">
        <v>0</v>
      </c>
      <c r="G155" s="32">
        <v>0</v>
      </c>
      <c r="H155" s="32">
        <v>12.885303216041281</v>
      </c>
      <c r="I155" s="32">
        <v>12.817190373269597</v>
      </c>
      <c r="J155" s="32">
        <v>12.738543207488899</v>
      </c>
      <c r="K155" s="32">
        <v>12.644467496893093</v>
      </c>
      <c r="L155" s="32">
        <v>12.563109939951017</v>
      </c>
      <c r="M155" s="57">
        <f t="shared" si="2"/>
        <v>63.64861423364389</v>
      </c>
    </row>
    <row r="156" spans="1:13" ht="15">
      <c r="A156" t="s">
        <v>99</v>
      </c>
      <c r="B156" t="s">
        <v>176</v>
      </c>
      <c r="C156" t="s">
        <v>177</v>
      </c>
      <c r="D156" t="s">
        <v>78</v>
      </c>
      <c r="E156" t="s">
        <v>72</v>
      </c>
      <c r="F156" s="32">
        <v>1.2374095272163597</v>
      </c>
      <c r="G156" s="32">
        <v>2.9265155519997776</v>
      </c>
      <c r="H156" s="32">
        <v>14.535331997165452</v>
      </c>
      <c r="I156" s="32">
        <v>14.458496957558108</v>
      </c>
      <c r="J156" s="32">
        <v>0</v>
      </c>
      <c r="K156" s="32">
        <v>0</v>
      </c>
      <c r="L156" s="32">
        <v>0</v>
      </c>
      <c r="M156" s="57">
        <f t="shared" si="2"/>
        <v>33.157754033939696</v>
      </c>
    </row>
    <row r="157" spans="1:13" ht="15">
      <c r="A157" t="s">
        <v>99</v>
      </c>
      <c r="B157" t="s">
        <v>178</v>
      </c>
      <c r="C157" t="s">
        <v>179</v>
      </c>
      <c r="D157" t="s">
        <v>78</v>
      </c>
      <c r="E157" t="s">
        <v>72</v>
      </c>
      <c r="F157" s="32">
        <v>3.2518085106382981E-2</v>
      </c>
      <c r="G157" s="32">
        <v>3.236237012465034E-2</v>
      </c>
      <c r="H157" s="32">
        <v>0</v>
      </c>
      <c r="I157" s="32">
        <v>0</v>
      </c>
      <c r="J157" s="32">
        <v>0</v>
      </c>
      <c r="K157" s="32">
        <v>0</v>
      </c>
      <c r="L157" s="32">
        <v>0</v>
      </c>
      <c r="M157" s="57">
        <f t="shared" si="2"/>
        <v>6.4880455231033321E-2</v>
      </c>
    </row>
    <row r="158" spans="1:13" ht="15">
      <c r="A158" t="s">
        <v>99</v>
      </c>
      <c r="B158" t="s">
        <v>180</v>
      </c>
      <c r="C158" t="s">
        <v>181</v>
      </c>
      <c r="D158" t="s">
        <v>78</v>
      </c>
      <c r="E158" t="s">
        <v>72</v>
      </c>
      <c r="F158" s="32">
        <v>0</v>
      </c>
      <c r="G158" s="32">
        <v>0</v>
      </c>
      <c r="H158" s="32">
        <v>0</v>
      </c>
      <c r="I158" s="32">
        <v>0</v>
      </c>
      <c r="J158" s="32">
        <v>0</v>
      </c>
      <c r="K158" s="32">
        <v>0</v>
      </c>
      <c r="L158" s="32">
        <v>0</v>
      </c>
      <c r="M158" s="57">
        <f t="shared" si="2"/>
        <v>0</v>
      </c>
    </row>
    <row r="159" spans="1:13" ht="15">
      <c r="A159" t="s">
        <v>99</v>
      </c>
      <c r="B159" t="s">
        <v>182</v>
      </c>
      <c r="C159" t="s">
        <v>183</v>
      </c>
      <c r="D159" t="s">
        <v>78</v>
      </c>
      <c r="E159" t="s">
        <v>72</v>
      </c>
      <c r="F159" s="32">
        <v>0.95956000000000008</v>
      </c>
      <c r="G159" s="32">
        <v>0.95496508405145786</v>
      </c>
      <c r="H159" s="32">
        <v>0.92120509049226096</v>
      </c>
      <c r="I159" s="32">
        <v>0.91633551959919413</v>
      </c>
      <c r="J159" s="32">
        <v>0.91071282153340294</v>
      </c>
      <c r="K159" s="32">
        <v>0.90398709517372799</v>
      </c>
      <c r="L159" s="32">
        <v>0.89817062393137881</v>
      </c>
      <c r="M159" s="57">
        <f t="shared" si="2"/>
        <v>6.4649362347814234</v>
      </c>
    </row>
    <row r="160" spans="1:13" ht="15">
      <c r="A160" t="s">
        <v>99</v>
      </c>
      <c r="B160" t="s">
        <v>184</v>
      </c>
      <c r="C160" t="s">
        <v>185</v>
      </c>
      <c r="D160" t="s">
        <v>78</v>
      </c>
      <c r="E160" t="s">
        <v>72</v>
      </c>
      <c r="F160" s="32">
        <v>0</v>
      </c>
      <c r="G160" s="32">
        <v>0</v>
      </c>
      <c r="H160" s="32">
        <v>0</v>
      </c>
      <c r="I160" s="32">
        <v>0</v>
      </c>
      <c r="J160" s="32">
        <v>0</v>
      </c>
      <c r="K160" s="32">
        <v>0</v>
      </c>
      <c r="L160" s="32">
        <v>0</v>
      </c>
      <c r="M160" s="57">
        <f t="shared" si="2"/>
        <v>0</v>
      </c>
    </row>
    <row r="161" spans="1:13" ht="15">
      <c r="A161" t="s">
        <v>99</v>
      </c>
      <c r="B161" t="s">
        <v>186</v>
      </c>
      <c r="C161" t="s">
        <v>187</v>
      </c>
      <c r="D161" t="s">
        <v>78</v>
      </c>
      <c r="E161" t="s">
        <v>72</v>
      </c>
      <c r="F161" s="32">
        <v>0</v>
      </c>
      <c r="G161" s="32">
        <v>0</v>
      </c>
      <c r="H161" s="32">
        <v>0</v>
      </c>
      <c r="I161" s="32">
        <v>0</v>
      </c>
      <c r="J161" s="32">
        <v>0</v>
      </c>
      <c r="K161" s="32">
        <v>0</v>
      </c>
      <c r="L161" s="32">
        <v>0</v>
      </c>
      <c r="M161" s="57">
        <f t="shared" si="2"/>
        <v>0</v>
      </c>
    </row>
    <row r="162" spans="1:13" ht="15">
      <c r="A162" t="s">
        <v>99</v>
      </c>
      <c r="B162" t="s">
        <v>188</v>
      </c>
      <c r="C162" t="s">
        <v>189</v>
      </c>
      <c r="D162" t="s">
        <v>78</v>
      </c>
      <c r="E162" t="s">
        <v>72</v>
      </c>
      <c r="F162" s="32">
        <v>0</v>
      </c>
      <c r="G162" s="32">
        <v>0</v>
      </c>
      <c r="H162" s="32">
        <v>0</v>
      </c>
      <c r="I162" s="32">
        <v>0</v>
      </c>
      <c r="J162" s="32">
        <v>0</v>
      </c>
      <c r="K162" s="32">
        <v>0</v>
      </c>
      <c r="L162" s="32">
        <v>0</v>
      </c>
      <c r="M162" s="57">
        <f t="shared" si="2"/>
        <v>0</v>
      </c>
    </row>
    <row r="163" spans="1:13" ht="15">
      <c r="A163" t="s">
        <v>99</v>
      </c>
      <c r="B163" t="s">
        <v>190</v>
      </c>
      <c r="C163" t="s">
        <v>191</v>
      </c>
      <c r="D163" t="s">
        <v>78</v>
      </c>
      <c r="E163" t="s">
        <v>72</v>
      </c>
      <c r="F163" s="32">
        <v>0</v>
      </c>
      <c r="G163" s="32">
        <v>0</v>
      </c>
      <c r="H163" s="32">
        <v>7.306075714724809</v>
      </c>
      <c r="I163" s="32">
        <v>14.528265787409257</v>
      </c>
      <c r="J163" s="32">
        <v>14.431304436737603</v>
      </c>
      <c r="K163" s="32">
        <v>4.5085589606396045E-3</v>
      </c>
      <c r="L163" s="32">
        <v>4.4775719905373774E-3</v>
      </c>
      <c r="M163" s="57">
        <f t="shared" si="2"/>
        <v>36.274632069822843</v>
      </c>
    </row>
    <row r="164" spans="1:13" ht="15">
      <c r="A164" t="s">
        <v>99</v>
      </c>
      <c r="B164" t="s">
        <v>192</v>
      </c>
      <c r="C164" t="s">
        <v>193</v>
      </c>
      <c r="D164" t="s">
        <v>78</v>
      </c>
      <c r="E164" t="s">
        <v>72</v>
      </c>
      <c r="F164" s="32">
        <v>0</v>
      </c>
      <c r="G164" s="32">
        <v>0</v>
      </c>
      <c r="H164" s="32">
        <v>0</v>
      </c>
      <c r="I164" s="32">
        <v>0</v>
      </c>
      <c r="J164" s="32">
        <v>0</v>
      </c>
      <c r="K164" s="32">
        <v>0</v>
      </c>
      <c r="L164" s="32">
        <v>0</v>
      </c>
      <c r="M164" s="57">
        <f t="shared" si="2"/>
        <v>0</v>
      </c>
    </row>
    <row r="165" spans="1:13" ht="15">
      <c r="A165" t="s">
        <v>99</v>
      </c>
      <c r="B165" t="s">
        <v>194</v>
      </c>
      <c r="C165" t="s">
        <v>195</v>
      </c>
      <c r="D165" t="s">
        <v>78</v>
      </c>
      <c r="E165" t="s">
        <v>72</v>
      </c>
      <c r="F165" s="32">
        <v>0</v>
      </c>
      <c r="G165" s="32">
        <v>0</v>
      </c>
      <c r="H165" s="32">
        <v>0.65338853247161599</v>
      </c>
      <c r="I165" s="32">
        <v>0.64955574247404724</v>
      </c>
      <c r="J165" s="32">
        <v>7.9839845920493921</v>
      </c>
      <c r="K165" s="32">
        <v>7.8475450749462103</v>
      </c>
      <c r="L165" s="32">
        <v>0.48710059479118284</v>
      </c>
      <c r="M165" s="57">
        <f t="shared" si="2"/>
        <v>17.621574536732449</v>
      </c>
    </row>
    <row r="166" spans="1:13" ht="15">
      <c r="A166" t="s">
        <v>99</v>
      </c>
      <c r="B166" t="s">
        <v>196</v>
      </c>
      <c r="C166" t="s">
        <v>197</v>
      </c>
      <c r="D166" t="s">
        <v>78</v>
      </c>
      <c r="E166" t="s">
        <v>72</v>
      </c>
      <c r="F166" s="32">
        <v>0</v>
      </c>
      <c r="G166" s="32">
        <v>0</v>
      </c>
      <c r="H166" s="32">
        <v>0</v>
      </c>
      <c r="I166" s="32">
        <v>0</v>
      </c>
      <c r="J166" s="32">
        <v>0</v>
      </c>
      <c r="K166" s="32">
        <v>0</v>
      </c>
      <c r="L166" s="32">
        <v>0</v>
      </c>
      <c r="M166" s="57">
        <f t="shared" si="2"/>
        <v>0</v>
      </c>
    </row>
    <row r="167" spans="1:13" ht="15">
      <c r="A167" t="s">
        <v>99</v>
      </c>
      <c r="B167" t="s">
        <v>198</v>
      </c>
      <c r="C167" t="s">
        <v>199</v>
      </c>
      <c r="D167" t="s">
        <v>78</v>
      </c>
      <c r="E167" t="s">
        <v>72</v>
      </c>
      <c r="F167" s="32">
        <v>0</v>
      </c>
      <c r="G167" s="32">
        <v>0</v>
      </c>
      <c r="H167" s="32">
        <v>0</v>
      </c>
      <c r="I167" s="32">
        <v>0</v>
      </c>
      <c r="J167" s="32">
        <v>0</v>
      </c>
      <c r="K167" s="32">
        <v>0</v>
      </c>
      <c r="L167" s="32">
        <v>0</v>
      </c>
      <c r="M167" s="57">
        <f t="shared" si="2"/>
        <v>0</v>
      </c>
    </row>
    <row r="168" spans="1:13" ht="15">
      <c r="A168" t="s">
        <v>99</v>
      </c>
      <c r="B168" t="s">
        <v>200</v>
      </c>
      <c r="C168" t="s">
        <v>201</v>
      </c>
      <c r="D168" t="s">
        <v>78</v>
      </c>
      <c r="E168" t="s">
        <v>72</v>
      </c>
      <c r="F168" s="32">
        <v>0</v>
      </c>
      <c r="G168" s="32">
        <v>6.5091788169455285</v>
      </c>
      <c r="H168" s="32">
        <v>7.4186552825511178</v>
      </c>
      <c r="I168" s="32">
        <v>1.5779889493091013</v>
      </c>
      <c r="J168" s="32">
        <v>2.6215419009803305</v>
      </c>
      <c r="K168" s="32">
        <v>16.723843940025624</v>
      </c>
      <c r="L168" s="32">
        <v>2.5854384271226549</v>
      </c>
      <c r="M168" s="57">
        <f t="shared" si="2"/>
        <v>37.436647316934355</v>
      </c>
    </row>
    <row r="169" spans="1:13" ht="15">
      <c r="A169" t="s">
        <v>99</v>
      </c>
      <c r="B169" t="s">
        <v>202</v>
      </c>
      <c r="C169" t="s">
        <v>203</v>
      </c>
      <c r="D169" t="s">
        <v>78</v>
      </c>
      <c r="E169" t="s">
        <v>72</v>
      </c>
      <c r="F169" s="32">
        <v>0</v>
      </c>
      <c r="G169" s="32">
        <v>0</v>
      </c>
      <c r="H169" s="32">
        <v>6.3268196828420065</v>
      </c>
      <c r="I169" s="32">
        <v>6.8073733854132332E-2</v>
      </c>
      <c r="J169" s="32">
        <v>6.7656028719401518E-2</v>
      </c>
      <c r="K169" s="32">
        <v>6.7156380614104338E-2</v>
      </c>
      <c r="L169" s="32">
        <v>6.6724280246004367E-2</v>
      </c>
      <c r="M169" s="57">
        <f t="shared" si="2"/>
        <v>6.5964301062756485</v>
      </c>
    </row>
    <row r="170" spans="1:13" ht="15">
      <c r="A170" t="s">
        <v>99</v>
      </c>
      <c r="B170" t="s">
        <v>204</v>
      </c>
      <c r="C170" t="s">
        <v>205</v>
      </c>
      <c r="D170" t="s">
        <v>78</v>
      </c>
      <c r="E170" t="s">
        <v>72</v>
      </c>
      <c r="F170" s="32">
        <v>0</v>
      </c>
      <c r="G170" s="32">
        <v>0</v>
      </c>
      <c r="H170" s="32">
        <v>0</v>
      </c>
      <c r="I170" s="32">
        <v>0</v>
      </c>
      <c r="J170" s="32">
        <v>0</v>
      </c>
      <c r="K170" s="32">
        <v>0</v>
      </c>
      <c r="L170" s="32">
        <v>0</v>
      </c>
      <c r="M170" s="57">
        <f t="shared" si="2"/>
        <v>0</v>
      </c>
    </row>
    <row r="171" spans="1:13" ht="15">
      <c r="A171" t="s">
        <v>99</v>
      </c>
      <c r="B171" t="s">
        <v>206</v>
      </c>
      <c r="C171" t="s">
        <v>207</v>
      </c>
      <c r="D171" t="s">
        <v>78</v>
      </c>
      <c r="E171" t="s">
        <v>72</v>
      </c>
      <c r="F171" s="32">
        <v>0</v>
      </c>
      <c r="G171" s="32">
        <v>0</v>
      </c>
      <c r="H171" s="32">
        <v>4.6594814862757907</v>
      </c>
      <c r="I171" s="32">
        <v>4.6898133874385746</v>
      </c>
      <c r="J171" s="32">
        <v>4.6610363684335629</v>
      </c>
      <c r="K171" s="32">
        <v>4.6266140407520515</v>
      </c>
      <c r="L171" s="32">
        <v>4.5968452888957962</v>
      </c>
      <c r="M171" s="57">
        <f t="shared" si="2"/>
        <v>23.233790571795776</v>
      </c>
    </row>
    <row r="172" spans="1:13" ht="15">
      <c r="A172" t="s">
        <v>99</v>
      </c>
      <c r="B172" t="s">
        <v>208</v>
      </c>
      <c r="C172" t="s">
        <v>209</v>
      </c>
      <c r="D172" t="s">
        <v>78</v>
      </c>
      <c r="E172" t="s">
        <v>72</v>
      </c>
      <c r="F172" s="32">
        <v>0</v>
      </c>
      <c r="G172" s="32">
        <v>0</v>
      </c>
      <c r="H172" s="32">
        <v>2.4578547105944519</v>
      </c>
      <c r="I172" s="32">
        <v>3.1292554010161062</v>
      </c>
      <c r="J172" s="32">
        <v>3.8084298497620561</v>
      </c>
      <c r="K172" s="32">
        <v>2.0796545549645651</v>
      </c>
      <c r="L172" s="32">
        <v>1.5209695604159303</v>
      </c>
      <c r="M172" s="57">
        <f t="shared" si="2"/>
        <v>12.996164076753109</v>
      </c>
    </row>
    <row r="173" spans="1:13" ht="15">
      <c r="A173" t="s">
        <v>99</v>
      </c>
      <c r="B173" t="s">
        <v>210</v>
      </c>
      <c r="C173" t="s">
        <v>211</v>
      </c>
      <c r="D173" t="s">
        <v>78</v>
      </c>
      <c r="E173" t="s">
        <v>72</v>
      </c>
      <c r="F173" s="32">
        <v>0</v>
      </c>
      <c r="G173" s="32">
        <v>0</v>
      </c>
      <c r="H173" s="32">
        <v>0</v>
      </c>
      <c r="I173" s="32">
        <v>0</v>
      </c>
      <c r="J173" s="32">
        <v>0</v>
      </c>
      <c r="K173" s="32">
        <v>0</v>
      </c>
      <c r="L173" s="32">
        <v>0</v>
      </c>
      <c r="M173" s="57">
        <f t="shared" si="2"/>
        <v>0</v>
      </c>
    </row>
    <row r="174" spans="1:13" ht="15">
      <c r="A174" t="s">
        <v>99</v>
      </c>
      <c r="B174" t="s">
        <v>212</v>
      </c>
      <c r="C174" t="s">
        <v>213</v>
      </c>
      <c r="D174" t="s">
        <v>78</v>
      </c>
      <c r="E174" t="s">
        <v>72</v>
      </c>
      <c r="F174" s="32">
        <v>0</v>
      </c>
      <c r="G174" s="32">
        <v>0</v>
      </c>
      <c r="H174" s="32">
        <v>0</v>
      </c>
      <c r="I174" s="32">
        <v>0</v>
      </c>
      <c r="J174" s="32">
        <v>0</v>
      </c>
      <c r="K174" s="32">
        <v>0</v>
      </c>
      <c r="L174" s="32">
        <v>0</v>
      </c>
      <c r="M174" s="57">
        <f t="shared" si="2"/>
        <v>0</v>
      </c>
    </row>
    <row r="175" spans="1:13" ht="15">
      <c r="A175" t="s">
        <v>99</v>
      </c>
      <c r="B175" t="s">
        <v>214</v>
      </c>
      <c r="C175" t="s">
        <v>215</v>
      </c>
      <c r="D175" t="s">
        <v>78</v>
      </c>
      <c r="E175" t="s">
        <v>72</v>
      </c>
      <c r="F175" s="32">
        <v>0</v>
      </c>
      <c r="G175" s="32">
        <v>0</v>
      </c>
      <c r="H175" s="32">
        <v>0</v>
      </c>
      <c r="I175" s="32">
        <v>0</v>
      </c>
      <c r="J175" s="32">
        <v>0</v>
      </c>
      <c r="K175" s="32">
        <v>0</v>
      </c>
      <c r="L175" s="32">
        <v>0</v>
      </c>
      <c r="M175" s="57">
        <f t="shared" si="2"/>
        <v>0</v>
      </c>
    </row>
    <row r="176" spans="1:13" ht="15">
      <c r="A176" t="s">
        <v>99</v>
      </c>
      <c r="B176" t="s">
        <v>216</v>
      </c>
      <c r="C176" t="s">
        <v>217</v>
      </c>
      <c r="D176" t="s">
        <v>78</v>
      </c>
      <c r="E176" t="s">
        <v>72</v>
      </c>
      <c r="F176" s="32">
        <v>0</v>
      </c>
      <c r="G176" s="32">
        <v>0</v>
      </c>
      <c r="H176" s="32">
        <v>0</v>
      </c>
      <c r="I176" s="32">
        <v>0</v>
      </c>
      <c r="J176" s="32">
        <v>0</v>
      </c>
      <c r="K176" s="32">
        <v>0</v>
      </c>
      <c r="L176" s="32">
        <v>0</v>
      </c>
      <c r="M176" s="57">
        <f t="shared" si="2"/>
        <v>0</v>
      </c>
    </row>
    <row r="177" spans="1:13" ht="15">
      <c r="A177" t="s">
        <v>101</v>
      </c>
      <c r="B177" t="s">
        <v>132</v>
      </c>
      <c r="C177" t="s">
        <v>133</v>
      </c>
      <c r="D177" t="s">
        <v>78</v>
      </c>
      <c r="E177" t="s">
        <v>72</v>
      </c>
      <c r="F177" s="32">
        <v>32.992826950947837</v>
      </c>
      <c r="G177" s="32">
        <v>173.74463615386605</v>
      </c>
      <c r="H177" s="32">
        <v>768.45111532944156</v>
      </c>
      <c r="I177" s="32">
        <v>987.61290727349387</v>
      </c>
      <c r="J177" s="32">
        <v>844.60569645384396</v>
      </c>
      <c r="K177" s="32">
        <v>817.71745658196096</v>
      </c>
      <c r="L177" s="32">
        <v>656.08431310673063</v>
      </c>
      <c r="M177" s="57">
        <f t="shared" si="2"/>
        <v>4281.2089518502844</v>
      </c>
    </row>
    <row r="178" spans="1:13" ht="15">
      <c r="A178" t="s">
        <v>101</v>
      </c>
      <c r="B178" t="s">
        <v>134</v>
      </c>
      <c r="C178" t="s">
        <v>135</v>
      </c>
      <c r="D178" t="s">
        <v>78</v>
      </c>
      <c r="E178" t="s">
        <v>72</v>
      </c>
      <c r="F178" s="32">
        <v>0</v>
      </c>
      <c r="G178" s="32">
        <v>0</v>
      </c>
      <c r="H178" s="32">
        <v>0.42642426318553334</v>
      </c>
      <c r="I178" s="32">
        <v>0</v>
      </c>
      <c r="J178" s="32">
        <v>0</v>
      </c>
      <c r="K178" s="32">
        <v>0</v>
      </c>
      <c r="L178" s="32">
        <v>0</v>
      </c>
      <c r="M178" s="57">
        <f t="shared" si="2"/>
        <v>0.42642426318553334</v>
      </c>
    </row>
    <row r="179" spans="1:13" ht="15">
      <c r="A179" t="s">
        <v>101</v>
      </c>
      <c r="B179" t="s">
        <v>136</v>
      </c>
      <c r="C179" t="s">
        <v>137</v>
      </c>
      <c r="D179" t="s">
        <v>78</v>
      </c>
      <c r="E179" t="s">
        <v>72</v>
      </c>
      <c r="F179" s="32">
        <v>0.76770000000000005</v>
      </c>
      <c r="G179" s="32">
        <v>8.9380934140382529</v>
      </c>
      <c r="H179" s="32">
        <v>25.073453093591301</v>
      </c>
      <c r="I179" s="32">
        <v>8.9703584554751465</v>
      </c>
      <c r="J179" s="32">
        <v>6.5210374913048472E-2</v>
      </c>
      <c r="K179" s="32">
        <v>6.472878826234281E-2</v>
      </c>
      <c r="L179" s="32">
        <v>6.4312307609587824E-2</v>
      </c>
      <c r="M179" s="57">
        <f t="shared" si="2"/>
        <v>43.943856433889685</v>
      </c>
    </row>
    <row r="180" spans="1:13" ht="15">
      <c r="A180" t="s">
        <v>101</v>
      </c>
      <c r="B180" t="s">
        <v>138</v>
      </c>
      <c r="C180" t="s">
        <v>139</v>
      </c>
      <c r="D180" t="s">
        <v>78</v>
      </c>
      <c r="E180" t="s">
        <v>72</v>
      </c>
      <c r="F180" s="32">
        <v>0</v>
      </c>
      <c r="G180" s="32">
        <v>0</v>
      </c>
      <c r="H180" s="32">
        <v>0</v>
      </c>
      <c r="I180" s="32">
        <v>32.819648572746992</v>
      </c>
      <c r="J180" s="32">
        <v>32.618264941311814</v>
      </c>
      <c r="K180" s="32">
        <v>32.377375037123066</v>
      </c>
      <c r="L180" s="32">
        <v>32.169051188462383</v>
      </c>
      <c r="M180" s="57">
        <f t="shared" si="2"/>
        <v>129.98433973964427</v>
      </c>
    </row>
    <row r="181" spans="1:13" ht="15">
      <c r="A181" t="s">
        <v>101</v>
      </c>
      <c r="B181" t="s">
        <v>140</v>
      </c>
      <c r="C181" t="s">
        <v>141</v>
      </c>
      <c r="D181" t="s">
        <v>78</v>
      </c>
      <c r="E181" t="s">
        <v>72</v>
      </c>
      <c r="F181" s="32">
        <v>0</v>
      </c>
      <c r="G181" s="32">
        <v>5.6161036151982889E-2</v>
      </c>
      <c r="H181" s="32">
        <v>2.4221989896254192</v>
      </c>
      <c r="I181" s="32">
        <v>2.5572098117761235</v>
      </c>
      <c r="J181" s="32">
        <v>3.9281902667948509</v>
      </c>
      <c r="K181" s="32">
        <v>6.9788500070614123</v>
      </c>
      <c r="L181" s="32">
        <v>9.6210781061272677</v>
      </c>
      <c r="M181" s="57">
        <f t="shared" si="2"/>
        <v>25.563688217537056</v>
      </c>
    </row>
    <row r="182" spans="1:13" ht="15">
      <c r="A182" t="s">
        <v>101</v>
      </c>
      <c r="B182" t="s">
        <v>142</v>
      </c>
      <c r="C182" t="s">
        <v>143</v>
      </c>
      <c r="D182" t="s">
        <v>78</v>
      </c>
      <c r="E182" t="s">
        <v>72</v>
      </c>
      <c r="F182" s="32">
        <v>0</v>
      </c>
      <c r="G182" s="32">
        <v>0</v>
      </c>
      <c r="H182" s="32">
        <v>0</v>
      </c>
      <c r="I182" s="32">
        <v>0</v>
      </c>
      <c r="J182" s="32">
        <v>0</v>
      </c>
      <c r="K182" s="32">
        <v>0</v>
      </c>
      <c r="L182" s="32">
        <v>0</v>
      </c>
      <c r="M182" s="57">
        <f t="shared" si="2"/>
        <v>0</v>
      </c>
    </row>
    <row r="183" spans="1:13" ht="15">
      <c r="A183" t="s">
        <v>101</v>
      </c>
      <c r="B183" t="s">
        <v>144</v>
      </c>
      <c r="C183" t="s">
        <v>145</v>
      </c>
      <c r="D183" t="s">
        <v>78</v>
      </c>
      <c r="E183" t="s">
        <v>72</v>
      </c>
      <c r="F183" s="32">
        <v>12.371919595674161</v>
      </c>
      <c r="G183" s="32">
        <v>85.807696625975382</v>
      </c>
      <c r="H183" s="32">
        <v>196.4693887812337</v>
      </c>
      <c r="I183" s="32">
        <v>329.80822272684389</v>
      </c>
      <c r="J183" s="32">
        <v>325.70197896555896</v>
      </c>
      <c r="K183" s="32">
        <v>295.50287616499583</v>
      </c>
      <c r="L183" s="32">
        <v>295.5908998703369</v>
      </c>
      <c r="M183" s="57">
        <f t="shared" si="2"/>
        <v>1541.2529827306189</v>
      </c>
    </row>
    <row r="184" spans="1:13" ht="15">
      <c r="A184" t="s">
        <v>101</v>
      </c>
      <c r="B184" t="s">
        <v>146</v>
      </c>
      <c r="C184" t="s">
        <v>147</v>
      </c>
      <c r="D184" t="s">
        <v>78</v>
      </c>
      <c r="E184" t="s">
        <v>72</v>
      </c>
      <c r="F184" s="32">
        <v>0</v>
      </c>
      <c r="G184" s="32">
        <v>0</v>
      </c>
      <c r="H184" s="32">
        <v>1.3726124038857015</v>
      </c>
      <c r="I184" s="32">
        <v>5.6708088225230622</v>
      </c>
      <c r="J184" s="32">
        <v>31.806366462534466</v>
      </c>
      <c r="K184" s="32">
        <v>29.969424776491749</v>
      </c>
      <c r="L184" s="32">
        <v>5.148883151673175</v>
      </c>
      <c r="M184" s="57">
        <f t="shared" si="2"/>
        <v>73.968095617108162</v>
      </c>
    </row>
    <row r="185" spans="1:13" ht="15">
      <c r="A185" t="s">
        <v>101</v>
      </c>
      <c r="B185" t="s">
        <v>148</v>
      </c>
      <c r="C185" t="s">
        <v>149</v>
      </c>
      <c r="D185" t="s">
        <v>78</v>
      </c>
      <c r="E185" t="s">
        <v>72</v>
      </c>
      <c r="F185" s="32">
        <v>0</v>
      </c>
      <c r="G185" s="32">
        <v>1.5005251657780787</v>
      </c>
      <c r="H185" s="32">
        <v>1.0846899167874835</v>
      </c>
      <c r="I185" s="32">
        <v>2.5885918829955896</v>
      </c>
      <c r="J185" s="32">
        <v>0.18167562051590294</v>
      </c>
      <c r="K185" s="32">
        <v>0.18143194744351565</v>
      </c>
      <c r="L185" s="32">
        <v>0.18154224970874644</v>
      </c>
      <c r="M185" s="57">
        <f t="shared" si="2"/>
        <v>5.7184567832293167</v>
      </c>
    </row>
    <row r="186" spans="1:13" ht="15">
      <c r="A186" t="s">
        <v>101</v>
      </c>
      <c r="B186" t="s">
        <v>150</v>
      </c>
      <c r="C186" t="s">
        <v>151</v>
      </c>
      <c r="D186" t="s">
        <v>78</v>
      </c>
      <c r="E186" t="s">
        <v>72</v>
      </c>
      <c r="F186" s="32">
        <v>0</v>
      </c>
      <c r="G186" s="32">
        <v>0</v>
      </c>
      <c r="H186" s="32">
        <v>0</v>
      </c>
      <c r="I186" s="32">
        <v>0</v>
      </c>
      <c r="J186" s="32">
        <v>0</v>
      </c>
      <c r="K186" s="32">
        <v>0</v>
      </c>
      <c r="L186" s="32">
        <v>0</v>
      </c>
      <c r="M186" s="57">
        <f t="shared" si="2"/>
        <v>0</v>
      </c>
    </row>
    <row r="187" spans="1:13" ht="15">
      <c r="A187" t="s">
        <v>101</v>
      </c>
      <c r="B187" t="s">
        <v>152</v>
      </c>
      <c r="C187" t="s">
        <v>153</v>
      </c>
      <c r="D187" t="s">
        <v>78</v>
      </c>
      <c r="E187" t="s">
        <v>72</v>
      </c>
      <c r="F187" s="32">
        <v>0</v>
      </c>
      <c r="G187" s="32">
        <v>3.5577315964831309</v>
      </c>
      <c r="H187" s="32">
        <v>21.450636575820848</v>
      </c>
      <c r="I187" s="32">
        <v>2.9342494390171301</v>
      </c>
      <c r="J187" s="32">
        <v>1.773990512233744</v>
      </c>
      <c r="K187" s="32">
        <v>0.46518112183588678</v>
      </c>
      <c r="L187" s="32">
        <v>0.34372475139373704</v>
      </c>
      <c r="M187" s="57">
        <f t="shared" si="2"/>
        <v>30.525513996784476</v>
      </c>
    </row>
    <row r="188" spans="1:13" ht="15">
      <c r="A188" t="s">
        <v>101</v>
      </c>
      <c r="B188" t="s">
        <v>154</v>
      </c>
      <c r="C188" t="s">
        <v>155</v>
      </c>
      <c r="D188" t="s">
        <v>78</v>
      </c>
      <c r="E188" t="s">
        <v>72</v>
      </c>
      <c r="F188" s="32">
        <v>2.2770172035677088</v>
      </c>
      <c r="G188" s="32">
        <v>14.419354796656547</v>
      </c>
      <c r="H188" s="32">
        <v>64.486867701769611</v>
      </c>
      <c r="I188" s="32">
        <v>61.502827937158095</v>
      </c>
      <c r="J188" s="32">
        <v>110.34747485481884</v>
      </c>
      <c r="K188" s="32">
        <v>166.25041222475855</v>
      </c>
      <c r="L188" s="32">
        <v>112.11786346258727</v>
      </c>
      <c r="M188" s="57">
        <f t="shared" si="2"/>
        <v>531.40181818131657</v>
      </c>
    </row>
    <row r="189" spans="1:13" ht="15">
      <c r="A189" t="s">
        <v>101</v>
      </c>
      <c r="B189" t="s">
        <v>156</v>
      </c>
      <c r="C189" t="s">
        <v>157</v>
      </c>
      <c r="D189" t="s">
        <v>78</v>
      </c>
      <c r="E189" t="s">
        <v>72</v>
      </c>
      <c r="F189" s="32">
        <v>0</v>
      </c>
      <c r="G189" s="32">
        <v>0</v>
      </c>
      <c r="H189" s="32">
        <v>1.3130247124620795</v>
      </c>
      <c r="I189" s="32">
        <v>3.1406899777994535</v>
      </c>
      <c r="J189" s="32">
        <v>3.1288667462635913</v>
      </c>
      <c r="K189" s="32">
        <v>0.23934843384680562</v>
      </c>
      <c r="L189" s="32">
        <v>5.7642144432944582E-2</v>
      </c>
      <c r="M189" s="57">
        <f t="shared" si="2"/>
        <v>7.8795720148048742</v>
      </c>
    </row>
    <row r="190" spans="1:13" ht="15">
      <c r="A190" t="s">
        <v>101</v>
      </c>
      <c r="B190" t="s">
        <v>158</v>
      </c>
      <c r="C190" t="s">
        <v>159</v>
      </c>
      <c r="D190" t="s">
        <v>78</v>
      </c>
      <c r="E190" t="s">
        <v>72</v>
      </c>
      <c r="F190" s="32">
        <v>0</v>
      </c>
      <c r="G190" s="32">
        <v>9.9300378172442798</v>
      </c>
      <c r="H190" s="32">
        <v>3.259864064618196</v>
      </c>
      <c r="I190" s="32">
        <v>15.156548023089913</v>
      </c>
      <c r="J190" s="32">
        <v>51.494262233442704</v>
      </c>
      <c r="K190" s="32">
        <v>75.022604027051685</v>
      </c>
      <c r="L190" s="32">
        <v>31.880780672760579</v>
      </c>
      <c r="M190" s="57">
        <f t="shared" si="2"/>
        <v>186.74409683820735</v>
      </c>
    </row>
    <row r="191" spans="1:13" ht="15">
      <c r="A191" t="s">
        <v>101</v>
      </c>
      <c r="B191" t="s">
        <v>160</v>
      </c>
      <c r="C191" t="s">
        <v>161</v>
      </c>
      <c r="D191" t="s">
        <v>78</v>
      </c>
      <c r="E191" t="s">
        <v>72</v>
      </c>
      <c r="F191" s="32">
        <v>0</v>
      </c>
      <c r="G191" s="32">
        <v>0</v>
      </c>
      <c r="H191" s="32">
        <v>0</v>
      </c>
      <c r="I191" s="32">
        <v>0</v>
      </c>
      <c r="J191" s="32">
        <v>0</v>
      </c>
      <c r="K191" s="32">
        <v>0</v>
      </c>
      <c r="L191" s="32">
        <v>0</v>
      </c>
      <c r="M191" s="57">
        <f t="shared" si="2"/>
        <v>0</v>
      </c>
    </row>
    <row r="192" spans="1:13" ht="15">
      <c r="A192" t="s">
        <v>101</v>
      </c>
      <c r="B192" t="s">
        <v>162</v>
      </c>
      <c r="C192" t="s">
        <v>163</v>
      </c>
      <c r="D192" t="s">
        <v>78</v>
      </c>
      <c r="E192" t="s">
        <v>72</v>
      </c>
      <c r="F192" s="32">
        <v>0</v>
      </c>
      <c r="G192" s="32">
        <v>0</v>
      </c>
      <c r="H192" s="32">
        <v>4.3655975803470062</v>
      </c>
      <c r="I192" s="32">
        <v>4.3547838927659024</v>
      </c>
      <c r="J192" s="32">
        <v>4.2986252825047311</v>
      </c>
      <c r="K192" s="32">
        <v>4.2928597360508114</v>
      </c>
      <c r="L192" s="32">
        <v>4.2912088935742707</v>
      </c>
      <c r="M192" s="57">
        <f t="shared" si="2"/>
        <v>21.603075385242722</v>
      </c>
    </row>
    <row r="193" spans="1:13" ht="15">
      <c r="A193" t="s">
        <v>101</v>
      </c>
      <c r="B193" t="s">
        <v>164</v>
      </c>
      <c r="C193" t="s">
        <v>165</v>
      </c>
      <c r="D193" t="s">
        <v>78</v>
      </c>
      <c r="E193" t="s">
        <v>72</v>
      </c>
      <c r="F193" s="32">
        <v>0</v>
      </c>
      <c r="G193" s="32">
        <v>0</v>
      </c>
      <c r="H193" s="32">
        <v>0</v>
      </c>
      <c r="I193" s="32">
        <v>0</v>
      </c>
      <c r="J193" s="32">
        <v>0</v>
      </c>
      <c r="K193" s="32">
        <v>0</v>
      </c>
      <c r="L193" s="32">
        <v>0</v>
      </c>
      <c r="M193" s="57">
        <f t="shared" si="2"/>
        <v>0</v>
      </c>
    </row>
    <row r="194" spans="1:13" ht="15">
      <c r="A194" t="s">
        <v>101</v>
      </c>
      <c r="B194" t="s">
        <v>166</v>
      </c>
      <c r="C194" t="s">
        <v>167</v>
      </c>
      <c r="D194" t="s">
        <v>78</v>
      </c>
      <c r="E194" t="s">
        <v>72</v>
      </c>
      <c r="F194" s="32">
        <v>0</v>
      </c>
      <c r="G194" s="32">
        <v>0</v>
      </c>
      <c r="H194" s="32">
        <v>0</v>
      </c>
      <c r="I194" s="32">
        <v>0</v>
      </c>
      <c r="J194" s="32">
        <v>0</v>
      </c>
      <c r="K194" s="32">
        <v>0</v>
      </c>
      <c r="L194" s="32">
        <v>0</v>
      </c>
      <c r="M194" s="57">
        <f t="shared" si="2"/>
        <v>0</v>
      </c>
    </row>
    <row r="195" spans="1:13" ht="15">
      <c r="A195" t="s">
        <v>101</v>
      </c>
      <c r="B195" t="s">
        <v>168</v>
      </c>
      <c r="C195" t="s">
        <v>169</v>
      </c>
      <c r="D195" t="s">
        <v>78</v>
      </c>
      <c r="E195" t="s">
        <v>72</v>
      </c>
      <c r="F195" s="32">
        <v>0</v>
      </c>
      <c r="G195" s="32">
        <v>8.8665621639698884</v>
      </c>
      <c r="H195" s="32">
        <v>46.784550853048479</v>
      </c>
      <c r="I195" s="32">
        <v>24.269824281432832</v>
      </c>
      <c r="J195" s="32">
        <v>0</v>
      </c>
      <c r="K195" s="32">
        <v>0</v>
      </c>
      <c r="L195" s="32">
        <v>0</v>
      </c>
      <c r="M195" s="57">
        <f t="shared" si="2"/>
        <v>79.920937298451207</v>
      </c>
    </row>
    <row r="196" spans="1:13" ht="15">
      <c r="A196" t="s">
        <v>101</v>
      </c>
      <c r="B196" t="s">
        <v>170</v>
      </c>
      <c r="C196" t="s">
        <v>171</v>
      </c>
      <c r="D196" t="s">
        <v>78</v>
      </c>
      <c r="E196" t="s">
        <v>72</v>
      </c>
      <c r="F196" s="32">
        <v>0</v>
      </c>
      <c r="G196" s="32">
        <v>0.38175871190220445</v>
      </c>
      <c r="H196" s="32">
        <v>1.4019313872485208</v>
      </c>
      <c r="I196" s="32">
        <v>2.4187516998213505</v>
      </c>
      <c r="J196" s="32">
        <v>1.3580846227491721</v>
      </c>
      <c r="K196" s="32">
        <v>0.11360057168220516</v>
      </c>
      <c r="L196" s="32">
        <v>3.96069634486622E-2</v>
      </c>
      <c r="M196" s="57">
        <f t="shared" si="2"/>
        <v>5.7137339568521162</v>
      </c>
    </row>
    <row r="197" spans="1:13" ht="15">
      <c r="A197" t="s">
        <v>101</v>
      </c>
      <c r="B197" t="s">
        <v>172</v>
      </c>
      <c r="C197" t="s">
        <v>173</v>
      </c>
      <c r="D197" t="s">
        <v>78</v>
      </c>
      <c r="E197" t="s">
        <v>72</v>
      </c>
      <c r="F197" s="32">
        <v>0</v>
      </c>
      <c r="G197" s="32">
        <v>0</v>
      </c>
      <c r="H197" s="32">
        <v>0</v>
      </c>
      <c r="I197" s="32">
        <v>0</v>
      </c>
      <c r="J197" s="32">
        <v>0</v>
      </c>
      <c r="K197" s="32">
        <v>0</v>
      </c>
      <c r="L197" s="32">
        <v>0</v>
      </c>
      <c r="M197" s="57">
        <f t="shared" si="2"/>
        <v>0</v>
      </c>
    </row>
    <row r="198" spans="1:13" ht="15">
      <c r="A198" t="s">
        <v>101</v>
      </c>
      <c r="B198" t="s">
        <v>174</v>
      </c>
      <c r="C198" t="s">
        <v>175</v>
      </c>
      <c r="D198" t="s">
        <v>78</v>
      </c>
      <c r="E198" t="s">
        <v>72</v>
      </c>
      <c r="F198" s="32">
        <v>0</v>
      </c>
      <c r="G198" s="32">
        <v>0</v>
      </c>
      <c r="H198" s="32">
        <v>0</v>
      </c>
      <c r="I198" s="32">
        <v>0</v>
      </c>
      <c r="J198" s="32">
        <v>0</v>
      </c>
      <c r="K198" s="32">
        <v>0</v>
      </c>
      <c r="L198" s="32">
        <v>0</v>
      </c>
      <c r="M198" s="57">
        <f t="shared" ref="M198:M261" si="3">SUM(F198:L198)</f>
        <v>0</v>
      </c>
    </row>
    <row r="199" spans="1:13" ht="15">
      <c r="A199" t="s">
        <v>101</v>
      </c>
      <c r="B199" t="s">
        <v>176</v>
      </c>
      <c r="C199" t="s">
        <v>177</v>
      </c>
      <c r="D199" t="s">
        <v>78</v>
      </c>
      <c r="E199" t="s">
        <v>72</v>
      </c>
      <c r="F199" s="32">
        <v>0</v>
      </c>
      <c r="G199" s="32">
        <v>4.7238387872458434</v>
      </c>
      <c r="H199" s="32">
        <v>22.120241374313526</v>
      </c>
      <c r="I199" s="32">
        <v>22.498674546687347</v>
      </c>
      <c r="J199" s="32">
        <v>0</v>
      </c>
      <c r="K199" s="32">
        <v>0</v>
      </c>
      <c r="L199" s="32">
        <v>0</v>
      </c>
      <c r="M199" s="57">
        <f t="shared" si="3"/>
        <v>49.342754708246716</v>
      </c>
    </row>
    <row r="200" spans="1:13" ht="15">
      <c r="A200" t="s">
        <v>101</v>
      </c>
      <c r="B200" t="s">
        <v>178</v>
      </c>
      <c r="C200" t="s">
        <v>179</v>
      </c>
      <c r="D200" t="s">
        <v>78</v>
      </c>
      <c r="E200" t="s">
        <v>72</v>
      </c>
      <c r="F200" s="32">
        <v>0</v>
      </c>
      <c r="G200" s="32">
        <v>0</v>
      </c>
      <c r="H200" s="32">
        <v>0</v>
      </c>
      <c r="I200" s="32">
        <v>0</v>
      </c>
      <c r="J200" s="32">
        <v>0</v>
      </c>
      <c r="K200" s="32">
        <v>0</v>
      </c>
      <c r="L200" s="32">
        <v>0</v>
      </c>
      <c r="M200" s="57">
        <f t="shared" si="3"/>
        <v>0</v>
      </c>
    </row>
    <row r="201" spans="1:13" ht="15">
      <c r="A201" t="s">
        <v>101</v>
      </c>
      <c r="B201" t="s">
        <v>180</v>
      </c>
      <c r="C201" t="s">
        <v>181</v>
      </c>
      <c r="D201" t="s">
        <v>78</v>
      </c>
      <c r="E201" t="s">
        <v>72</v>
      </c>
      <c r="F201" s="32">
        <v>0</v>
      </c>
      <c r="G201" s="32">
        <v>0</v>
      </c>
      <c r="H201" s="32">
        <v>0</v>
      </c>
      <c r="I201" s="32">
        <v>0</v>
      </c>
      <c r="J201" s="32">
        <v>0</v>
      </c>
      <c r="K201" s="32">
        <v>0</v>
      </c>
      <c r="L201" s="32">
        <v>0</v>
      </c>
      <c r="M201" s="57">
        <f t="shared" si="3"/>
        <v>0</v>
      </c>
    </row>
    <row r="202" spans="1:13" ht="15">
      <c r="A202" t="s">
        <v>101</v>
      </c>
      <c r="B202" t="s">
        <v>182</v>
      </c>
      <c r="C202" t="s">
        <v>183</v>
      </c>
      <c r="D202" t="s">
        <v>78</v>
      </c>
      <c r="E202" t="s">
        <v>72</v>
      </c>
      <c r="F202" s="32">
        <v>0</v>
      </c>
      <c r="G202" s="32">
        <v>0</v>
      </c>
      <c r="H202" s="32">
        <v>0</v>
      </c>
      <c r="I202" s="32">
        <v>0</v>
      </c>
      <c r="J202" s="32">
        <v>0</v>
      </c>
      <c r="K202" s="32">
        <v>0</v>
      </c>
      <c r="L202" s="32">
        <v>0</v>
      </c>
      <c r="M202" s="57">
        <f t="shared" si="3"/>
        <v>0</v>
      </c>
    </row>
    <row r="203" spans="1:13" ht="15">
      <c r="A203" t="s">
        <v>101</v>
      </c>
      <c r="B203" t="s">
        <v>184</v>
      </c>
      <c r="C203" t="s">
        <v>185</v>
      </c>
      <c r="D203" t="s">
        <v>78</v>
      </c>
      <c r="E203" t="s">
        <v>72</v>
      </c>
      <c r="F203" s="32">
        <v>0</v>
      </c>
      <c r="G203" s="32">
        <v>0</v>
      </c>
      <c r="H203" s="32">
        <v>0</v>
      </c>
      <c r="I203" s="32">
        <v>0</v>
      </c>
      <c r="J203" s="32">
        <v>0</v>
      </c>
      <c r="K203" s="32">
        <v>0</v>
      </c>
      <c r="L203" s="32">
        <v>0</v>
      </c>
      <c r="M203" s="57">
        <f t="shared" si="3"/>
        <v>0</v>
      </c>
    </row>
    <row r="204" spans="1:13" ht="15">
      <c r="A204" t="s">
        <v>101</v>
      </c>
      <c r="B204" t="s">
        <v>186</v>
      </c>
      <c r="C204" t="s">
        <v>187</v>
      </c>
      <c r="D204" t="s">
        <v>78</v>
      </c>
      <c r="E204" t="s">
        <v>72</v>
      </c>
      <c r="F204" s="32">
        <v>0</v>
      </c>
      <c r="G204" s="32">
        <v>0</v>
      </c>
      <c r="H204" s="32">
        <v>0</v>
      </c>
      <c r="I204" s="32">
        <v>0</v>
      </c>
      <c r="J204" s="32">
        <v>0</v>
      </c>
      <c r="K204" s="32">
        <v>0</v>
      </c>
      <c r="L204" s="32">
        <v>0</v>
      </c>
      <c r="M204" s="57">
        <f t="shared" si="3"/>
        <v>0</v>
      </c>
    </row>
    <row r="205" spans="1:13" ht="15">
      <c r="A205" t="s">
        <v>101</v>
      </c>
      <c r="B205" t="s">
        <v>188</v>
      </c>
      <c r="C205" t="s">
        <v>189</v>
      </c>
      <c r="D205" t="s">
        <v>78</v>
      </c>
      <c r="E205" t="s">
        <v>72</v>
      </c>
      <c r="F205" s="32">
        <v>0</v>
      </c>
      <c r="G205" s="32">
        <v>0</v>
      </c>
      <c r="H205" s="32">
        <v>0</v>
      </c>
      <c r="I205" s="32">
        <v>0</v>
      </c>
      <c r="J205" s="32">
        <v>0</v>
      </c>
      <c r="K205" s="32">
        <v>0</v>
      </c>
      <c r="L205" s="32">
        <v>0</v>
      </c>
      <c r="M205" s="57">
        <f t="shared" si="3"/>
        <v>0</v>
      </c>
    </row>
    <row r="206" spans="1:13" ht="15">
      <c r="A206" t="s">
        <v>101</v>
      </c>
      <c r="B206" t="s">
        <v>190</v>
      </c>
      <c r="C206" t="s">
        <v>191</v>
      </c>
      <c r="D206" t="s">
        <v>78</v>
      </c>
      <c r="E206" t="s">
        <v>72</v>
      </c>
      <c r="F206" s="32">
        <v>0</v>
      </c>
      <c r="G206" s="32">
        <v>0</v>
      </c>
      <c r="H206" s="32">
        <v>3.2194557791539129</v>
      </c>
      <c r="I206" s="32">
        <v>3.3236801482929383</v>
      </c>
      <c r="J206" s="32">
        <v>3.4254455325760622</v>
      </c>
      <c r="K206" s="32">
        <v>3.5232779077258538</v>
      </c>
      <c r="L206" s="32">
        <v>3.6238892581663005</v>
      </c>
      <c r="M206" s="57">
        <f t="shared" si="3"/>
        <v>17.115748625915067</v>
      </c>
    </row>
    <row r="207" spans="1:13" ht="15">
      <c r="A207" t="s">
        <v>101</v>
      </c>
      <c r="B207" t="s">
        <v>192</v>
      </c>
      <c r="C207" t="s">
        <v>193</v>
      </c>
      <c r="D207" t="s">
        <v>78</v>
      </c>
      <c r="E207" t="s">
        <v>72</v>
      </c>
      <c r="F207" s="32">
        <v>0</v>
      </c>
      <c r="G207" s="32">
        <v>0</v>
      </c>
      <c r="H207" s="32">
        <v>0</v>
      </c>
      <c r="I207" s="32">
        <v>0</v>
      </c>
      <c r="J207" s="32">
        <v>0</v>
      </c>
      <c r="K207" s="32">
        <v>0</v>
      </c>
      <c r="L207" s="32">
        <v>0</v>
      </c>
      <c r="M207" s="57">
        <f t="shared" si="3"/>
        <v>0</v>
      </c>
    </row>
    <row r="208" spans="1:13" ht="15">
      <c r="A208" t="s">
        <v>101</v>
      </c>
      <c r="B208" t="s">
        <v>194</v>
      </c>
      <c r="C208" t="s">
        <v>195</v>
      </c>
      <c r="D208" t="s">
        <v>78</v>
      </c>
      <c r="E208" t="s">
        <v>72</v>
      </c>
      <c r="F208" s="32">
        <v>0</v>
      </c>
      <c r="G208" s="32">
        <v>4.0279037535470295</v>
      </c>
      <c r="H208" s="32">
        <v>27.969073254744877</v>
      </c>
      <c r="I208" s="32">
        <v>-0.16715438560697032</v>
      </c>
      <c r="J208" s="32">
        <v>-0.16706030481606873</v>
      </c>
      <c r="K208" s="32">
        <v>-0.16678216458303935</v>
      </c>
      <c r="L208" s="32">
        <v>-0.16664441816836909</v>
      </c>
      <c r="M208" s="57">
        <f t="shared" si="3"/>
        <v>31.329335735117457</v>
      </c>
    </row>
    <row r="209" spans="1:13" ht="15">
      <c r="A209" t="s">
        <v>101</v>
      </c>
      <c r="B209" t="s">
        <v>196</v>
      </c>
      <c r="C209" t="s">
        <v>197</v>
      </c>
      <c r="D209" t="s">
        <v>78</v>
      </c>
      <c r="E209" t="s">
        <v>72</v>
      </c>
      <c r="F209" s="32">
        <v>0</v>
      </c>
      <c r="G209" s="32">
        <v>0</v>
      </c>
      <c r="H209" s="32">
        <v>14.69866300057207</v>
      </c>
      <c r="I209" s="32">
        <v>49.750830844386307</v>
      </c>
      <c r="J209" s="32">
        <v>44.889501632809299</v>
      </c>
      <c r="K209" s="32">
        <v>38.086786691444509</v>
      </c>
      <c r="L209" s="32">
        <v>35.577014183087833</v>
      </c>
      <c r="M209" s="57">
        <f t="shared" si="3"/>
        <v>183.00279635230004</v>
      </c>
    </row>
    <row r="210" spans="1:13" ht="15">
      <c r="A210" t="s">
        <v>101</v>
      </c>
      <c r="B210" t="s">
        <v>198</v>
      </c>
      <c r="C210" t="s">
        <v>199</v>
      </c>
      <c r="D210" t="s">
        <v>78</v>
      </c>
      <c r="E210" t="s">
        <v>72</v>
      </c>
      <c r="F210" s="32">
        <v>0</v>
      </c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0</v>
      </c>
      <c r="M210" s="57">
        <f t="shared" si="3"/>
        <v>0</v>
      </c>
    </row>
    <row r="211" spans="1:13" ht="15">
      <c r="A211" t="s">
        <v>101</v>
      </c>
      <c r="B211" t="s">
        <v>200</v>
      </c>
      <c r="C211" t="s">
        <v>201</v>
      </c>
      <c r="D211" t="s">
        <v>78</v>
      </c>
      <c r="E211" t="s">
        <v>72</v>
      </c>
      <c r="F211" s="32">
        <v>17.576190151705969</v>
      </c>
      <c r="G211" s="32">
        <v>29.624207072858116</v>
      </c>
      <c r="H211" s="32">
        <v>203.32894012287099</v>
      </c>
      <c r="I211" s="32">
        <v>215.07087858464351</v>
      </c>
      <c r="J211" s="32">
        <v>146.30046070039401</v>
      </c>
      <c r="K211" s="32">
        <v>60.23870596773984</v>
      </c>
      <c r="L211" s="32">
        <v>18.604319075218637</v>
      </c>
      <c r="M211" s="57">
        <f t="shared" si="3"/>
        <v>690.74370167543111</v>
      </c>
    </row>
    <row r="212" spans="1:13" ht="15">
      <c r="A212" t="s">
        <v>101</v>
      </c>
      <c r="B212" t="s">
        <v>202</v>
      </c>
      <c r="C212" t="s">
        <v>203</v>
      </c>
      <c r="D212" t="s">
        <v>78</v>
      </c>
      <c r="E212" t="s">
        <v>72</v>
      </c>
      <c r="F212" s="32">
        <v>0</v>
      </c>
      <c r="G212" s="32">
        <v>0</v>
      </c>
      <c r="H212" s="32">
        <v>4.6761204809857091</v>
      </c>
      <c r="I212" s="32">
        <v>4.6797237841333565</v>
      </c>
      <c r="J212" s="32">
        <v>4.6793279694005907</v>
      </c>
      <c r="K212" s="32">
        <v>4.673051804113399</v>
      </c>
      <c r="L212" s="32">
        <v>4.6712547567166425</v>
      </c>
      <c r="M212" s="57">
        <f t="shared" si="3"/>
        <v>23.379478795349698</v>
      </c>
    </row>
    <row r="213" spans="1:13" ht="15">
      <c r="A213" t="s">
        <v>101</v>
      </c>
      <c r="B213" t="s">
        <v>204</v>
      </c>
      <c r="C213" t="s">
        <v>205</v>
      </c>
      <c r="D213" t="s">
        <v>78</v>
      </c>
      <c r="E213" t="s">
        <v>72</v>
      </c>
      <c r="F213" s="32">
        <v>0</v>
      </c>
      <c r="G213" s="32">
        <v>0</v>
      </c>
      <c r="H213" s="32">
        <v>0</v>
      </c>
      <c r="I213" s="32">
        <v>0</v>
      </c>
      <c r="J213" s="32">
        <v>0</v>
      </c>
      <c r="K213" s="32">
        <v>0</v>
      </c>
      <c r="L213" s="32">
        <v>0</v>
      </c>
      <c r="M213" s="57">
        <f t="shared" si="3"/>
        <v>0</v>
      </c>
    </row>
    <row r="214" spans="1:13" ht="15">
      <c r="A214" t="s">
        <v>101</v>
      </c>
      <c r="B214" t="s">
        <v>206</v>
      </c>
      <c r="C214" t="s">
        <v>207</v>
      </c>
      <c r="D214" t="s">
        <v>78</v>
      </c>
      <c r="E214" t="s">
        <v>72</v>
      </c>
      <c r="F214" s="32">
        <v>0</v>
      </c>
      <c r="G214" s="32">
        <v>0</v>
      </c>
      <c r="H214" s="32">
        <v>3.0451918963768381</v>
      </c>
      <c r="I214" s="32">
        <v>4.5746737427856647</v>
      </c>
      <c r="J214" s="32">
        <v>4.572608597485198</v>
      </c>
      <c r="K214" s="32">
        <v>9.1426119294801431</v>
      </c>
      <c r="L214" s="32">
        <v>9.1397699174627096</v>
      </c>
      <c r="M214" s="57">
        <f t="shared" si="3"/>
        <v>30.474856083590552</v>
      </c>
    </row>
    <row r="215" spans="1:13" ht="15">
      <c r="A215" t="s">
        <v>101</v>
      </c>
      <c r="B215" t="s">
        <v>208</v>
      </c>
      <c r="C215" t="s">
        <v>209</v>
      </c>
      <c r="D215" t="s">
        <v>78</v>
      </c>
      <c r="E215" t="s">
        <v>72</v>
      </c>
      <c r="F215" s="32">
        <v>0</v>
      </c>
      <c r="G215" s="32">
        <v>0</v>
      </c>
      <c r="H215" s="32">
        <v>0</v>
      </c>
      <c r="I215" s="32">
        <v>0</v>
      </c>
      <c r="J215" s="32">
        <v>0</v>
      </c>
      <c r="K215" s="32">
        <v>0</v>
      </c>
      <c r="L215" s="32">
        <v>0</v>
      </c>
      <c r="M215" s="57">
        <f t="shared" si="3"/>
        <v>0</v>
      </c>
    </row>
    <row r="216" spans="1:13" ht="15">
      <c r="A216" t="s">
        <v>101</v>
      </c>
      <c r="B216" t="s">
        <v>210</v>
      </c>
      <c r="C216" t="s">
        <v>211</v>
      </c>
      <c r="D216" t="s">
        <v>78</v>
      </c>
      <c r="E216" t="s">
        <v>72</v>
      </c>
      <c r="F216" s="32">
        <v>0</v>
      </c>
      <c r="G216" s="32">
        <v>1.903192586691614</v>
      </c>
      <c r="H216" s="32">
        <v>1.1676501327095978</v>
      </c>
      <c r="I216" s="32">
        <v>2.9010865537956088</v>
      </c>
      <c r="J216" s="32">
        <v>2.8480785098910961</v>
      </c>
      <c r="K216" s="32">
        <v>2.1121719078682268</v>
      </c>
      <c r="L216" s="32">
        <v>2.0447882958583183</v>
      </c>
      <c r="M216" s="57">
        <f t="shared" si="3"/>
        <v>12.976967986814461</v>
      </c>
    </row>
    <row r="217" spans="1:13" ht="15">
      <c r="A217" t="s">
        <v>101</v>
      </c>
      <c r="B217" t="s">
        <v>212</v>
      </c>
      <c r="C217" t="s">
        <v>213</v>
      </c>
      <c r="D217" t="s">
        <v>78</v>
      </c>
      <c r="E217" t="s">
        <v>72</v>
      </c>
      <c r="F217" s="32">
        <v>0</v>
      </c>
      <c r="G217" s="32">
        <v>0</v>
      </c>
      <c r="H217" s="32">
        <v>41.088369655702436</v>
      </c>
      <c r="I217" s="32">
        <v>71.633415006211052</v>
      </c>
      <c r="J217" s="32">
        <v>54.868753594255416</v>
      </c>
      <c r="K217" s="32">
        <v>59.179217977388198</v>
      </c>
      <c r="L217" s="32">
        <v>61.618143371888891</v>
      </c>
      <c r="M217" s="57">
        <f t="shared" si="3"/>
        <v>288.38789960544602</v>
      </c>
    </row>
    <row r="218" spans="1:13" ht="15">
      <c r="A218" t="s">
        <v>101</v>
      </c>
      <c r="B218" t="s">
        <v>214</v>
      </c>
      <c r="C218" t="s">
        <v>215</v>
      </c>
      <c r="D218" t="s">
        <v>78</v>
      </c>
      <c r="E218" t="s">
        <v>72</v>
      </c>
      <c r="F218" s="32">
        <v>0</v>
      </c>
      <c r="G218" s="32">
        <v>7.5726253236969906E-3</v>
      </c>
      <c r="H218" s="32">
        <v>0.20734670048375853</v>
      </c>
      <c r="I218" s="32">
        <v>0.3199892467310062</v>
      </c>
      <c r="J218" s="32">
        <v>5.5885911640394373E-2</v>
      </c>
      <c r="K218" s="32">
        <v>8.7107906090438475E-2</v>
      </c>
      <c r="L218" s="32">
        <v>8.8324140827855432E-2</v>
      </c>
      <c r="M218" s="57">
        <f t="shared" si="3"/>
        <v>0.76622653109715</v>
      </c>
    </row>
    <row r="219" spans="1:13" ht="15">
      <c r="A219" t="s">
        <v>101</v>
      </c>
      <c r="B219" t="s">
        <v>216</v>
      </c>
      <c r="C219" t="s">
        <v>217</v>
      </c>
      <c r="D219" t="s">
        <v>78</v>
      </c>
      <c r="E219" t="s">
        <v>72</v>
      </c>
      <c r="F219" s="32">
        <v>0</v>
      </c>
      <c r="G219" s="32">
        <v>0</v>
      </c>
      <c r="H219" s="32">
        <v>77.018822607903957</v>
      </c>
      <c r="I219" s="32">
        <v>116.83459367798849</v>
      </c>
      <c r="J219" s="32">
        <v>16.429703426565979</v>
      </c>
      <c r="K219" s="32">
        <v>29.382613818089649</v>
      </c>
      <c r="L219" s="32">
        <v>29.376860763556426</v>
      </c>
      <c r="M219" s="57">
        <f t="shared" si="3"/>
        <v>269.0425942941045</v>
      </c>
    </row>
    <row r="220" spans="1:13" ht="15">
      <c r="A220" t="s">
        <v>100</v>
      </c>
      <c r="B220" t="s">
        <v>132</v>
      </c>
      <c r="C220" t="s">
        <v>133</v>
      </c>
      <c r="D220" t="s">
        <v>78</v>
      </c>
      <c r="E220" t="s">
        <v>72</v>
      </c>
      <c r="F220" s="32">
        <v>0.12509812423909708</v>
      </c>
      <c r="G220" s="32">
        <v>93.080914078793171</v>
      </c>
      <c r="H220" s="32">
        <v>215.40604296837205</v>
      </c>
      <c r="I220" s="32">
        <v>234.94815942875411</v>
      </c>
      <c r="J220" s="32">
        <v>211.72758016083591</v>
      </c>
      <c r="K220" s="32">
        <v>219.98043770088822</v>
      </c>
      <c r="L220" s="32">
        <v>148.65369168873443</v>
      </c>
      <c r="M220" s="57">
        <f t="shared" si="3"/>
        <v>1123.9219241506171</v>
      </c>
    </row>
    <row r="221" spans="1:13" ht="15">
      <c r="A221" t="s">
        <v>100</v>
      </c>
      <c r="B221" t="s">
        <v>134</v>
      </c>
      <c r="C221" t="s">
        <v>135</v>
      </c>
      <c r="D221" t="s">
        <v>78</v>
      </c>
      <c r="E221" t="s">
        <v>72</v>
      </c>
      <c r="F221" s="32">
        <v>0</v>
      </c>
      <c r="G221" s="32">
        <v>0</v>
      </c>
      <c r="H221" s="32">
        <v>0.31964663796657666</v>
      </c>
      <c r="I221" s="32">
        <v>0.31795695780699684</v>
      </c>
      <c r="J221" s="32">
        <v>0.15897231938262085</v>
      </c>
      <c r="K221" s="32">
        <v>0.157798289223333</v>
      </c>
      <c r="L221" s="32">
        <v>0.1567829769293195</v>
      </c>
      <c r="M221" s="57">
        <f t="shared" si="3"/>
        <v>1.1111571813088468</v>
      </c>
    </row>
    <row r="222" spans="1:13" ht="15">
      <c r="A222" t="s">
        <v>100</v>
      </c>
      <c r="B222" t="s">
        <v>136</v>
      </c>
      <c r="C222" t="s">
        <v>137</v>
      </c>
      <c r="D222" t="s">
        <v>78</v>
      </c>
      <c r="E222" t="s">
        <v>72</v>
      </c>
      <c r="F222" s="32">
        <v>0</v>
      </c>
      <c r="G222" s="32">
        <v>0</v>
      </c>
      <c r="H222" s="32">
        <v>6.9863896146007063</v>
      </c>
      <c r="I222" s="32">
        <v>6.0352120081975054</v>
      </c>
      <c r="J222" s="32">
        <v>5.2873276956525793E-2</v>
      </c>
      <c r="K222" s="32">
        <v>5.2482801293791466E-2</v>
      </c>
      <c r="L222" s="32">
        <v>5.2145114278044184E-2</v>
      </c>
      <c r="M222" s="57">
        <f t="shared" si="3"/>
        <v>13.179102815326573</v>
      </c>
    </row>
    <row r="223" spans="1:13" ht="15">
      <c r="A223" t="s">
        <v>100</v>
      </c>
      <c r="B223" t="s">
        <v>138</v>
      </c>
      <c r="C223" t="s">
        <v>139</v>
      </c>
      <c r="D223" t="s">
        <v>78</v>
      </c>
      <c r="E223" t="s">
        <v>72</v>
      </c>
      <c r="F223" s="32">
        <v>0</v>
      </c>
      <c r="G223" s="32">
        <v>0</v>
      </c>
      <c r="H223" s="32">
        <v>10.822051042708358</v>
      </c>
      <c r="I223" s="32">
        <v>10.764844731861013</v>
      </c>
      <c r="J223" s="32">
        <v>10.698790900750273</v>
      </c>
      <c r="K223" s="32">
        <v>10.619779012176364</v>
      </c>
      <c r="L223" s="32">
        <v>10.422772585061812</v>
      </c>
      <c r="M223" s="57">
        <f t="shared" si="3"/>
        <v>53.328238272557826</v>
      </c>
    </row>
    <row r="224" spans="1:13" ht="15">
      <c r="A224" t="s">
        <v>100</v>
      </c>
      <c r="B224" t="s">
        <v>140</v>
      </c>
      <c r="C224" t="s">
        <v>141</v>
      </c>
      <c r="D224" t="s">
        <v>78</v>
      </c>
      <c r="E224" t="s">
        <v>72</v>
      </c>
      <c r="F224" s="32">
        <v>0</v>
      </c>
      <c r="G224" s="32">
        <v>0</v>
      </c>
      <c r="H224" s="32">
        <v>2.0002427651896211</v>
      </c>
      <c r="I224" s="32">
        <v>1.9896693065223117</v>
      </c>
      <c r="J224" s="32">
        <v>1.9774605581740641</v>
      </c>
      <c r="K224" s="32">
        <v>1.9628567683878007</v>
      </c>
      <c r="L224" s="32">
        <v>1.9502272739988524</v>
      </c>
      <c r="M224" s="57">
        <f t="shared" si="3"/>
        <v>9.8804566722726506</v>
      </c>
    </row>
    <row r="225" spans="1:13" ht="15">
      <c r="A225" t="s">
        <v>100</v>
      </c>
      <c r="B225" t="s">
        <v>142</v>
      </c>
      <c r="C225" t="s">
        <v>143</v>
      </c>
      <c r="D225" t="s">
        <v>78</v>
      </c>
      <c r="E225" t="s">
        <v>72</v>
      </c>
      <c r="F225" s="32">
        <v>0</v>
      </c>
      <c r="G225" s="32">
        <v>0</v>
      </c>
      <c r="H225" s="32">
        <v>0</v>
      </c>
      <c r="I225" s="32">
        <v>0</v>
      </c>
      <c r="J225" s="32">
        <v>0</v>
      </c>
      <c r="K225" s="32">
        <v>0</v>
      </c>
      <c r="L225" s="32">
        <v>0</v>
      </c>
      <c r="M225" s="57">
        <f t="shared" si="3"/>
        <v>0</v>
      </c>
    </row>
    <row r="226" spans="1:13" ht="15">
      <c r="A226" t="s">
        <v>100</v>
      </c>
      <c r="B226" t="s">
        <v>144</v>
      </c>
      <c r="C226" t="s">
        <v>145</v>
      </c>
      <c r="D226" t="s">
        <v>78</v>
      </c>
      <c r="E226" t="s">
        <v>72</v>
      </c>
      <c r="F226" s="32">
        <v>0.12509812423909708</v>
      </c>
      <c r="G226" s="32">
        <v>82.283468031023688</v>
      </c>
      <c r="H226" s="32">
        <v>118.07482916443055</v>
      </c>
      <c r="I226" s="32">
        <v>122.88270130838355</v>
      </c>
      <c r="J226" s="32">
        <v>121.19763086401296</v>
      </c>
      <c r="K226" s="32">
        <v>154.92375987432877</v>
      </c>
      <c r="L226" s="32">
        <v>95.367089688566878</v>
      </c>
      <c r="M226" s="57">
        <f t="shared" si="3"/>
        <v>694.85457705498561</v>
      </c>
    </row>
    <row r="227" spans="1:13" ht="15">
      <c r="A227" t="s">
        <v>100</v>
      </c>
      <c r="B227" t="s">
        <v>146</v>
      </c>
      <c r="C227" t="s">
        <v>147</v>
      </c>
      <c r="D227" t="s">
        <v>78</v>
      </c>
      <c r="E227" t="s">
        <v>72</v>
      </c>
      <c r="F227" s="32">
        <v>0</v>
      </c>
      <c r="G227" s="32">
        <v>0</v>
      </c>
      <c r="H227" s="32">
        <v>7.6469697532625611</v>
      </c>
      <c r="I227" s="32">
        <v>6.8116127806001874</v>
      </c>
      <c r="J227" s="32">
        <v>0.13020760112355823</v>
      </c>
      <c r="K227" s="32">
        <v>0.12924600195156871</v>
      </c>
      <c r="L227" s="32">
        <v>0.12841440196794787</v>
      </c>
      <c r="M227" s="57">
        <f t="shared" si="3"/>
        <v>14.846450538905824</v>
      </c>
    </row>
    <row r="228" spans="1:13" ht="15">
      <c r="A228" t="s">
        <v>100</v>
      </c>
      <c r="B228" t="s">
        <v>148</v>
      </c>
      <c r="C228" t="s">
        <v>149</v>
      </c>
      <c r="D228" t="s">
        <v>78</v>
      </c>
      <c r="E228" t="s">
        <v>72</v>
      </c>
      <c r="F228" s="32">
        <v>0</v>
      </c>
      <c r="G228" s="32">
        <v>0</v>
      </c>
      <c r="H228" s="32">
        <v>0.56453672814323819</v>
      </c>
      <c r="I228" s="32">
        <v>0.6620408863057009</v>
      </c>
      <c r="J228" s="32">
        <v>0.69126913946865187</v>
      </c>
      <c r="K228" s="32">
        <v>0.16522363370267684</v>
      </c>
      <c r="L228" s="32">
        <v>6.566421797975934E-2</v>
      </c>
      <c r="M228" s="57">
        <f t="shared" si="3"/>
        <v>2.1487346056000272</v>
      </c>
    </row>
    <row r="229" spans="1:13" ht="15">
      <c r="A229" t="s">
        <v>100</v>
      </c>
      <c r="B229" t="s">
        <v>150</v>
      </c>
      <c r="C229" t="s">
        <v>151</v>
      </c>
      <c r="D229" t="s">
        <v>78</v>
      </c>
      <c r="E229" t="s">
        <v>72</v>
      </c>
      <c r="F229" s="32">
        <v>0</v>
      </c>
      <c r="G229" s="32">
        <v>0</v>
      </c>
      <c r="H229" s="32">
        <v>0</v>
      </c>
      <c r="I229" s="32">
        <v>0</v>
      </c>
      <c r="J229" s="32">
        <v>0</v>
      </c>
      <c r="K229" s="32">
        <v>0</v>
      </c>
      <c r="L229" s="32">
        <v>0</v>
      </c>
      <c r="M229" s="57">
        <f t="shared" si="3"/>
        <v>0</v>
      </c>
    </row>
    <row r="230" spans="1:13" ht="15">
      <c r="A230" t="s">
        <v>100</v>
      </c>
      <c r="B230" t="s">
        <v>152</v>
      </c>
      <c r="C230" t="s">
        <v>153</v>
      </c>
      <c r="D230" t="s">
        <v>78</v>
      </c>
      <c r="E230" t="s">
        <v>72</v>
      </c>
      <c r="F230" s="32">
        <v>0</v>
      </c>
      <c r="G230" s="32">
        <v>0</v>
      </c>
      <c r="H230" s="32">
        <v>0.64027378709256</v>
      </c>
      <c r="I230" s="32">
        <v>0.63688924370542621</v>
      </c>
      <c r="J230" s="32">
        <v>0.63298124729787442</v>
      </c>
      <c r="K230" s="32">
        <v>0</v>
      </c>
      <c r="L230" s="32">
        <v>0</v>
      </c>
      <c r="M230" s="57">
        <f t="shared" si="3"/>
        <v>1.9101442780958606</v>
      </c>
    </row>
    <row r="231" spans="1:13" ht="15">
      <c r="A231" t="s">
        <v>100</v>
      </c>
      <c r="B231" t="s">
        <v>154</v>
      </c>
      <c r="C231" t="s">
        <v>155</v>
      </c>
      <c r="D231" t="s">
        <v>78</v>
      </c>
      <c r="E231" t="s">
        <v>72</v>
      </c>
      <c r="F231" s="32">
        <v>0</v>
      </c>
      <c r="G231" s="32">
        <v>10.79744604776948</v>
      </c>
      <c r="H231" s="32">
        <v>34.609972729982026</v>
      </c>
      <c r="I231" s="32">
        <v>30.624915767047643</v>
      </c>
      <c r="J231" s="32">
        <v>22.451283843329335</v>
      </c>
      <c r="K231" s="32">
        <v>6.913969058217492</v>
      </c>
      <c r="L231" s="32">
        <v>3.694391019314089</v>
      </c>
      <c r="M231" s="57">
        <f t="shared" si="3"/>
        <v>109.09197846566005</v>
      </c>
    </row>
    <row r="232" spans="1:13" ht="15">
      <c r="A232" t="s">
        <v>100</v>
      </c>
      <c r="B232" t="s">
        <v>156</v>
      </c>
      <c r="C232" t="s">
        <v>157</v>
      </c>
      <c r="D232" t="s">
        <v>78</v>
      </c>
      <c r="E232" t="s">
        <v>72</v>
      </c>
      <c r="F232" s="32">
        <v>0</v>
      </c>
      <c r="G232" s="32">
        <v>0</v>
      </c>
      <c r="H232" s="32">
        <v>1.5679264812694043</v>
      </c>
      <c r="I232" s="32">
        <v>8.977451750685562</v>
      </c>
      <c r="J232" s="32">
        <v>10.057378498413811</v>
      </c>
      <c r="K232" s="32">
        <v>8.8564727183273071</v>
      </c>
      <c r="L232" s="32">
        <v>7.1603932756134334</v>
      </c>
      <c r="M232" s="57">
        <f t="shared" si="3"/>
        <v>36.619622724309522</v>
      </c>
    </row>
    <row r="233" spans="1:13" ht="15">
      <c r="A233" t="s">
        <v>100</v>
      </c>
      <c r="B233" t="s">
        <v>158</v>
      </c>
      <c r="C233" t="s">
        <v>159</v>
      </c>
      <c r="D233" t="s">
        <v>78</v>
      </c>
      <c r="E233" t="s">
        <v>72</v>
      </c>
      <c r="F233" s="32">
        <v>0</v>
      </c>
      <c r="G233" s="32">
        <v>0</v>
      </c>
      <c r="H233" s="32">
        <v>2.7880677103786365E-3</v>
      </c>
      <c r="I233" s="32">
        <v>9.3285568019890555</v>
      </c>
      <c r="J233" s="32">
        <v>10.559432793080735</v>
      </c>
      <c r="K233" s="32">
        <v>9.201934335707298</v>
      </c>
      <c r="L233" s="32">
        <v>7.872349953631427</v>
      </c>
      <c r="M233" s="57">
        <f t="shared" si="3"/>
        <v>36.965061952118894</v>
      </c>
    </row>
    <row r="234" spans="1:13" ht="15">
      <c r="A234" t="s">
        <v>100</v>
      </c>
      <c r="B234" t="s">
        <v>160</v>
      </c>
      <c r="C234" t="s">
        <v>161</v>
      </c>
      <c r="D234" t="s">
        <v>78</v>
      </c>
      <c r="E234" t="s">
        <v>72</v>
      </c>
      <c r="F234" s="32">
        <v>0</v>
      </c>
      <c r="G234" s="32">
        <v>0</v>
      </c>
      <c r="H234" s="32">
        <v>0</v>
      </c>
      <c r="I234" s="32">
        <v>0</v>
      </c>
      <c r="J234" s="32">
        <v>0</v>
      </c>
      <c r="K234" s="32">
        <v>0</v>
      </c>
      <c r="L234" s="32">
        <v>0</v>
      </c>
      <c r="M234" s="57">
        <f t="shared" si="3"/>
        <v>0</v>
      </c>
    </row>
    <row r="235" spans="1:13" ht="15">
      <c r="A235" t="s">
        <v>100</v>
      </c>
      <c r="B235" t="s">
        <v>162</v>
      </c>
      <c r="C235" t="s">
        <v>163</v>
      </c>
      <c r="D235" t="s">
        <v>78</v>
      </c>
      <c r="E235" t="s">
        <v>72</v>
      </c>
      <c r="F235" s="32">
        <v>0</v>
      </c>
      <c r="G235" s="32">
        <v>0</v>
      </c>
      <c r="H235" s="32">
        <v>0</v>
      </c>
      <c r="I235" s="32">
        <v>0</v>
      </c>
      <c r="J235" s="32">
        <v>0</v>
      </c>
      <c r="K235" s="32">
        <v>0</v>
      </c>
      <c r="L235" s="32">
        <v>0</v>
      </c>
      <c r="M235" s="57">
        <f t="shared" si="3"/>
        <v>0</v>
      </c>
    </row>
    <row r="236" spans="1:13" ht="15">
      <c r="A236" t="s">
        <v>100</v>
      </c>
      <c r="B236" t="s">
        <v>164</v>
      </c>
      <c r="C236" t="s">
        <v>165</v>
      </c>
      <c r="D236" t="s">
        <v>78</v>
      </c>
      <c r="E236" t="s">
        <v>72</v>
      </c>
      <c r="F236" s="32">
        <v>0</v>
      </c>
      <c r="G236" s="32">
        <v>0</v>
      </c>
      <c r="H236" s="32">
        <v>0</v>
      </c>
      <c r="I236" s="32">
        <v>0</v>
      </c>
      <c r="J236" s="32">
        <v>0</v>
      </c>
      <c r="K236" s="32">
        <v>0</v>
      </c>
      <c r="L236" s="32">
        <v>0</v>
      </c>
      <c r="M236" s="57">
        <f t="shared" si="3"/>
        <v>0</v>
      </c>
    </row>
    <row r="237" spans="1:13" ht="15">
      <c r="A237" t="s">
        <v>100</v>
      </c>
      <c r="B237" t="s">
        <v>166</v>
      </c>
      <c r="C237" t="s">
        <v>167</v>
      </c>
      <c r="D237" t="s">
        <v>78</v>
      </c>
      <c r="E237" t="s">
        <v>72</v>
      </c>
      <c r="F237" s="32">
        <v>0</v>
      </c>
      <c r="G237" s="32">
        <v>0</v>
      </c>
      <c r="H237" s="32">
        <v>0</v>
      </c>
      <c r="I237" s="32">
        <v>0</v>
      </c>
      <c r="J237" s="32">
        <v>0</v>
      </c>
      <c r="K237" s="32">
        <v>0</v>
      </c>
      <c r="L237" s="32">
        <v>0</v>
      </c>
      <c r="M237" s="57">
        <f t="shared" si="3"/>
        <v>0</v>
      </c>
    </row>
    <row r="238" spans="1:13" ht="15">
      <c r="A238" t="s">
        <v>100</v>
      </c>
      <c r="B238" t="s">
        <v>168</v>
      </c>
      <c r="C238" t="s">
        <v>169</v>
      </c>
      <c r="D238" t="s">
        <v>78</v>
      </c>
      <c r="E238" t="s">
        <v>72</v>
      </c>
      <c r="F238" s="32">
        <v>0</v>
      </c>
      <c r="G238" s="32">
        <v>0</v>
      </c>
      <c r="H238" s="32">
        <v>0.73440285839560115</v>
      </c>
      <c r="I238" s="32">
        <v>0.68663097636848425</v>
      </c>
      <c r="J238" s="32">
        <v>1.5267158721196821</v>
      </c>
      <c r="K238" s="32">
        <v>1.506781225144753</v>
      </c>
      <c r="L238" s="32">
        <v>1.8259480849695138</v>
      </c>
      <c r="M238" s="57">
        <f t="shared" si="3"/>
        <v>6.2804790169980338</v>
      </c>
    </row>
    <row r="239" spans="1:13" ht="15">
      <c r="A239" t="s">
        <v>100</v>
      </c>
      <c r="B239" t="s">
        <v>170</v>
      </c>
      <c r="C239" t="s">
        <v>171</v>
      </c>
      <c r="D239" t="s">
        <v>78</v>
      </c>
      <c r="E239" t="s">
        <v>72</v>
      </c>
      <c r="F239" s="32">
        <v>0</v>
      </c>
      <c r="G239" s="32">
        <v>0</v>
      </c>
      <c r="H239" s="32">
        <v>4.5611519481151372</v>
      </c>
      <c r="I239" s="32">
        <v>4.5367533949966576</v>
      </c>
      <c r="J239" s="32">
        <v>4.5088568145959984</v>
      </c>
      <c r="K239" s="32">
        <v>0.28185208102221343</v>
      </c>
      <c r="L239" s="32">
        <v>0.2819698772072019</v>
      </c>
      <c r="M239" s="57">
        <f t="shared" si="3"/>
        <v>14.170584115937206</v>
      </c>
    </row>
    <row r="240" spans="1:13" ht="15">
      <c r="A240" t="s">
        <v>100</v>
      </c>
      <c r="B240" t="s">
        <v>172</v>
      </c>
      <c r="C240" t="s">
        <v>173</v>
      </c>
      <c r="D240" t="s">
        <v>78</v>
      </c>
      <c r="E240" t="s">
        <v>72</v>
      </c>
      <c r="F240" s="32">
        <v>0</v>
      </c>
      <c r="G240" s="32">
        <v>0</v>
      </c>
      <c r="H240" s="32">
        <v>0</v>
      </c>
      <c r="I240" s="32">
        <v>0</v>
      </c>
      <c r="J240" s="32">
        <v>0</v>
      </c>
      <c r="K240" s="32">
        <v>0</v>
      </c>
      <c r="L240" s="32">
        <v>0</v>
      </c>
      <c r="M240" s="57">
        <f t="shared" si="3"/>
        <v>0</v>
      </c>
    </row>
    <row r="241" spans="1:13" ht="15">
      <c r="A241" t="s">
        <v>100</v>
      </c>
      <c r="B241" t="s">
        <v>174</v>
      </c>
      <c r="C241" t="s">
        <v>175</v>
      </c>
      <c r="D241" t="s">
        <v>78</v>
      </c>
      <c r="E241" t="s">
        <v>72</v>
      </c>
      <c r="F241" s="32">
        <v>0</v>
      </c>
      <c r="G241" s="32">
        <v>0</v>
      </c>
      <c r="H241" s="32">
        <v>0</v>
      </c>
      <c r="I241" s="32">
        <v>0</v>
      </c>
      <c r="J241" s="32">
        <v>0</v>
      </c>
      <c r="K241" s="32">
        <v>0</v>
      </c>
      <c r="L241" s="32">
        <v>0</v>
      </c>
      <c r="M241" s="57">
        <f t="shared" si="3"/>
        <v>0</v>
      </c>
    </row>
    <row r="242" spans="1:13" ht="15">
      <c r="A242" t="s">
        <v>100</v>
      </c>
      <c r="B242" t="s">
        <v>176</v>
      </c>
      <c r="C242" t="s">
        <v>177</v>
      </c>
      <c r="D242" t="s">
        <v>78</v>
      </c>
      <c r="E242" t="s">
        <v>72</v>
      </c>
      <c r="F242" s="32">
        <v>0</v>
      </c>
      <c r="G242" s="32">
        <v>0</v>
      </c>
      <c r="H242" s="32">
        <v>3.5392151932489164</v>
      </c>
      <c r="I242" s="32">
        <v>3.5205065913672926</v>
      </c>
      <c r="J242" s="32">
        <v>3.4989045196604747</v>
      </c>
      <c r="K242" s="32">
        <v>2.5345318837840392</v>
      </c>
      <c r="L242" s="32">
        <v>2.5182240936689451</v>
      </c>
      <c r="M242" s="57">
        <f t="shared" si="3"/>
        <v>15.611382281729668</v>
      </c>
    </row>
    <row r="243" spans="1:13" ht="15">
      <c r="A243" t="s">
        <v>100</v>
      </c>
      <c r="B243" t="s">
        <v>178</v>
      </c>
      <c r="C243" t="s">
        <v>179</v>
      </c>
      <c r="D243" t="s">
        <v>78</v>
      </c>
      <c r="E243" t="s">
        <v>72</v>
      </c>
      <c r="F243" s="32">
        <v>0</v>
      </c>
      <c r="G243" s="32">
        <v>0</v>
      </c>
      <c r="H243" s="32">
        <v>0</v>
      </c>
      <c r="I243" s="32">
        <v>0</v>
      </c>
      <c r="J243" s="32">
        <v>0</v>
      </c>
      <c r="K243" s="32">
        <v>0</v>
      </c>
      <c r="L243" s="32">
        <v>0</v>
      </c>
      <c r="M243" s="57">
        <f t="shared" si="3"/>
        <v>0</v>
      </c>
    </row>
    <row r="244" spans="1:13" ht="15">
      <c r="A244" t="s">
        <v>100</v>
      </c>
      <c r="B244" t="s">
        <v>180</v>
      </c>
      <c r="C244" t="s">
        <v>181</v>
      </c>
      <c r="D244" t="s">
        <v>78</v>
      </c>
      <c r="E244" t="s">
        <v>72</v>
      </c>
      <c r="F244" s="32">
        <v>0</v>
      </c>
      <c r="G244" s="32">
        <v>0</v>
      </c>
      <c r="H244" s="32">
        <v>0</v>
      </c>
      <c r="I244" s="32">
        <v>0</v>
      </c>
      <c r="J244" s="32">
        <v>0</v>
      </c>
      <c r="K244" s="32">
        <v>0</v>
      </c>
      <c r="L244" s="32">
        <v>0</v>
      </c>
      <c r="M244" s="57">
        <f t="shared" si="3"/>
        <v>0</v>
      </c>
    </row>
    <row r="245" spans="1:13" ht="15">
      <c r="A245" t="s">
        <v>100</v>
      </c>
      <c r="B245" t="s">
        <v>182</v>
      </c>
      <c r="C245" t="s">
        <v>183</v>
      </c>
      <c r="D245" t="s">
        <v>78</v>
      </c>
      <c r="E245" t="s">
        <v>72</v>
      </c>
      <c r="F245" s="32">
        <v>0</v>
      </c>
      <c r="G245" s="32">
        <v>0</v>
      </c>
      <c r="H245" s="32">
        <v>0</v>
      </c>
      <c r="I245" s="32">
        <v>0</v>
      </c>
      <c r="J245" s="32">
        <v>0</v>
      </c>
      <c r="K245" s="32">
        <v>0</v>
      </c>
      <c r="L245" s="32">
        <v>0</v>
      </c>
      <c r="M245" s="57">
        <f t="shared" si="3"/>
        <v>0</v>
      </c>
    </row>
    <row r="246" spans="1:13" ht="15">
      <c r="A246" t="s">
        <v>100</v>
      </c>
      <c r="B246" t="s">
        <v>184</v>
      </c>
      <c r="C246" t="s">
        <v>185</v>
      </c>
      <c r="D246" t="s">
        <v>78</v>
      </c>
      <c r="E246" t="s">
        <v>72</v>
      </c>
      <c r="F246" s="32">
        <v>0</v>
      </c>
      <c r="G246" s="32">
        <v>0</v>
      </c>
      <c r="H246" s="32">
        <v>0</v>
      </c>
      <c r="I246" s="32">
        <v>0</v>
      </c>
      <c r="J246" s="32">
        <v>0</v>
      </c>
      <c r="K246" s="32">
        <v>0</v>
      </c>
      <c r="L246" s="32">
        <v>0</v>
      </c>
      <c r="M246" s="57">
        <f t="shared" si="3"/>
        <v>0</v>
      </c>
    </row>
    <row r="247" spans="1:13" ht="15">
      <c r="A247" t="s">
        <v>100</v>
      </c>
      <c r="B247" t="s">
        <v>186</v>
      </c>
      <c r="C247" t="s">
        <v>187</v>
      </c>
      <c r="D247" t="s">
        <v>78</v>
      </c>
      <c r="E247" t="s">
        <v>72</v>
      </c>
      <c r="F247" s="32">
        <v>0</v>
      </c>
      <c r="G247" s="32">
        <v>0</v>
      </c>
      <c r="H247" s="32">
        <v>0</v>
      </c>
      <c r="I247" s="32">
        <v>0</v>
      </c>
      <c r="J247" s="32">
        <v>0</v>
      </c>
      <c r="K247" s="32">
        <v>0</v>
      </c>
      <c r="L247" s="32">
        <v>0</v>
      </c>
      <c r="M247" s="57">
        <f t="shared" si="3"/>
        <v>0</v>
      </c>
    </row>
    <row r="248" spans="1:13" ht="15">
      <c r="A248" t="s">
        <v>100</v>
      </c>
      <c r="B248" t="s">
        <v>188</v>
      </c>
      <c r="C248" t="s">
        <v>189</v>
      </c>
      <c r="D248" t="s">
        <v>78</v>
      </c>
      <c r="E248" t="s">
        <v>72</v>
      </c>
      <c r="F248" s="32">
        <v>0</v>
      </c>
      <c r="G248" s="32">
        <v>0</v>
      </c>
      <c r="H248" s="32">
        <v>0</v>
      </c>
      <c r="I248" s="32">
        <v>0</v>
      </c>
      <c r="J248" s="32">
        <v>0</v>
      </c>
      <c r="K248" s="32">
        <v>0</v>
      </c>
      <c r="L248" s="32">
        <v>0</v>
      </c>
      <c r="M248" s="57">
        <f t="shared" si="3"/>
        <v>0</v>
      </c>
    </row>
    <row r="249" spans="1:13" ht="15">
      <c r="A249" t="s">
        <v>100</v>
      </c>
      <c r="B249" t="s">
        <v>190</v>
      </c>
      <c r="C249" t="s">
        <v>191</v>
      </c>
      <c r="D249" t="s">
        <v>78</v>
      </c>
      <c r="E249" t="s">
        <v>72</v>
      </c>
      <c r="F249" s="32">
        <v>0</v>
      </c>
      <c r="G249" s="32">
        <v>0</v>
      </c>
      <c r="H249" s="32">
        <v>1.8299152008485065</v>
      </c>
      <c r="I249" s="32">
        <v>2.458352543576841</v>
      </c>
      <c r="J249" s="32">
        <v>8.1077697220711828E-2</v>
      </c>
      <c r="K249" s="32">
        <v>8.0452846000560199E-2</v>
      </c>
      <c r="L249" s="32">
        <v>7.9899899936103094E-2</v>
      </c>
      <c r="M249" s="57">
        <f t="shared" si="3"/>
        <v>4.5296981875827225</v>
      </c>
    </row>
    <row r="250" spans="1:13" ht="15">
      <c r="A250" t="s">
        <v>100</v>
      </c>
      <c r="B250" t="s">
        <v>192</v>
      </c>
      <c r="C250" t="s">
        <v>193</v>
      </c>
      <c r="D250" t="s">
        <v>78</v>
      </c>
      <c r="E250" t="s">
        <v>72</v>
      </c>
      <c r="F250" s="32">
        <v>0</v>
      </c>
      <c r="G250" s="32">
        <v>0</v>
      </c>
      <c r="H250" s="32">
        <v>0</v>
      </c>
      <c r="I250" s="32">
        <v>0</v>
      </c>
      <c r="J250" s="32">
        <v>0</v>
      </c>
      <c r="K250" s="32">
        <v>0</v>
      </c>
      <c r="L250" s="32">
        <v>0</v>
      </c>
      <c r="M250" s="57">
        <f t="shared" si="3"/>
        <v>0</v>
      </c>
    </row>
    <row r="251" spans="1:13" ht="15">
      <c r="A251" t="s">
        <v>100</v>
      </c>
      <c r="B251" t="s">
        <v>194</v>
      </c>
      <c r="C251" t="s">
        <v>195</v>
      </c>
      <c r="D251" t="s">
        <v>78</v>
      </c>
      <c r="E251" t="s">
        <v>72</v>
      </c>
      <c r="F251" s="32">
        <v>0</v>
      </c>
      <c r="G251" s="32">
        <v>0</v>
      </c>
      <c r="H251" s="32">
        <v>2.2540598701046362</v>
      </c>
      <c r="I251" s="32">
        <v>6.0614123655448022</v>
      </c>
      <c r="J251" s="32">
        <v>7.5616186315157599</v>
      </c>
      <c r="K251" s="32">
        <v>7.0313848781694404</v>
      </c>
      <c r="L251" s="32">
        <v>4.4514833407774441</v>
      </c>
      <c r="M251" s="57">
        <f t="shared" si="3"/>
        <v>27.359959086112081</v>
      </c>
    </row>
    <row r="252" spans="1:13" ht="15">
      <c r="A252" t="s">
        <v>100</v>
      </c>
      <c r="B252" t="s">
        <v>196</v>
      </c>
      <c r="C252" t="s">
        <v>197</v>
      </c>
      <c r="D252" t="s">
        <v>78</v>
      </c>
      <c r="E252" t="s">
        <v>72</v>
      </c>
      <c r="F252" s="32">
        <v>0</v>
      </c>
      <c r="G252" s="32">
        <v>0</v>
      </c>
      <c r="H252" s="32">
        <v>0</v>
      </c>
      <c r="I252" s="32">
        <v>0</v>
      </c>
      <c r="J252" s="32">
        <v>0</v>
      </c>
      <c r="K252" s="32">
        <v>0</v>
      </c>
      <c r="L252" s="32">
        <v>0</v>
      </c>
      <c r="M252" s="57">
        <f t="shared" si="3"/>
        <v>0</v>
      </c>
    </row>
    <row r="253" spans="1:13" ht="15">
      <c r="A253" t="s">
        <v>100</v>
      </c>
      <c r="B253" t="s">
        <v>198</v>
      </c>
      <c r="C253" t="s">
        <v>199</v>
      </c>
      <c r="D253" t="s">
        <v>78</v>
      </c>
      <c r="E253" t="s">
        <v>72</v>
      </c>
      <c r="F253" s="32">
        <v>0</v>
      </c>
      <c r="G253" s="32">
        <v>0</v>
      </c>
      <c r="H253" s="32">
        <v>0</v>
      </c>
      <c r="I253" s="32">
        <v>0</v>
      </c>
      <c r="J253" s="32">
        <v>0</v>
      </c>
      <c r="K253" s="32">
        <v>0</v>
      </c>
      <c r="L253" s="32">
        <v>0</v>
      </c>
      <c r="M253" s="57">
        <f t="shared" si="3"/>
        <v>0</v>
      </c>
    </row>
    <row r="254" spans="1:13" ht="15">
      <c r="A254" t="s">
        <v>100</v>
      </c>
      <c r="B254" t="s">
        <v>200</v>
      </c>
      <c r="C254" t="s">
        <v>201</v>
      </c>
      <c r="D254" t="s">
        <v>78</v>
      </c>
      <c r="E254" t="s">
        <v>72</v>
      </c>
      <c r="F254" s="32">
        <v>0</v>
      </c>
      <c r="G254" s="32">
        <v>0</v>
      </c>
      <c r="H254" s="32">
        <v>4.2271768802361649</v>
      </c>
      <c r="I254" s="32">
        <v>4.2048316525465914</v>
      </c>
      <c r="J254" s="32">
        <v>4.1790305149784528</v>
      </c>
      <c r="K254" s="32">
        <v>4.1481678598934479</v>
      </c>
      <c r="L254" s="32">
        <v>4.1214775462879532</v>
      </c>
      <c r="M254" s="57">
        <f t="shared" si="3"/>
        <v>20.88068445394261</v>
      </c>
    </row>
    <row r="255" spans="1:13" ht="15">
      <c r="A255" t="s">
        <v>100</v>
      </c>
      <c r="B255" t="s">
        <v>202</v>
      </c>
      <c r="C255" t="s">
        <v>203</v>
      </c>
      <c r="D255" t="s">
        <v>78</v>
      </c>
      <c r="E255" t="s">
        <v>72</v>
      </c>
      <c r="F255" s="32">
        <v>0</v>
      </c>
      <c r="G255" s="32">
        <v>0</v>
      </c>
      <c r="H255" s="32">
        <v>7.3121367334205258</v>
      </c>
      <c r="I255" s="32">
        <v>6.7807036906317828</v>
      </c>
      <c r="J255" s="32">
        <v>4.1466690156041812</v>
      </c>
      <c r="K255" s="32">
        <v>3.8560168051977342</v>
      </c>
      <c r="L255" s="32">
        <v>0.99867437602370346</v>
      </c>
      <c r="M255" s="57">
        <f t="shared" si="3"/>
        <v>23.094200620877928</v>
      </c>
    </row>
    <row r="256" spans="1:13" ht="15">
      <c r="A256" t="s">
        <v>100</v>
      </c>
      <c r="B256" t="s">
        <v>204</v>
      </c>
      <c r="C256" t="s">
        <v>205</v>
      </c>
      <c r="D256" t="s">
        <v>78</v>
      </c>
      <c r="E256" t="s">
        <v>72</v>
      </c>
      <c r="F256" s="32">
        <v>0</v>
      </c>
      <c r="G256" s="32">
        <v>0</v>
      </c>
      <c r="H256" s="32">
        <v>0</v>
      </c>
      <c r="I256" s="32">
        <v>0</v>
      </c>
      <c r="J256" s="32">
        <v>0</v>
      </c>
      <c r="K256" s="32">
        <v>0</v>
      </c>
      <c r="L256" s="32">
        <v>0</v>
      </c>
      <c r="M256" s="57">
        <f t="shared" si="3"/>
        <v>0</v>
      </c>
    </row>
    <row r="257" spans="1:13" ht="15">
      <c r="A257" t="s">
        <v>100</v>
      </c>
      <c r="B257" t="s">
        <v>206</v>
      </c>
      <c r="C257" t="s">
        <v>207</v>
      </c>
      <c r="D257" t="s">
        <v>78</v>
      </c>
      <c r="E257" t="s">
        <v>72</v>
      </c>
      <c r="F257" s="32">
        <v>0</v>
      </c>
      <c r="G257" s="32">
        <v>0</v>
      </c>
      <c r="H257" s="32">
        <v>0</v>
      </c>
      <c r="I257" s="32">
        <v>0</v>
      </c>
      <c r="J257" s="32">
        <v>0</v>
      </c>
      <c r="K257" s="32">
        <v>0</v>
      </c>
      <c r="L257" s="32">
        <v>0</v>
      </c>
      <c r="M257" s="57">
        <f t="shared" si="3"/>
        <v>0</v>
      </c>
    </row>
    <row r="258" spans="1:13" ht="15">
      <c r="A258" t="s">
        <v>100</v>
      </c>
      <c r="B258" t="s">
        <v>208</v>
      </c>
      <c r="C258" t="s">
        <v>209</v>
      </c>
      <c r="D258" t="s">
        <v>78</v>
      </c>
      <c r="E258" t="s">
        <v>72</v>
      </c>
      <c r="F258" s="32">
        <v>0</v>
      </c>
      <c r="G258" s="32">
        <v>0</v>
      </c>
      <c r="H258" s="32">
        <v>0</v>
      </c>
      <c r="I258" s="32">
        <v>0</v>
      </c>
      <c r="J258" s="32">
        <v>0</v>
      </c>
      <c r="K258" s="32">
        <v>0</v>
      </c>
      <c r="L258" s="32">
        <v>0</v>
      </c>
      <c r="M258" s="57">
        <f t="shared" si="3"/>
        <v>0</v>
      </c>
    </row>
    <row r="259" spans="1:13" ht="15">
      <c r="A259" t="s">
        <v>100</v>
      </c>
      <c r="B259" t="s">
        <v>210</v>
      </c>
      <c r="C259" t="s">
        <v>211</v>
      </c>
      <c r="D259" t="s">
        <v>78</v>
      </c>
      <c r="E259" t="s">
        <v>72</v>
      </c>
      <c r="F259" s="32">
        <v>0</v>
      </c>
      <c r="G259" s="32">
        <v>0</v>
      </c>
      <c r="H259" s="32">
        <v>0</v>
      </c>
      <c r="I259" s="32">
        <v>0</v>
      </c>
      <c r="J259" s="32">
        <v>0</v>
      </c>
      <c r="K259" s="32">
        <v>0</v>
      </c>
      <c r="L259" s="32">
        <v>0</v>
      </c>
      <c r="M259" s="57">
        <f t="shared" si="3"/>
        <v>0</v>
      </c>
    </row>
    <row r="260" spans="1:13" ht="15">
      <c r="A260" t="s">
        <v>100</v>
      </c>
      <c r="B260" t="s">
        <v>212</v>
      </c>
      <c r="C260" t="s">
        <v>213</v>
      </c>
      <c r="D260" t="s">
        <v>78</v>
      </c>
      <c r="E260" t="s">
        <v>72</v>
      </c>
      <c r="F260" s="32">
        <v>0</v>
      </c>
      <c r="G260" s="32">
        <v>0</v>
      </c>
      <c r="H260" s="32">
        <v>0</v>
      </c>
      <c r="I260" s="32">
        <v>0</v>
      </c>
      <c r="J260" s="32">
        <v>0</v>
      </c>
      <c r="K260" s="32">
        <v>0</v>
      </c>
      <c r="L260" s="32">
        <v>0</v>
      </c>
      <c r="M260" s="57">
        <f t="shared" si="3"/>
        <v>0</v>
      </c>
    </row>
    <row r="261" spans="1:13" ht="15">
      <c r="A261" t="s">
        <v>100</v>
      </c>
      <c r="B261" t="s">
        <v>214</v>
      </c>
      <c r="C261" t="s">
        <v>215</v>
      </c>
      <c r="D261" t="s">
        <v>78</v>
      </c>
      <c r="E261" t="s">
        <v>72</v>
      </c>
      <c r="F261" s="32">
        <v>0</v>
      </c>
      <c r="G261" s="32">
        <v>0</v>
      </c>
      <c r="H261" s="32">
        <v>0</v>
      </c>
      <c r="I261" s="32">
        <v>0</v>
      </c>
      <c r="J261" s="32">
        <v>0</v>
      </c>
      <c r="K261" s="32">
        <v>0</v>
      </c>
      <c r="L261" s="32">
        <v>0</v>
      </c>
      <c r="M261" s="57">
        <f t="shared" si="3"/>
        <v>0</v>
      </c>
    </row>
    <row r="262" spans="1:13" ht="15">
      <c r="A262" t="s">
        <v>100</v>
      </c>
      <c r="B262" t="s">
        <v>216</v>
      </c>
      <c r="C262" t="s">
        <v>217</v>
      </c>
      <c r="D262" t="s">
        <v>78</v>
      </c>
      <c r="E262" t="s">
        <v>72</v>
      </c>
      <c r="F262" s="32">
        <v>0</v>
      </c>
      <c r="G262" s="32">
        <v>0</v>
      </c>
      <c r="H262" s="32">
        <v>7.7123575116465943</v>
      </c>
      <c r="I262" s="32">
        <v>7.6671166706166858</v>
      </c>
      <c r="J262" s="32">
        <v>7.6164260531502599</v>
      </c>
      <c r="K262" s="32">
        <v>7.5577276283596522</v>
      </c>
      <c r="L262" s="32">
        <v>7.5057839625220133</v>
      </c>
      <c r="M262" s="57">
        <f t="shared" ref="M262:M325" si="4">SUM(F262:L262)</f>
        <v>38.059411826295204</v>
      </c>
    </row>
    <row r="263" spans="1:13" ht="15">
      <c r="A263" t="s">
        <v>102</v>
      </c>
      <c r="B263" t="s">
        <v>132</v>
      </c>
      <c r="C263" t="s">
        <v>133</v>
      </c>
      <c r="D263" t="s">
        <v>78</v>
      </c>
      <c r="E263" t="s">
        <v>72</v>
      </c>
      <c r="F263" s="32">
        <v>11.729923717489774</v>
      </c>
      <c r="G263" s="32">
        <v>46.151545501238857</v>
      </c>
      <c r="H263" s="32">
        <v>385.46505399407772</v>
      </c>
      <c r="I263" s="32">
        <v>676.05973099704897</v>
      </c>
      <c r="J263" s="32">
        <v>480.38015818946639</v>
      </c>
      <c r="K263" s="32">
        <v>582.06689270827303</v>
      </c>
      <c r="L263" s="32">
        <v>362.67937199661287</v>
      </c>
      <c r="M263" s="57">
        <f t="shared" si="4"/>
        <v>2544.5326771042073</v>
      </c>
    </row>
    <row r="264" spans="1:13" ht="15">
      <c r="A264" t="s">
        <v>102</v>
      </c>
      <c r="B264" t="s">
        <v>134</v>
      </c>
      <c r="C264" t="s">
        <v>135</v>
      </c>
      <c r="D264" t="s">
        <v>78</v>
      </c>
      <c r="E264" t="s">
        <v>72</v>
      </c>
      <c r="F264" s="32">
        <v>0</v>
      </c>
      <c r="G264" s="32">
        <v>0</v>
      </c>
      <c r="H264" s="32">
        <v>7.1646247542439667</v>
      </c>
      <c r="I264" s="32">
        <v>5.9820122941193696E-2</v>
      </c>
      <c r="J264" s="32">
        <v>0.11890612506667578</v>
      </c>
      <c r="K264" s="32">
        <v>0.11802798868737104</v>
      </c>
      <c r="L264" s="32">
        <v>0.11726856810973495</v>
      </c>
      <c r="M264" s="57">
        <f t="shared" si="4"/>
        <v>7.5786475590489415</v>
      </c>
    </row>
    <row r="265" spans="1:13" ht="15">
      <c r="A265" t="s">
        <v>102</v>
      </c>
      <c r="B265" t="s">
        <v>136</v>
      </c>
      <c r="C265" t="s">
        <v>137</v>
      </c>
      <c r="D265" t="s">
        <v>78</v>
      </c>
      <c r="E265" t="s">
        <v>72</v>
      </c>
      <c r="F265" s="32">
        <v>0.31850000000000001</v>
      </c>
      <c r="G265" s="32">
        <v>6.878702392707976</v>
      </c>
      <c r="H265" s="32">
        <v>25.628184710140459</v>
      </c>
      <c r="I265" s="32">
        <v>15.186942081483485</v>
      </c>
      <c r="J265" s="32">
        <v>0.13502268319083163</v>
      </c>
      <c r="K265" s="32">
        <v>0.13402552404470083</v>
      </c>
      <c r="L265" s="32">
        <v>0.13316317146189435</v>
      </c>
      <c r="M265" s="57">
        <f t="shared" si="4"/>
        <v>48.414540563029355</v>
      </c>
    </row>
    <row r="266" spans="1:13" ht="15">
      <c r="A266" t="s">
        <v>102</v>
      </c>
      <c r="B266" t="s">
        <v>138</v>
      </c>
      <c r="C266" t="s">
        <v>139</v>
      </c>
      <c r="D266" t="s">
        <v>78</v>
      </c>
      <c r="E266" t="s">
        <v>72</v>
      </c>
      <c r="F266" s="32">
        <v>0</v>
      </c>
      <c r="G266" s="32">
        <v>0</v>
      </c>
      <c r="H266" s="32">
        <v>0</v>
      </c>
      <c r="I266" s="32">
        <v>0</v>
      </c>
      <c r="J266" s="32">
        <v>0</v>
      </c>
      <c r="K266" s="32">
        <v>0</v>
      </c>
      <c r="L266" s="32">
        <v>39.117566245170266</v>
      </c>
      <c r="M266" s="57">
        <f t="shared" si="4"/>
        <v>39.117566245170266</v>
      </c>
    </row>
    <row r="267" spans="1:13" ht="15">
      <c r="A267" t="s">
        <v>102</v>
      </c>
      <c r="B267" t="s">
        <v>140</v>
      </c>
      <c r="C267" t="s">
        <v>141</v>
      </c>
      <c r="D267" t="s">
        <v>78</v>
      </c>
      <c r="E267" t="s">
        <v>72</v>
      </c>
      <c r="F267" s="32">
        <v>0</v>
      </c>
      <c r="G267" s="32">
        <v>0</v>
      </c>
      <c r="H267" s="32">
        <v>8.0310473849566719</v>
      </c>
      <c r="I267" s="32">
        <v>9.186722493388876</v>
      </c>
      <c r="J267" s="32">
        <v>9.3403005459055048</v>
      </c>
      <c r="K267" s="32">
        <v>10.190817449140745</v>
      </c>
      <c r="L267" s="32">
        <v>26.588652756787884</v>
      </c>
      <c r="M267" s="57">
        <f t="shared" si="4"/>
        <v>63.337540630179689</v>
      </c>
    </row>
    <row r="268" spans="1:13" ht="15">
      <c r="A268" t="s">
        <v>102</v>
      </c>
      <c r="B268" t="s">
        <v>142</v>
      </c>
      <c r="C268" t="s">
        <v>143</v>
      </c>
      <c r="D268" t="s">
        <v>78</v>
      </c>
      <c r="E268" t="s">
        <v>72</v>
      </c>
      <c r="F268" s="32">
        <v>0</v>
      </c>
      <c r="G268" s="32">
        <v>0</v>
      </c>
      <c r="H268" s="32">
        <v>0</v>
      </c>
      <c r="I268" s="32">
        <v>0</v>
      </c>
      <c r="J268" s="32">
        <v>0</v>
      </c>
      <c r="K268" s="32">
        <v>0</v>
      </c>
      <c r="L268" s="32">
        <v>0</v>
      </c>
      <c r="M268" s="57">
        <f t="shared" si="4"/>
        <v>0</v>
      </c>
    </row>
    <row r="269" spans="1:13" ht="15">
      <c r="A269" t="s">
        <v>102</v>
      </c>
      <c r="B269" t="s">
        <v>144</v>
      </c>
      <c r="C269" t="s">
        <v>145</v>
      </c>
      <c r="D269" t="s">
        <v>78</v>
      </c>
      <c r="E269" t="s">
        <v>72</v>
      </c>
      <c r="F269" s="32">
        <v>11.411423717489773</v>
      </c>
      <c r="G269" s="32">
        <v>28.430177751836162</v>
      </c>
      <c r="H269" s="32">
        <v>180.25414118492694</v>
      </c>
      <c r="I269" s="32">
        <v>277.15793805792191</v>
      </c>
      <c r="J269" s="32">
        <v>109.39866185136258</v>
      </c>
      <c r="K269" s="32">
        <v>233.61886108977851</v>
      </c>
      <c r="L269" s="32">
        <v>150.77850294937508</v>
      </c>
      <c r="M269" s="57">
        <f t="shared" si="4"/>
        <v>991.049706602691</v>
      </c>
    </row>
    <row r="270" spans="1:13" ht="15">
      <c r="A270" t="s">
        <v>102</v>
      </c>
      <c r="B270" t="s">
        <v>146</v>
      </c>
      <c r="C270" t="s">
        <v>147</v>
      </c>
      <c r="D270" t="s">
        <v>78</v>
      </c>
      <c r="E270" t="s">
        <v>72</v>
      </c>
      <c r="F270" s="32">
        <v>0</v>
      </c>
      <c r="G270" s="32">
        <v>0</v>
      </c>
      <c r="H270" s="32">
        <v>0.65862618283377816</v>
      </c>
      <c r="I270" s="32">
        <v>4.4963610194928858</v>
      </c>
      <c r="J270" s="32">
        <v>5.0190447718361311</v>
      </c>
      <c r="K270" s="32">
        <v>6.654624823307226</v>
      </c>
      <c r="L270" s="32">
        <v>1.6918192632432116</v>
      </c>
      <c r="M270" s="57">
        <f t="shared" si="4"/>
        <v>18.520476060713232</v>
      </c>
    </row>
    <row r="271" spans="1:13" ht="15">
      <c r="A271" t="s">
        <v>102</v>
      </c>
      <c r="B271" t="s">
        <v>148</v>
      </c>
      <c r="C271" t="s">
        <v>149</v>
      </c>
      <c r="D271" t="s">
        <v>78</v>
      </c>
      <c r="E271" t="s">
        <v>72</v>
      </c>
      <c r="F271" s="32">
        <v>0</v>
      </c>
      <c r="G271" s="32">
        <v>0</v>
      </c>
      <c r="H271" s="32">
        <v>0.70220445658518593</v>
      </c>
      <c r="I271" s="32">
        <v>1.4531403382454002</v>
      </c>
      <c r="J271" s="32">
        <v>5.3852411714979974E-2</v>
      </c>
      <c r="K271" s="32">
        <v>0</v>
      </c>
      <c r="L271" s="32">
        <v>0</v>
      </c>
      <c r="M271" s="57">
        <f t="shared" si="4"/>
        <v>2.2091972065455661</v>
      </c>
    </row>
    <row r="272" spans="1:13" ht="15">
      <c r="A272" t="s">
        <v>102</v>
      </c>
      <c r="B272" t="s">
        <v>150</v>
      </c>
      <c r="C272" t="s">
        <v>151</v>
      </c>
      <c r="D272" t="s">
        <v>78</v>
      </c>
      <c r="E272" t="s">
        <v>72</v>
      </c>
      <c r="F272" s="32">
        <v>0</v>
      </c>
      <c r="G272" s="32">
        <v>0</v>
      </c>
      <c r="H272" s="32">
        <v>10.34706685308428</v>
      </c>
      <c r="I272" s="32">
        <v>46.767868646089958</v>
      </c>
      <c r="J272" s="32">
        <v>76.466214355810209</v>
      </c>
      <c r="K272" s="32">
        <v>71.773729622679426</v>
      </c>
      <c r="L272" s="32">
        <v>23.315818764189491</v>
      </c>
      <c r="M272" s="57">
        <f t="shared" si="4"/>
        <v>228.67069824185336</v>
      </c>
    </row>
    <row r="273" spans="1:13" ht="15">
      <c r="A273" t="s">
        <v>102</v>
      </c>
      <c r="B273" t="s">
        <v>152</v>
      </c>
      <c r="C273" t="s">
        <v>153</v>
      </c>
      <c r="D273" t="s">
        <v>78</v>
      </c>
      <c r="E273" t="s">
        <v>72</v>
      </c>
      <c r="F273" s="32">
        <v>0</v>
      </c>
      <c r="G273" s="32">
        <v>0</v>
      </c>
      <c r="H273" s="32">
        <v>0.66334055972143036</v>
      </c>
      <c r="I273" s="32">
        <v>2.3103256572288293</v>
      </c>
      <c r="J273" s="32">
        <v>0.32789264791113626</v>
      </c>
      <c r="K273" s="32">
        <v>0</v>
      </c>
      <c r="L273" s="32">
        <v>0</v>
      </c>
      <c r="M273" s="57">
        <f t="shared" si="4"/>
        <v>3.3015588648613958</v>
      </c>
    </row>
    <row r="274" spans="1:13" ht="15">
      <c r="A274" t="s">
        <v>102</v>
      </c>
      <c r="B274" t="s">
        <v>154</v>
      </c>
      <c r="C274" t="s">
        <v>155</v>
      </c>
      <c r="D274" t="s">
        <v>78</v>
      </c>
      <c r="E274" t="s">
        <v>72</v>
      </c>
      <c r="F274" s="32">
        <v>0</v>
      </c>
      <c r="G274" s="32">
        <v>5.3307392445913404</v>
      </c>
      <c r="H274" s="32">
        <v>5.4176763912682349</v>
      </c>
      <c r="I274" s="32">
        <v>68.054536048850636</v>
      </c>
      <c r="J274" s="32">
        <v>115.09769510321324</v>
      </c>
      <c r="K274" s="32">
        <v>139.59956242252869</v>
      </c>
      <c r="L274" s="32">
        <v>34.885978091434026</v>
      </c>
      <c r="M274" s="57">
        <f t="shared" si="4"/>
        <v>368.38618730188614</v>
      </c>
    </row>
    <row r="275" spans="1:13" ht="15">
      <c r="A275" t="s">
        <v>102</v>
      </c>
      <c r="B275" t="s">
        <v>156</v>
      </c>
      <c r="C275" t="s">
        <v>157</v>
      </c>
      <c r="D275" t="s">
        <v>78</v>
      </c>
      <c r="E275" t="s">
        <v>72</v>
      </c>
      <c r="F275" s="32">
        <v>0</v>
      </c>
      <c r="G275" s="32">
        <v>0</v>
      </c>
      <c r="H275" s="32">
        <v>0</v>
      </c>
      <c r="I275" s="32">
        <v>1.9033675481288903</v>
      </c>
      <c r="J275" s="32">
        <v>7.1316650920672142</v>
      </c>
      <c r="K275" s="32">
        <v>2.7450448884108267</v>
      </c>
      <c r="L275" s="32">
        <v>0.34647531486967148</v>
      </c>
      <c r="M275" s="57">
        <f t="shared" si="4"/>
        <v>12.126552843476603</v>
      </c>
    </row>
    <row r="276" spans="1:13" ht="15">
      <c r="A276" t="s">
        <v>102</v>
      </c>
      <c r="B276" t="s">
        <v>158</v>
      </c>
      <c r="C276" t="s">
        <v>159</v>
      </c>
      <c r="D276" t="s">
        <v>78</v>
      </c>
      <c r="E276" t="s">
        <v>72</v>
      </c>
      <c r="F276" s="32">
        <v>0</v>
      </c>
      <c r="G276" s="32">
        <v>0</v>
      </c>
      <c r="H276" s="32">
        <v>14.037070314670011</v>
      </c>
      <c r="I276" s="32">
        <v>57.910932692999872</v>
      </c>
      <c r="J276" s="32">
        <v>25.144386726867619</v>
      </c>
      <c r="K276" s="32">
        <v>23.504040933439057</v>
      </c>
      <c r="L276" s="32">
        <v>6.9481508503954617</v>
      </c>
      <c r="M276" s="57">
        <f t="shared" si="4"/>
        <v>127.54458151837203</v>
      </c>
    </row>
    <row r="277" spans="1:13" ht="15">
      <c r="A277" t="s">
        <v>102</v>
      </c>
      <c r="B277" t="s">
        <v>160</v>
      </c>
      <c r="C277" t="s">
        <v>161</v>
      </c>
      <c r="D277" t="s">
        <v>78</v>
      </c>
      <c r="E277" t="s">
        <v>72</v>
      </c>
      <c r="F277" s="32">
        <v>0</v>
      </c>
      <c r="G277" s="32">
        <v>0</v>
      </c>
      <c r="H277" s="32">
        <v>0</v>
      </c>
      <c r="I277" s="32">
        <v>0</v>
      </c>
      <c r="J277" s="32">
        <v>0</v>
      </c>
      <c r="K277" s="32">
        <v>0</v>
      </c>
      <c r="L277" s="32">
        <v>0</v>
      </c>
      <c r="M277" s="57">
        <f t="shared" si="4"/>
        <v>0</v>
      </c>
    </row>
    <row r="278" spans="1:13" ht="15">
      <c r="A278" t="s">
        <v>102</v>
      </c>
      <c r="B278" t="s">
        <v>162</v>
      </c>
      <c r="C278" t="s">
        <v>163</v>
      </c>
      <c r="D278" t="s">
        <v>78</v>
      </c>
      <c r="E278" t="s">
        <v>72</v>
      </c>
      <c r="F278" s="32">
        <v>0</v>
      </c>
      <c r="G278" s="32">
        <v>0</v>
      </c>
      <c r="H278" s="32">
        <v>0</v>
      </c>
      <c r="I278" s="32">
        <v>0</v>
      </c>
      <c r="J278" s="32">
        <v>0</v>
      </c>
      <c r="K278" s="32">
        <v>0</v>
      </c>
      <c r="L278" s="32">
        <v>0</v>
      </c>
      <c r="M278" s="57">
        <f t="shared" si="4"/>
        <v>0</v>
      </c>
    </row>
    <row r="279" spans="1:13" ht="15">
      <c r="A279" t="s">
        <v>102</v>
      </c>
      <c r="B279" t="s">
        <v>164</v>
      </c>
      <c r="C279" t="s">
        <v>165</v>
      </c>
      <c r="D279" t="s">
        <v>78</v>
      </c>
      <c r="E279" t="s">
        <v>72</v>
      </c>
      <c r="F279" s="32">
        <v>0</v>
      </c>
      <c r="G279" s="32">
        <v>0</v>
      </c>
      <c r="H279" s="32">
        <v>0</v>
      </c>
      <c r="I279" s="32">
        <v>0</v>
      </c>
      <c r="J279" s="32">
        <v>0</v>
      </c>
      <c r="K279" s="32">
        <v>0</v>
      </c>
      <c r="L279" s="32">
        <v>0</v>
      </c>
      <c r="M279" s="57">
        <f t="shared" si="4"/>
        <v>0</v>
      </c>
    </row>
    <row r="280" spans="1:13" ht="15">
      <c r="A280" t="s">
        <v>102</v>
      </c>
      <c r="B280" t="s">
        <v>166</v>
      </c>
      <c r="C280" t="s">
        <v>167</v>
      </c>
      <c r="D280" t="s">
        <v>78</v>
      </c>
      <c r="E280" t="s">
        <v>72</v>
      </c>
      <c r="F280" s="32">
        <v>0</v>
      </c>
      <c r="G280" s="32">
        <v>0</v>
      </c>
      <c r="H280" s="32">
        <v>0</v>
      </c>
      <c r="I280" s="32">
        <v>0</v>
      </c>
      <c r="J280" s="32">
        <v>0</v>
      </c>
      <c r="K280" s="32">
        <v>0</v>
      </c>
      <c r="L280" s="32">
        <v>0</v>
      </c>
      <c r="M280" s="57">
        <f t="shared" si="4"/>
        <v>0</v>
      </c>
    </row>
    <row r="281" spans="1:13" ht="15">
      <c r="A281" t="s">
        <v>102</v>
      </c>
      <c r="B281" t="s">
        <v>168</v>
      </c>
      <c r="C281" t="s">
        <v>169</v>
      </c>
      <c r="D281" t="s">
        <v>78</v>
      </c>
      <c r="E281" t="s">
        <v>72</v>
      </c>
      <c r="F281" s="32">
        <v>0</v>
      </c>
      <c r="G281" s="32">
        <v>2.3072981896545288</v>
      </c>
      <c r="H281" s="32">
        <v>4.5549992555596575</v>
      </c>
      <c r="I281" s="32">
        <v>23.85191447455232</v>
      </c>
      <c r="J281" s="32">
        <v>3.9419182067558567</v>
      </c>
      <c r="K281" s="32">
        <v>1.103382863941029</v>
      </c>
      <c r="L281" s="32">
        <v>1.0962834321773705</v>
      </c>
      <c r="M281" s="57">
        <f t="shared" si="4"/>
        <v>36.855796422640765</v>
      </c>
    </row>
    <row r="282" spans="1:13" ht="15">
      <c r="A282" t="s">
        <v>102</v>
      </c>
      <c r="B282" t="s">
        <v>170</v>
      </c>
      <c r="C282" t="s">
        <v>171</v>
      </c>
      <c r="D282" t="s">
        <v>78</v>
      </c>
      <c r="E282" t="s">
        <v>72</v>
      </c>
      <c r="F282" s="32">
        <v>0</v>
      </c>
      <c r="G282" s="32">
        <v>0</v>
      </c>
      <c r="H282" s="32">
        <v>0</v>
      </c>
      <c r="I282" s="32">
        <v>0</v>
      </c>
      <c r="J282" s="32">
        <v>0</v>
      </c>
      <c r="K282" s="32">
        <v>0</v>
      </c>
      <c r="L282" s="32">
        <v>0</v>
      </c>
      <c r="M282" s="57">
        <f t="shared" si="4"/>
        <v>0</v>
      </c>
    </row>
    <row r="283" spans="1:13" ht="15">
      <c r="A283" t="s">
        <v>102</v>
      </c>
      <c r="B283" t="s">
        <v>172</v>
      </c>
      <c r="C283" t="s">
        <v>173</v>
      </c>
      <c r="D283" t="s">
        <v>78</v>
      </c>
      <c r="E283" t="s">
        <v>72</v>
      </c>
      <c r="F283" s="32">
        <v>0</v>
      </c>
      <c r="G283" s="32">
        <v>0</v>
      </c>
      <c r="H283" s="32">
        <v>0</v>
      </c>
      <c r="I283" s="32">
        <v>0</v>
      </c>
      <c r="J283" s="32">
        <v>0.32068621608891346</v>
      </c>
      <c r="K283" s="32">
        <v>1.1141126810944266</v>
      </c>
      <c r="L283" s="32">
        <v>0.20788518892180288</v>
      </c>
      <c r="M283" s="57">
        <f t="shared" si="4"/>
        <v>1.642684086105143</v>
      </c>
    </row>
    <row r="284" spans="1:13" ht="15">
      <c r="A284" t="s">
        <v>102</v>
      </c>
      <c r="B284" t="s">
        <v>174</v>
      </c>
      <c r="C284" t="s">
        <v>175</v>
      </c>
      <c r="D284" t="s">
        <v>78</v>
      </c>
      <c r="E284" t="s">
        <v>72</v>
      </c>
      <c r="F284" s="32">
        <v>0</v>
      </c>
      <c r="G284" s="32">
        <v>0</v>
      </c>
      <c r="H284" s="32">
        <v>0</v>
      </c>
      <c r="I284" s="32">
        <v>0</v>
      </c>
      <c r="J284" s="32">
        <v>0</v>
      </c>
      <c r="K284" s="32">
        <v>0</v>
      </c>
      <c r="L284" s="32">
        <v>0</v>
      </c>
      <c r="M284" s="57">
        <f t="shared" si="4"/>
        <v>0</v>
      </c>
    </row>
    <row r="285" spans="1:13" ht="15">
      <c r="A285" t="s">
        <v>102</v>
      </c>
      <c r="B285" t="s">
        <v>176</v>
      </c>
      <c r="C285" t="s">
        <v>177</v>
      </c>
      <c r="D285" t="s">
        <v>78</v>
      </c>
      <c r="E285" t="s">
        <v>72</v>
      </c>
      <c r="F285" s="32">
        <v>0</v>
      </c>
      <c r="G285" s="32">
        <v>3.2046279224488461</v>
      </c>
      <c r="H285" s="32">
        <v>11.74905341900055</v>
      </c>
      <c r="I285" s="32">
        <v>20.091397211952469</v>
      </c>
      <c r="J285" s="32">
        <v>4.0962742665095799</v>
      </c>
      <c r="K285" s="32">
        <v>0</v>
      </c>
      <c r="L285" s="32">
        <v>0</v>
      </c>
      <c r="M285" s="57">
        <f t="shared" si="4"/>
        <v>39.141352819911447</v>
      </c>
    </row>
    <row r="286" spans="1:13" ht="15">
      <c r="A286" t="s">
        <v>102</v>
      </c>
      <c r="B286" t="s">
        <v>178</v>
      </c>
      <c r="C286" t="s">
        <v>179</v>
      </c>
      <c r="D286" t="s">
        <v>78</v>
      </c>
      <c r="E286" t="s">
        <v>72</v>
      </c>
      <c r="F286" s="32">
        <v>0</v>
      </c>
      <c r="G286" s="32">
        <v>0</v>
      </c>
      <c r="H286" s="32">
        <v>0</v>
      </c>
      <c r="I286" s="32">
        <v>0</v>
      </c>
      <c r="J286" s="32">
        <v>0</v>
      </c>
      <c r="K286" s="32">
        <v>0</v>
      </c>
      <c r="L286" s="32">
        <v>0</v>
      </c>
      <c r="M286" s="57">
        <f t="shared" si="4"/>
        <v>0</v>
      </c>
    </row>
    <row r="287" spans="1:13" ht="15">
      <c r="A287" t="s">
        <v>102</v>
      </c>
      <c r="B287" t="s">
        <v>180</v>
      </c>
      <c r="C287" t="s">
        <v>181</v>
      </c>
      <c r="D287" t="s">
        <v>78</v>
      </c>
      <c r="E287" t="s">
        <v>72</v>
      </c>
      <c r="F287" s="32">
        <v>0</v>
      </c>
      <c r="G287" s="32">
        <v>0</v>
      </c>
      <c r="H287" s="32">
        <v>0</v>
      </c>
      <c r="I287" s="32">
        <v>0</v>
      </c>
      <c r="J287" s="32">
        <v>0</v>
      </c>
      <c r="K287" s="32">
        <v>0</v>
      </c>
      <c r="L287" s="32">
        <v>0</v>
      </c>
      <c r="M287" s="57">
        <f t="shared" si="4"/>
        <v>0</v>
      </c>
    </row>
    <row r="288" spans="1:13" ht="15">
      <c r="A288" t="s">
        <v>102</v>
      </c>
      <c r="B288" t="s">
        <v>182</v>
      </c>
      <c r="C288" t="s">
        <v>183</v>
      </c>
      <c r="D288" t="s">
        <v>78</v>
      </c>
      <c r="E288" t="s">
        <v>72</v>
      </c>
      <c r="F288" s="32">
        <v>0</v>
      </c>
      <c r="G288" s="32">
        <v>0</v>
      </c>
      <c r="H288" s="32">
        <v>0</v>
      </c>
      <c r="I288" s="32">
        <v>0</v>
      </c>
      <c r="J288" s="32">
        <v>0</v>
      </c>
      <c r="K288" s="32">
        <v>0</v>
      </c>
      <c r="L288" s="32">
        <v>0</v>
      </c>
      <c r="M288" s="57">
        <f t="shared" si="4"/>
        <v>0</v>
      </c>
    </row>
    <row r="289" spans="1:13" ht="15">
      <c r="A289" t="s">
        <v>102</v>
      </c>
      <c r="B289" t="s">
        <v>184</v>
      </c>
      <c r="C289" t="s">
        <v>185</v>
      </c>
      <c r="D289" t="s">
        <v>78</v>
      </c>
      <c r="E289" t="s">
        <v>72</v>
      </c>
      <c r="F289" s="32">
        <v>0</v>
      </c>
      <c r="G289" s="32">
        <v>0</v>
      </c>
      <c r="H289" s="32">
        <v>0</v>
      </c>
      <c r="I289" s="32">
        <v>0</v>
      </c>
      <c r="J289" s="32">
        <v>0</v>
      </c>
      <c r="K289" s="32">
        <v>0</v>
      </c>
      <c r="L289" s="32">
        <v>0</v>
      </c>
      <c r="M289" s="57">
        <f t="shared" si="4"/>
        <v>0</v>
      </c>
    </row>
    <row r="290" spans="1:13" ht="15">
      <c r="A290" t="s">
        <v>102</v>
      </c>
      <c r="B290" t="s">
        <v>186</v>
      </c>
      <c r="C290" t="s">
        <v>187</v>
      </c>
      <c r="D290" t="s">
        <v>78</v>
      </c>
      <c r="E290" t="s">
        <v>72</v>
      </c>
      <c r="F290" s="32">
        <v>0</v>
      </c>
      <c r="G290" s="32">
        <v>0</v>
      </c>
      <c r="H290" s="32">
        <v>0</v>
      </c>
      <c r="I290" s="32">
        <v>0</v>
      </c>
      <c r="J290" s="32">
        <v>0</v>
      </c>
      <c r="K290" s="32">
        <v>0</v>
      </c>
      <c r="L290" s="32">
        <v>0</v>
      </c>
      <c r="M290" s="57">
        <f t="shared" si="4"/>
        <v>0</v>
      </c>
    </row>
    <row r="291" spans="1:13" ht="15">
      <c r="A291" t="s">
        <v>102</v>
      </c>
      <c r="B291" t="s">
        <v>188</v>
      </c>
      <c r="C291" t="s">
        <v>189</v>
      </c>
      <c r="D291" t="s">
        <v>78</v>
      </c>
      <c r="E291" t="s">
        <v>72</v>
      </c>
      <c r="F291" s="32">
        <v>0</v>
      </c>
      <c r="G291" s="32">
        <v>0</v>
      </c>
      <c r="H291" s="32">
        <v>0</v>
      </c>
      <c r="I291" s="32">
        <v>0</v>
      </c>
      <c r="J291" s="32">
        <v>0</v>
      </c>
      <c r="K291" s="32">
        <v>0</v>
      </c>
      <c r="L291" s="32">
        <v>0</v>
      </c>
      <c r="M291" s="57">
        <f t="shared" si="4"/>
        <v>0</v>
      </c>
    </row>
    <row r="292" spans="1:13" ht="15">
      <c r="A292" t="s">
        <v>102</v>
      </c>
      <c r="B292" t="s">
        <v>190</v>
      </c>
      <c r="C292" t="s">
        <v>191</v>
      </c>
      <c r="D292" t="s">
        <v>78</v>
      </c>
      <c r="E292" t="s">
        <v>72</v>
      </c>
      <c r="F292" s="32">
        <v>0</v>
      </c>
      <c r="G292" s="32">
        <v>0</v>
      </c>
      <c r="H292" s="32">
        <v>6.0031110021349114</v>
      </c>
      <c r="I292" s="32">
        <v>6.1222811745237644</v>
      </c>
      <c r="J292" s="32">
        <v>12.41954027065217</v>
      </c>
      <c r="K292" s="32">
        <v>12.476976309870009</v>
      </c>
      <c r="L292" s="32">
        <v>12.694457595872185</v>
      </c>
      <c r="M292" s="57">
        <f t="shared" si="4"/>
        <v>49.71636635305304</v>
      </c>
    </row>
    <row r="293" spans="1:13" ht="15">
      <c r="A293" t="s">
        <v>102</v>
      </c>
      <c r="B293" t="s">
        <v>192</v>
      </c>
      <c r="C293" t="s">
        <v>193</v>
      </c>
      <c r="D293" t="s">
        <v>78</v>
      </c>
      <c r="E293" t="s">
        <v>72</v>
      </c>
      <c r="F293" s="32">
        <v>0</v>
      </c>
      <c r="G293" s="32">
        <v>0</v>
      </c>
      <c r="H293" s="32">
        <v>0</v>
      </c>
      <c r="I293" s="32">
        <v>0</v>
      </c>
      <c r="J293" s="32">
        <v>0</v>
      </c>
      <c r="K293" s="32">
        <v>0</v>
      </c>
      <c r="L293" s="32">
        <v>0</v>
      </c>
      <c r="M293" s="57">
        <f t="shared" si="4"/>
        <v>0</v>
      </c>
    </row>
    <row r="294" spans="1:13" ht="15">
      <c r="A294" t="s">
        <v>102</v>
      </c>
      <c r="B294" t="s">
        <v>194</v>
      </c>
      <c r="C294" t="s">
        <v>195</v>
      </c>
      <c r="D294" t="s">
        <v>78</v>
      </c>
      <c r="E294" t="s">
        <v>72</v>
      </c>
      <c r="F294" s="32">
        <v>0</v>
      </c>
      <c r="G294" s="32">
        <v>0</v>
      </c>
      <c r="H294" s="32">
        <v>0</v>
      </c>
      <c r="I294" s="32">
        <v>0</v>
      </c>
      <c r="J294" s="32">
        <v>0</v>
      </c>
      <c r="K294" s="32">
        <v>0</v>
      </c>
      <c r="L294" s="32">
        <v>0</v>
      </c>
      <c r="M294" s="57">
        <f t="shared" si="4"/>
        <v>0</v>
      </c>
    </row>
    <row r="295" spans="1:13" ht="15">
      <c r="A295" t="s">
        <v>102</v>
      </c>
      <c r="B295" t="s">
        <v>196</v>
      </c>
      <c r="C295" t="s">
        <v>197</v>
      </c>
      <c r="D295" t="s">
        <v>78</v>
      </c>
      <c r="E295" t="s">
        <v>72</v>
      </c>
      <c r="F295" s="32">
        <v>0</v>
      </c>
      <c r="G295" s="32">
        <v>0</v>
      </c>
      <c r="H295" s="32">
        <v>0</v>
      </c>
      <c r="I295" s="32">
        <v>0</v>
      </c>
      <c r="J295" s="32">
        <v>0</v>
      </c>
      <c r="K295" s="32">
        <v>0</v>
      </c>
      <c r="L295" s="32">
        <v>0</v>
      </c>
      <c r="M295" s="57">
        <f t="shared" si="4"/>
        <v>0</v>
      </c>
    </row>
    <row r="296" spans="1:13" ht="15">
      <c r="A296" t="s">
        <v>102</v>
      </c>
      <c r="B296" t="s">
        <v>198</v>
      </c>
      <c r="C296" t="s">
        <v>199</v>
      </c>
      <c r="D296" t="s">
        <v>78</v>
      </c>
      <c r="E296" t="s">
        <v>72</v>
      </c>
      <c r="F296" s="32">
        <v>0</v>
      </c>
      <c r="G296" s="32">
        <v>0</v>
      </c>
      <c r="H296" s="32">
        <v>0</v>
      </c>
      <c r="I296" s="32">
        <v>0</v>
      </c>
      <c r="J296" s="32">
        <v>0</v>
      </c>
      <c r="K296" s="32">
        <v>0</v>
      </c>
      <c r="L296" s="32">
        <v>0</v>
      </c>
      <c r="M296" s="57">
        <f t="shared" si="4"/>
        <v>0</v>
      </c>
    </row>
    <row r="297" spans="1:13" ht="15">
      <c r="A297" t="s">
        <v>102</v>
      </c>
      <c r="B297" t="s">
        <v>200</v>
      </c>
      <c r="C297" t="s">
        <v>201</v>
      </c>
      <c r="D297" t="s">
        <v>78</v>
      </c>
      <c r="E297" t="s">
        <v>72</v>
      </c>
      <c r="F297" s="32">
        <v>0</v>
      </c>
      <c r="G297" s="32">
        <v>0</v>
      </c>
      <c r="H297" s="32">
        <v>17.891299981373265</v>
      </c>
      <c r="I297" s="32">
        <v>63.193126709513862</v>
      </c>
      <c r="J297" s="32">
        <v>61.347486289853173</v>
      </c>
      <c r="K297" s="32">
        <v>46.640299268854982</v>
      </c>
      <c r="L297" s="32">
        <v>34.487031413182279</v>
      </c>
      <c r="M297" s="57">
        <f t="shared" si="4"/>
        <v>223.55924366277756</v>
      </c>
    </row>
    <row r="298" spans="1:13" ht="15">
      <c r="A298" t="s">
        <v>102</v>
      </c>
      <c r="B298" t="s">
        <v>202</v>
      </c>
      <c r="C298" t="s">
        <v>203</v>
      </c>
      <c r="D298" t="s">
        <v>78</v>
      </c>
      <c r="E298" t="s">
        <v>72</v>
      </c>
      <c r="F298" s="32">
        <v>0</v>
      </c>
      <c r="G298" s="32">
        <v>0</v>
      </c>
      <c r="H298" s="32">
        <v>2.0463049940975728</v>
      </c>
      <c r="I298" s="32">
        <v>0.67889725499535725</v>
      </c>
      <c r="J298" s="32">
        <v>1.348266656618563</v>
      </c>
      <c r="K298" s="32">
        <v>2.0080580606271603</v>
      </c>
      <c r="L298" s="32">
        <v>0.66543919564658183</v>
      </c>
      <c r="M298" s="57">
        <f t="shared" si="4"/>
        <v>6.7469661619852355</v>
      </c>
    </row>
    <row r="299" spans="1:13" ht="15">
      <c r="A299" t="s">
        <v>102</v>
      </c>
      <c r="B299" t="s">
        <v>204</v>
      </c>
      <c r="C299" t="s">
        <v>205</v>
      </c>
      <c r="D299" t="s">
        <v>78</v>
      </c>
      <c r="E299" t="s">
        <v>72</v>
      </c>
      <c r="F299" s="32">
        <v>0</v>
      </c>
      <c r="G299" s="32">
        <v>0</v>
      </c>
      <c r="H299" s="32">
        <v>0</v>
      </c>
      <c r="I299" s="32">
        <v>0</v>
      </c>
      <c r="J299" s="32">
        <v>0</v>
      </c>
      <c r="K299" s="32">
        <v>0</v>
      </c>
      <c r="L299" s="32">
        <v>0</v>
      </c>
      <c r="M299" s="57">
        <f t="shared" si="4"/>
        <v>0</v>
      </c>
    </row>
    <row r="300" spans="1:13" ht="15">
      <c r="A300" t="s">
        <v>102</v>
      </c>
      <c r="B300" t="s">
        <v>206</v>
      </c>
      <c r="C300" t="s">
        <v>207</v>
      </c>
      <c r="D300" t="s">
        <v>78</v>
      </c>
      <c r="E300" t="s">
        <v>72</v>
      </c>
      <c r="F300" s="32">
        <v>0</v>
      </c>
      <c r="G300" s="32">
        <v>0</v>
      </c>
      <c r="H300" s="32">
        <v>15.080967507879066</v>
      </c>
      <c r="I300" s="32">
        <v>11.746705985607857</v>
      </c>
      <c r="J300" s="32">
        <v>8.8356227434840413</v>
      </c>
      <c r="K300" s="32">
        <v>6.1463637049597741</v>
      </c>
      <c r="L300" s="32">
        <v>5.4032347480975798</v>
      </c>
      <c r="M300" s="57">
        <f t="shared" si="4"/>
        <v>47.212894690028321</v>
      </c>
    </row>
    <row r="301" spans="1:13" ht="15">
      <c r="A301" t="s">
        <v>102</v>
      </c>
      <c r="B301" t="s">
        <v>208</v>
      </c>
      <c r="C301" t="s">
        <v>209</v>
      </c>
      <c r="D301" t="s">
        <v>78</v>
      </c>
      <c r="E301" t="s">
        <v>72</v>
      </c>
      <c r="F301" s="32">
        <v>0</v>
      </c>
      <c r="G301" s="32">
        <v>0</v>
      </c>
      <c r="H301" s="32">
        <v>0</v>
      </c>
      <c r="I301" s="32">
        <v>0</v>
      </c>
      <c r="J301" s="32">
        <v>0</v>
      </c>
      <c r="K301" s="32">
        <v>0</v>
      </c>
      <c r="L301" s="32">
        <v>0</v>
      </c>
      <c r="M301" s="57">
        <f t="shared" si="4"/>
        <v>0</v>
      </c>
    </row>
    <row r="302" spans="1:13" ht="15">
      <c r="A302" t="s">
        <v>102</v>
      </c>
      <c r="B302" t="s">
        <v>210</v>
      </c>
      <c r="C302" t="s">
        <v>211</v>
      </c>
      <c r="D302" t="s">
        <v>78</v>
      </c>
      <c r="E302" t="s">
        <v>72</v>
      </c>
      <c r="F302" s="32">
        <v>0</v>
      </c>
      <c r="G302" s="32">
        <v>0</v>
      </c>
      <c r="H302" s="32">
        <v>0</v>
      </c>
      <c r="I302" s="32">
        <v>0</v>
      </c>
      <c r="J302" s="32">
        <v>0</v>
      </c>
      <c r="K302" s="32">
        <v>0</v>
      </c>
      <c r="L302" s="32">
        <v>0</v>
      </c>
      <c r="M302" s="57">
        <f t="shared" si="4"/>
        <v>0</v>
      </c>
    </row>
    <row r="303" spans="1:13" ht="15">
      <c r="A303" t="s">
        <v>102</v>
      </c>
      <c r="B303" t="s">
        <v>212</v>
      </c>
      <c r="C303" t="s">
        <v>213</v>
      </c>
      <c r="D303" t="s">
        <v>78</v>
      </c>
      <c r="E303" t="s">
        <v>72</v>
      </c>
      <c r="F303" s="32">
        <v>0</v>
      </c>
      <c r="G303" s="32">
        <v>0</v>
      </c>
      <c r="H303" s="32">
        <v>0</v>
      </c>
      <c r="I303" s="32">
        <v>0</v>
      </c>
      <c r="J303" s="32">
        <v>0</v>
      </c>
      <c r="K303" s="32">
        <v>0</v>
      </c>
      <c r="L303" s="32">
        <v>0</v>
      </c>
      <c r="M303" s="57">
        <f t="shared" si="4"/>
        <v>0</v>
      </c>
    </row>
    <row r="304" spans="1:13" ht="15">
      <c r="A304" t="s">
        <v>102</v>
      </c>
      <c r="B304" t="s">
        <v>214</v>
      </c>
      <c r="C304" t="s">
        <v>215</v>
      </c>
      <c r="D304" t="s">
        <v>78</v>
      </c>
      <c r="E304" t="s">
        <v>72</v>
      </c>
      <c r="F304" s="32">
        <v>0</v>
      </c>
      <c r="G304" s="32">
        <v>0</v>
      </c>
      <c r="H304" s="32">
        <v>0</v>
      </c>
      <c r="I304" s="32">
        <v>0</v>
      </c>
      <c r="J304" s="32">
        <v>0</v>
      </c>
      <c r="K304" s="32">
        <v>0</v>
      </c>
      <c r="L304" s="32">
        <v>0</v>
      </c>
      <c r="M304" s="57">
        <f t="shared" si="4"/>
        <v>0</v>
      </c>
    </row>
    <row r="305" spans="1:13" ht="15">
      <c r="A305" t="s">
        <v>102</v>
      </c>
      <c r="B305" t="s">
        <v>216</v>
      </c>
      <c r="C305" t="s">
        <v>217</v>
      </c>
      <c r="D305" t="s">
        <v>78</v>
      </c>
      <c r="E305" t="s">
        <v>72</v>
      </c>
      <c r="F305" s="32">
        <v>0</v>
      </c>
      <c r="G305" s="32">
        <v>0</v>
      </c>
      <c r="H305" s="32">
        <v>56.426467091975077</v>
      </c>
      <c r="I305" s="32">
        <v>47.078585529504672</v>
      </c>
      <c r="J305" s="32">
        <v>21.027853274931282</v>
      </c>
      <c r="K305" s="32">
        <v>5.4300971272825365</v>
      </c>
      <c r="L305" s="32">
        <v>5.392776498051723</v>
      </c>
      <c r="M305" s="57">
        <f t="shared" si="4"/>
        <v>135.35577952174526</v>
      </c>
    </row>
    <row r="306" spans="1:13" ht="15">
      <c r="A306" t="s">
        <v>103</v>
      </c>
      <c r="B306" t="s">
        <v>132</v>
      </c>
      <c r="C306" t="s">
        <v>133</v>
      </c>
      <c r="D306" t="s">
        <v>78</v>
      </c>
      <c r="E306" t="s">
        <v>72</v>
      </c>
      <c r="F306" s="32">
        <v>0</v>
      </c>
      <c r="G306" s="32">
        <v>0</v>
      </c>
      <c r="H306" s="32">
        <v>431.51160381327475</v>
      </c>
      <c r="I306" s="32">
        <v>575.57334313110027</v>
      </c>
      <c r="J306" s="32">
        <v>735.11545029724573</v>
      </c>
      <c r="K306" s="32">
        <v>1106.0967071061377</v>
      </c>
      <c r="L306" s="32">
        <v>1752.5920358719834</v>
      </c>
      <c r="M306" s="57">
        <f t="shared" si="4"/>
        <v>4600.8891402197414</v>
      </c>
    </row>
    <row r="307" spans="1:13" ht="15">
      <c r="A307" t="s">
        <v>103</v>
      </c>
      <c r="B307" t="s">
        <v>134</v>
      </c>
      <c r="C307" t="s">
        <v>135</v>
      </c>
      <c r="D307" t="s">
        <v>78</v>
      </c>
      <c r="E307" t="s">
        <v>72</v>
      </c>
      <c r="F307" s="32">
        <v>0</v>
      </c>
      <c r="G307" s="32">
        <v>0</v>
      </c>
      <c r="H307" s="32">
        <v>1.6267571508338052</v>
      </c>
      <c r="I307" s="32">
        <v>0</v>
      </c>
      <c r="J307" s="32">
        <v>0</v>
      </c>
      <c r="K307" s="32">
        <v>0</v>
      </c>
      <c r="L307" s="32">
        <v>0</v>
      </c>
      <c r="M307" s="57">
        <f t="shared" si="4"/>
        <v>1.6267571508338052</v>
      </c>
    </row>
    <row r="308" spans="1:13" ht="15">
      <c r="A308" t="s">
        <v>103</v>
      </c>
      <c r="B308" t="s">
        <v>136</v>
      </c>
      <c r="C308" t="s">
        <v>137</v>
      </c>
      <c r="D308" t="s">
        <v>78</v>
      </c>
      <c r="E308" t="s">
        <v>72</v>
      </c>
      <c r="F308" s="32">
        <v>0</v>
      </c>
      <c r="G308" s="32">
        <v>0</v>
      </c>
      <c r="H308" s="32">
        <v>14.099552389205513</v>
      </c>
      <c r="I308" s="32">
        <v>26.163422347649544</v>
      </c>
      <c r="J308" s="32">
        <v>0</v>
      </c>
      <c r="K308" s="32">
        <v>0</v>
      </c>
      <c r="L308" s="32">
        <v>0.86136003585213738</v>
      </c>
      <c r="M308" s="57">
        <f t="shared" si="4"/>
        <v>41.124334772707194</v>
      </c>
    </row>
    <row r="309" spans="1:13" ht="15">
      <c r="A309" t="s">
        <v>103</v>
      </c>
      <c r="B309" t="s">
        <v>138</v>
      </c>
      <c r="C309" t="s">
        <v>139</v>
      </c>
      <c r="D309" t="s">
        <v>78</v>
      </c>
      <c r="E309" t="s">
        <v>72</v>
      </c>
      <c r="F309" s="32">
        <v>0</v>
      </c>
      <c r="G309" s="32">
        <v>0</v>
      </c>
      <c r="H309" s="32">
        <v>8.3145026303734966</v>
      </c>
      <c r="I309" s="32">
        <v>8.2705514403322411</v>
      </c>
      <c r="J309" s="32">
        <v>8.2198027652105772</v>
      </c>
      <c r="K309" s="32">
        <v>8.1590985093550135</v>
      </c>
      <c r="L309" s="32">
        <v>7.9779246947386726</v>
      </c>
      <c r="M309" s="57">
        <f t="shared" si="4"/>
        <v>40.941880040010005</v>
      </c>
    </row>
    <row r="310" spans="1:13" ht="15">
      <c r="A310" t="s">
        <v>103</v>
      </c>
      <c r="B310" t="s">
        <v>140</v>
      </c>
      <c r="C310" t="s">
        <v>141</v>
      </c>
      <c r="D310" t="s">
        <v>78</v>
      </c>
      <c r="E310" t="s">
        <v>72</v>
      </c>
      <c r="F310" s="32">
        <v>0</v>
      </c>
      <c r="G310" s="32">
        <v>0</v>
      </c>
      <c r="H310" s="32">
        <v>3.7199999138701814</v>
      </c>
      <c r="I310" s="32">
        <v>3.7168866902591491</v>
      </c>
      <c r="J310" s="32">
        <v>0.92743644320780061</v>
      </c>
      <c r="K310" s="32">
        <v>0.46262617436749515</v>
      </c>
      <c r="L310" s="32">
        <v>0.4619670864928952</v>
      </c>
      <c r="M310" s="57">
        <f t="shared" si="4"/>
        <v>9.288916308197523</v>
      </c>
    </row>
    <row r="311" spans="1:13" ht="15">
      <c r="A311" t="s">
        <v>103</v>
      </c>
      <c r="B311" t="s">
        <v>142</v>
      </c>
      <c r="C311" t="s">
        <v>143</v>
      </c>
      <c r="D311" t="s">
        <v>78</v>
      </c>
      <c r="E311" t="s">
        <v>72</v>
      </c>
      <c r="F311" s="32">
        <v>0</v>
      </c>
      <c r="G311" s="32">
        <v>0</v>
      </c>
      <c r="H311" s="32">
        <v>0</v>
      </c>
      <c r="I311" s="32">
        <v>0</v>
      </c>
      <c r="J311" s="32">
        <v>0</v>
      </c>
      <c r="K311" s="32">
        <v>0</v>
      </c>
      <c r="L311" s="32">
        <v>0</v>
      </c>
      <c r="M311" s="57">
        <f t="shared" si="4"/>
        <v>0</v>
      </c>
    </row>
    <row r="312" spans="1:13" ht="15">
      <c r="A312" t="s">
        <v>103</v>
      </c>
      <c r="B312" t="s">
        <v>144</v>
      </c>
      <c r="C312" t="s">
        <v>145</v>
      </c>
      <c r="D312" t="s">
        <v>78</v>
      </c>
      <c r="E312" t="s">
        <v>72</v>
      </c>
      <c r="F312" s="32">
        <v>0</v>
      </c>
      <c r="G312" s="32">
        <v>0</v>
      </c>
      <c r="H312" s="32">
        <v>25.77652791899467</v>
      </c>
      <c r="I312" s="32">
        <v>24.841746404031959</v>
      </c>
      <c r="J312" s="32">
        <v>98.110258450199964</v>
      </c>
      <c r="K312" s="32">
        <v>200.6766705210137</v>
      </c>
      <c r="L312" s="32">
        <v>369.26812543922091</v>
      </c>
      <c r="M312" s="57">
        <f t="shared" si="4"/>
        <v>718.67332873346118</v>
      </c>
    </row>
    <row r="313" spans="1:13" ht="15">
      <c r="A313" t="s">
        <v>103</v>
      </c>
      <c r="B313" t="s">
        <v>146</v>
      </c>
      <c r="C313" t="s">
        <v>147</v>
      </c>
      <c r="D313" t="s">
        <v>78</v>
      </c>
      <c r="E313" t="s">
        <v>72</v>
      </c>
      <c r="F313" s="32">
        <v>0</v>
      </c>
      <c r="G313" s="32">
        <v>0</v>
      </c>
      <c r="H313" s="32">
        <v>0.41648537012200809</v>
      </c>
      <c r="I313" s="32">
        <v>0.27855484082795301</v>
      </c>
      <c r="J313" s="32">
        <v>19.684251809714326</v>
      </c>
      <c r="K313" s="32">
        <v>48.652041694399003</v>
      </c>
      <c r="L313" s="32">
        <v>121.17097254578132</v>
      </c>
      <c r="M313" s="57">
        <f t="shared" si="4"/>
        <v>190.20230626084461</v>
      </c>
    </row>
    <row r="314" spans="1:13" ht="15">
      <c r="A314" t="s">
        <v>103</v>
      </c>
      <c r="B314" t="s">
        <v>148</v>
      </c>
      <c r="C314" t="s">
        <v>149</v>
      </c>
      <c r="D314" t="s">
        <v>78</v>
      </c>
      <c r="E314" t="s">
        <v>72</v>
      </c>
      <c r="F314" s="32">
        <v>0</v>
      </c>
      <c r="G314" s="32">
        <v>0</v>
      </c>
      <c r="H314" s="32">
        <v>1.7352076275560588</v>
      </c>
      <c r="I314" s="32">
        <v>2.5732898735572776</v>
      </c>
      <c r="J314" s="32">
        <v>2.7288485718118034</v>
      </c>
      <c r="K314" s="32">
        <v>8.2611816851338435E-2</v>
      </c>
      <c r="L314" s="32">
        <v>8.3045922739107408E-2</v>
      </c>
      <c r="M314" s="57">
        <f t="shared" si="4"/>
        <v>7.2030038125155862</v>
      </c>
    </row>
    <row r="315" spans="1:13" ht="15">
      <c r="A315" t="s">
        <v>103</v>
      </c>
      <c r="B315" t="s">
        <v>150</v>
      </c>
      <c r="C315" t="s">
        <v>151</v>
      </c>
      <c r="D315" t="s">
        <v>78</v>
      </c>
      <c r="E315" t="s">
        <v>72</v>
      </c>
      <c r="F315" s="32">
        <v>0</v>
      </c>
      <c r="G315" s="32">
        <v>0</v>
      </c>
      <c r="H315" s="32">
        <v>0</v>
      </c>
      <c r="I315" s="32">
        <v>0</v>
      </c>
      <c r="J315" s="32">
        <v>0</v>
      </c>
      <c r="K315" s="32">
        <v>0</v>
      </c>
      <c r="L315" s="32">
        <v>0</v>
      </c>
      <c r="M315" s="57">
        <f t="shared" si="4"/>
        <v>0</v>
      </c>
    </row>
    <row r="316" spans="1:13" ht="15">
      <c r="A316" t="s">
        <v>103</v>
      </c>
      <c r="B316" t="s">
        <v>152</v>
      </c>
      <c r="C316" t="s">
        <v>153</v>
      </c>
      <c r="D316" t="s">
        <v>78</v>
      </c>
      <c r="E316" t="s">
        <v>72</v>
      </c>
      <c r="F316" s="32">
        <v>0</v>
      </c>
      <c r="G316" s="32">
        <v>0</v>
      </c>
      <c r="H316" s="32">
        <v>0</v>
      </c>
      <c r="I316" s="32">
        <v>0</v>
      </c>
      <c r="J316" s="32">
        <v>15.043328515414197</v>
      </c>
      <c r="K316" s="32">
        <v>0.40061871654260822</v>
      </c>
      <c r="L316" s="32">
        <v>0.39891012422703809</v>
      </c>
      <c r="M316" s="57">
        <f t="shared" si="4"/>
        <v>15.842857356183844</v>
      </c>
    </row>
    <row r="317" spans="1:13" ht="15">
      <c r="A317" t="s">
        <v>103</v>
      </c>
      <c r="B317" t="s">
        <v>154</v>
      </c>
      <c r="C317" t="s">
        <v>155</v>
      </c>
      <c r="D317" t="s">
        <v>78</v>
      </c>
      <c r="E317" t="s">
        <v>72</v>
      </c>
      <c r="F317" s="32">
        <v>0</v>
      </c>
      <c r="G317" s="32">
        <v>0</v>
      </c>
      <c r="H317" s="32">
        <v>26.168602438039336</v>
      </c>
      <c r="I317" s="32">
        <v>38.074520574196875</v>
      </c>
      <c r="J317" s="32">
        <v>167.58874186904328</v>
      </c>
      <c r="K317" s="32">
        <v>362.87458347442492</v>
      </c>
      <c r="L317" s="32">
        <v>588.5093613202265</v>
      </c>
      <c r="M317" s="57">
        <f t="shared" si="4"/>
        <v>1183.2158096759308</v>
      </c>
    </row>
    <row r="318" spans="1:13" ht="15">
      <c r="A318" t="s">
        <v>103</v>
      </c>
      <c r="B318" t="s">
        <v>156</v>
      </c>
      <c r="C318" t="s">
        <v>157</v>
      </c>
      <c r="D318" t="s">
        <v>78</v>
      </c>
      <c r="E318" t="s">
        <v>72</v>
      </c>
      <c r="F318" s="32">
        <v>0</v>
      </c>
      <c r="G318" s="32">
        <v>0</v>
      </c>
      <c r="H318" s="32">
        <v>0.10339935862834049</v>
      </c>
      <c r="I318" s="32">
        <v>0.32983822728444739</v>
      </c>
      <c r="J318" s="32">
        <v>0.66884695350005119</v>
      </c>
      <c r="K318" s="32">
        <v>0.95606169690190113</v>
      </c>
      <c r="L318" s="32">
        <v>4.2585176660402749E-2</v>
      </c>
      <c r="M318" s="57">
        <f t="shared" si="4"/>
        <v>2.1007314129751427</v>
      </c>
    </row>
    <row r="319" spans="1:13" ht="15">
      <c r="A319" t="s">
        <v>103</v>
      </c>
      <c r="B319" t="s">
        <v>158</v>
      </c>
      <c r="C319" t="s">
        <v>159</v>
      </c>
      <c r="D319" t="s">
        <v>78</v>
      </c>
      <c r="E319" t="s">
        <v>72</v>
      </c>
      <c r="F319" s="32">
        <v>0</v>
      </c>
      <c r="G319" s="32">
        <v>0</v>
      </c>
      <c r="H319" s="32">
        <v>31.578303445365417</v>
      </c>
      <c r="I319" s="32">
        <v>29.992053153939541</v>
      </c>
      <c r="J319" s="32">
        <v>0.62179874997706208</v>
      </c>
      <c r="K319" s="32">
        <v>0.69041027373931541</v>
      </c>
      <c r="L319" s="32">
        <v>6.1109623938283004</v>
      </c>
      <c r="M319" s="57">
        <f t="shared" si="4"/>
        <v>68.993528016849638</v>
      </c>
    </row>
    <row r="320" spans="1:13" ht="15">
      <c r="A320" t="s">
        <v>103</v>
      </c>
      <c r="B320" t="s">
        <v>160</v>
      </c>
      <c r="C320" t="s">
        <v>161</v>
      </c>
      <c r="D320" t="s">
        <v>78</v>
      </c>
      <c r="E320" t="s">
        <v>72</v>
      </c>
      <c r="F320" s="32">
        <v>0</v>
      </c>
      <c r="G320" s="32">
        <v>0</v>
      </c>
      <c r="H320" s="32">
        <v>0</v>
      </c>
      <c r="I320" s="32">
        <v>0</v>
      </c>
      <c r="J320" s="32">
        <v>0</v>
      </c>
      <c r="K320" s="32">
        <v>0</v>
      </c>
      <c r="L320" s="32">
        <v>0</v>
      </c>
      <c r="M320" s="57">
        <f t="shared" si="4"/>
        <v>0</v>
      </c>
    </row>
    <row r="321" spans="1:13" ht="15">
      <c r="A321" t="s">
        <v>103</v>
      </c>
      <c r="B321" t="s">
        <v>162</v>
      </c>
      <c r="C321" t="s">
        <v>163</v>
      </c>
      <c r="D321" t="s">
        <v>78</v>
      </c>
      <c r="E321" t="s">
        <v>72</v>
      </c>
      <c r="F321" s="32">
        <v>0</v>
      </c>
      <c r="G321" s="32">
        <v>0</v>
      </c>
      <c r="H321" s="32">
        <v>0</v>
      </c>
      <c r="I321" s="32">
        <v>0</v>
      </c>
      <c r="J321" s="32">
        <v>0</v>
      </c>
      <c r="K321" s="32">
        <v>0</v>
      </c>
      <c r="L321" s="32">
        <v>0</v>
      </c>
      <c r="M321" s="57">
        <f t="shared" si="4"/>
        <v>0</v>
      </c>
    </row>
    <row r="322" spans="1:13" ht="15">
      <c r="A322" t="s">
        <v>103</v>
      </c>
      <c r="B322" t="s">
        <v>164</v>
      </c>
      <c r="C322" t="s">
        <v>165</v>
      </c>
      <c r="D322" t="s">
        <v>78</v>
      </c>
      <c r="E322" t="s">
        <v>72</v>
      </c>
      <c r="F322" s="32">
        <v>0</v>
      </c>
      <c r="G322" s="32">
        <v>0</v>
      </c>
      <c r="H322" s="32">
        <v>0</v>
      </c>
      <c r="I322" s="32">
        <v>0</v>
      </c>
      <c r="J322" s="32">
        <v>0</v>
      </c>
      <c r="K322" s="32">
        <v>0</v>
      </c>
      <c r="L322" s="32">
        <v>0</v>
      </c>
      <c r="M322" s="57">
        <f t="shared" si="4"/>
        <v>0</v>
      </c>
    </row>
    <row r="323" spans="1:13" ht="15">
      <c r="A323" t="s">
        <v>103</v>
      </c>
      <c r="B323" t="s">
        <v>166</v>
      </c>
      <c r="C323" t="s">
        <v>167</v>
      </c>
      <c r="D323" t="s">
        <v>78</v>
      </c>
      <c r="E323" t="s">
        <v>72</v>
      </c>
      <c r="F323" s="32">
        <v>0</v>
      </c>
      <c r="G323" s="32">
        <v>0</v>
      </c>
      <c r="H323" s="32">
        <v>0</v>
      </c>
      <c r="I323" s="32">
        <v>0</v>
      </c>
      <c r="J323" s="32">
        <v>0</v>
      </c>
      <c r="K323" s="32">
        <v>0</v>
      </c>
      <c r="L323" s="32">
        <v>0</v>
      </c>
      <c r="M323" s="57">
        <f t="shared" si="4"/>
        <v>0</v>
      </c>
    </row>
    <row r="324" spans="1:13" ht="15">
      <c r="A324" t="s">
        <v>103</v>
      </c>
      <c r="B324" t="s">
        <v>168</v>
      </c>
      <c r="C324" t="s">
        <v>169</v>
      </c>
      <c r="D324" t="s">
        <v>78</v>
      </c>
      <c r="E324" t="s">
        <v>72</v>
      </c>
      <c r="F324" s="32">
        <v>0</v>
      </c>
      <c r="G324" s="32">
        <v>0</v>
      </c>
      <c r="H324" s="32">
        <v>1.8639616181852183</v>
      </c>
      <c r="I324" s="32">
        <v>1.8619899927347834</v>
      </c>
      <c r="J324" s="32">
        <v>1.9053962399518367</v>
      </c>
      <c r="K324" s="32">
        <v>1.9467231665085984</v>
      </c>
      <c r="L324" s="32">
        <v>1.9438539822537584</v>
      </c>
      <c r="M324" s="57">
        <f t="shared" si="4"/>
        <v>9.5219249996341961</v>
      </c>
    </row>
    <row r="325" spans="1:13" ht="15">
      <c r="A325" t="s">
        <v>103</v>
      </c>
      <c r="B325" t="s">
        <v>170</v>
      </c>
      <c r="C325" t="s">
        <v>171</v>
      </c>
      <c r="D325" t="s">
        <v>78</v>
      </c>
      <c r="E325" t="s">
        <v>72</v>
      </c>
      <c r="F325" s="32">
        <v>0</v>
      </c>
      <c r="G325" s="32">
        <v>0</v>
      </c>
      <c r="H325" s="32">
        <v>0</v>
      </c>
      <c r="I325" s="32">
        <v>0</v>
      </c>
      <c r="J325" s="32">
        <v>0</v>
      </c>
      <c r="K325" s="32">
        <v>0</v>
      </c>
      <c r="L325" s="32">
        <v>0</v>
      </c>
      <c r="M325" s="57">
        <f t="shared" si="4"/>
        <v>0</v>
      </c>
    </row>
    <row r="326" spans="1:13" ht="15">
      <c r="A326" t="s">
        <v>103</v>
      </c>
      <c r="B326" t="s">
        <v>172</v>
      </c>
      <c r="C326" t="s">
        <v>173</v>
      </c>
      <c r="D326" t="s">
        <v>78</v>
      </c>
      <c r="E326" t="s">
        <v>72</v>
      </c>
      <c r="F326" s="32">
        <v>0</v>
      </c>
      <c r="G326" s="32">
        <v>0</v>
      </c>
      <c r="H326" s="32">
        <v>0</v>
      </c>
      <c r="I326" s="32">
        <v>0</v>
      </c>
      <c r="J326" s="32">
        <v>0</v>
      </c>
      <c r="K326" s="32">
        <v>0</v>
      </c>
      <c r="L326" s="32">
        <v>0</v>
      </c>
      <c r="M326" s="57">
        <f t="shared" ref="M326:M389" si="5">SUM(F326:L326)</f>
        <v>0</v>
      </c>
    </row>
    <row r="327" spans="1:13" ht="15">
      <c r="A327" t="s">
        <v>103</v>
      </c>
      <c r="B327" t="s">
        <v>174</v>
      </c>
      <c r="C327" t="s">
        <v>175</v>
      </c>
      <c r="D327" t="s">
        <v>78</v>
      </c>
      <c r="E327" t="s">
        <v>72</v>
      </c>
      <c r="F327" s="32">
        <v>0</v>
      </c>
      <c r="G327" s="32">
        <v>0</v>
      </c>
      <c r="H327" s="32">
        <v>0</v>
      </c>
      <c r="I327" s="32">
        <v>0</v>
      </c>
      <c r="J327" s="32">
        <v>0</v>
      </c>
      <c r="K327" s="32">
        <v>0</v>
      </c>
      <c r="L327" s="32">
        <v>0</v>
      </c>
      <c r="M327" s="57">
        <f t="shared" si="5"/>
        <v>0</v>
      </c>
    </row>
    <row r="328" spans="1:13" ht="15">
      <c r="A328" t="s">
        <v>103</v>
      </c>
      <c r="B328" t="s">
        <v>176</v>
      </c>
      <c r="C328" t="s">
        <v>177</v>
      </c>
      <c r="D328" t="s">
        <v>78</v>
      </c>
      <c r="E328" t="s">
        <v>72</v>
      </c>
      <c r="F328" s="32">
        <v>0</v>
      </c>
      <c r="G328" s="32">
        <v>0</v>
      </c>
      <c r="H328" s="32">
        <v>17.164584326448576</v>
      </c>
      <c r="I328" s="32">
        <v>15.932901018349822</v>
      </c>
      <c r="J328" s="32">
        <v>6.2611995090866799</v>
      </c>
      <c r="K328" s="32">
        <v>0.86799485190968728</v>
      </c>
      <c r="L328" s="32">
        <v>0.13616999422910497</v>
      </c>
      <c r="M328" s="57">
        <f t="shared" si="5"/>
        <v>40.362849700023872</v>
      </c>
    </row>
    <row r="329" spans="1:13" ht="15">
      <c r="A329" t="s">
        <v>103</v>
      </c>
      <c r="B329" t="s">
        <v>178</v>
      </c>
      <c r="C329" t="s">
        <v>179</v>
      </c>
      <c r="D329" t="s">
        <v>78</v>
      </c>
      <c r="E329" t="s">
        <v>72</v>
      </c>
      <c r="F329" s="32">
        <v>0</v>
      </c>
      <c r="G329" s="32">
        <v>0</v>
      </c>
      <c r="H329" s="32">
        <v>0</v>
      </c>
      <c r="I329" s="32">
        <v>0</v>
      </c>
      <c r="J329" s="32">
        <v>1.7624425652175266E-3</v>
      </c>
      <c r="K329" s="32">
        <v>6.5603501617239338E-2</v>
      </c>
      <c r="L329" s="32">
        <v>9.3861205700479552E-2</v>
      </c>
      <c r="M329" s="57">
        <f t="shared" si="5"/>
        <v>0.1612271498829364</v>
      </c>
    </row>
    <row r="330" spans="1:13" ht="15">
      <c r="A330" t="s">
        <v>103</v>
      </c>
      <c r="B330" t="s">
        <v>180</v>
      </c>
      <c r="C330" t="s">
        <v>181</v>
      </c>
      <c r="D330" t="s">
        <v>78</v>
      </c>
      <c r="E330" t="s">
        <v>72</v>
      </c>
      <c r="F330" s="32">
        <v>0</v>
      </c>
      <c r="G330" s="32">
        <v>0</v>
      </c>
      <c r="H330" s="32">
        <v>0</v>
      </c>
      <c r="I330" s="32">
        <v>0</v>
      </c>
      <c r="J330" s="32">
        <v>0</v>
      </c>
      <c r="K330" s="32">
        <v>0</v>
      </c>
      <c r="L330" s="32">
        <v>0</v>
      </c>
      <c r="M330" s="57">
        <f t="shared" si="5"/>
        <v>0</v>
      </c>
    </row>
    <row r="331" spans="1:13" ht="15">
      <c r="A331" t="s">
        <v>103</v>
      </c>
      <c r="B331" t="s">
        <v>182</v>
      </c>
      <c r="C331" t="s">
        <v>183</v>
      </c>
      <c r="D331" t="s">
        <v>78</v>
      </c>
      <c r="E331" t="s">
        <v>72</v>
      </c>
      <c r="F331" s="32">
        <v>0</v>
      </c>
      <c r="G331" s="32">
        <v>0</v>
      </c>
      <c r="H331" s="32">
        <v>0</v>
      </c>
      <c r="I331" s="32">
        <v>0</v>
      </c>
      <c r="J331" s="32">
        <v>0</v>
      </c>
      <c r="K331" s="32">
        <v>0</v>
      </c>
      <c r="L331" s="32">
        <v>0</v>
      </c>
      <c r="M331" s="57">
        <f t="shared" si="5"/>
        <v>0</v>
      </c>
    </row>
    <row r="332" spans="1:13" ht="15">
      <c r="A332" t="s">
        <v>103</v>
      </c>
      <c r="B332" t="s">
        <v>184</v>
      </c>
      <c r="C332" t="s">
        <v>185</v>
      </c>
      <c r="D332" t="s">
        <v>78</v>
      </c>
      <c r="E332" t="s">
        <v>72</v>
      </c>
      <c r="F332" s="32">
        <v>0</v>
      </c>
      <c r="G332" s="32">
        <v>0</v>
      </c>
      <c r="H332" s="32">
        <v>0</v>
      </c>
      <c r="I332" s="32">
        <v>0</v>
      </c>
      <c r="J332" s="32">
        <v>0</v>
      </c>
      <c r="K332" s="32">
        <v>0</v>
      </c>
      <c r="L332" s="32">
        <v>0</v>
      </c>
      <c r="M332" s="57">
        <f t="shared" si="5"/>
        <v>0</v>
      </c>
    </row>
    <row r="333" spans="1:13" ht="15">
      <c r="A333" t="s">
        <v>103</v>
      </c>
      <c r="B333" t="s">
        <v>186</v>
      </c>
      <c r="C333" t="s">
        <v>187</v>
      </c>
      <c r="D333" t="s">
        <v>78</v>
      </c>
      <c r="E333" t="s">
        <v>72</v>
      </c>
      <c r="F333" s="32">
        <v>0</v>
      </c>
      <c r="G333" s="32">
        <v>0</v>
      </c>
      <c r="H333" s="32">
        <v>0</v>
      </c>
      <c r="I333" s="32">
        <v>0</v>
      </c>
      <c r="J333" s="32">
        <v>0</v>
      </c>
      <c r="K333" s="32">
        <v>0</v>
      </c>
      <c r="L333" s="32">
        <v>0</v>
      </c>
      <c r="M333" s="57">
        <f t="shared" si="5"/>
        <v>0</v>
      </c>
    </row>
    <row r="334" spans="1:13" ht="15">
      <c r="A334" t="s">
        <v>103</v>
      </c>
      <c r="B334" t="s">
        <v>188</v>
      </c>
      <c r="C334" t="s">
        <v>189</v>
      </c>
      <c r="D334" t="s">
        <v>78</v>
      </c>
      <c r="E334" t="s">
        <v>72</v>
      </c>
      <c r="F334" s="32">
        <v>0</v>
      </c>
      <c r="G334" s="32">
        <v>0</v>
      </c>
      <c r="H334" s="32">
        <v>0</v>
      </c>
      <c r="I334" s="32">
        <v>0</v>
      </c>
      <c r="J334" s="32">
        <v>0</v>
      </c>
      <c r="K334" s="32">
        <v>0</v>
      </c>
      <c r="L334" s="32">
        <v>0</v>
      </c>
      <c r="M334" s="57">
        <f t="shared" si="5"/>
        <v>0</v>
      </c>
    </row>
    <row r="335" spans="1:13" ht="15">
      <c r="A335" t="s">
        <v>103</v>
      </c>
      <c r="B335" t="s">
        <v>190</v>
      </c>
      <c r="C335" t="s">
        <v>191</v>
      </c>
      <c r="D335" t="s">
        <v>78</v>
      </c>
      <c r="E335" t="s">
        <v>72</v>
      </c>
      <c r="F335" s="32">
        <v>0</v>
      </c>
      <c r="G335" s="32">
        <v>0</v>
      </c>
      <c r="H335" s="32">
        <v>0</v>
      </c>
      <c r="I335" s="32">
        <v>0</v>
      </c>
      <c r="J335" s="32">
        <v>0</v>
      </c>
      <c r="K335" s="32">
        <v>0</v>
      </c>
      <c r="L335" s="32">
        <v>0</v>
      </c>
      <c r="M335" s="57">
        <f t="shared" si="5"/>
        <v>0</v>
      </c>
    </row>
    <row r="336" spans="1:13" ht="15">
      <c r="A336" t="s">
        <v>103</v>
      </c>
      <c r="B336" t="s">
        <v>192</v>
      </c>
      <c r="C336" t="s">
        <v>193</v>
      </c>
      <c r="D336" t="s">
        <v>78</v>
      </c>
      <c r="E336" t="s">
        <v>72</v>
      </c>
      <c r="F336" s="32">
        <v>0</v>
      </c>
      <c r="G336" s="32">
        <v>0</v>
      </c>
      <c r="H336" s="32">
        <v>0</v>
      </c>
      <c r="I336" s="32">
        <v>0</v>
      </c>
      <c r="J336" s="32">
        <v>0</v>
      </c>
      <c r="K336" s="32">
        <v>0</v>
      </c>
      <c r="L336" s="32">
        <v>0</v>
      </c>
      <c r="M336" s="57">
        <f t="shared" si="5"/>
        <v>0</v>
      </c>
    </row>
    <row r="337" spans="1:13" ht="15">
      <c r="A337" t="s">
        <v>103</v>
      </c>
      <c r="B337" t="s">
        <v>194</v>
      </c>
      <c r="C337" t="s">
        <v>195</v>
      </c>
      <c r="D337" t="s">
        <v>78</v>
      </c>
      <c r="E337" t="s">
        <v>72</v>
      </c>
      <c r="F337" s="32">
        <v>0</v>
      </c>
      <c r="G337" s="32">
        <v>0</v>
      </c>
      <c r="H337" s="32">
        <v>0</v>
      </c>
      <c r="I337" s="32">
        <v>0</v>
      </c>
      <c r="J337" s="32">
        <v>0</v>
      </c>
      <c r="K337" s="32">
        <v>0</v>
      </c>
      <c r="L337" s="32">
        <v>0</v>
      </c>
      <c r="M337" s="57">
        <f t="shared" si="5"/>
        <v>0</v>
      </c>
    </row>
    <row r="338" spans="1:13" ht="15">
      <c r="A338" t="s">
        <v>103</v>
      </c>
      <c r="B338" t="s">
        <v>196</v>
      </c>
      <c r="C338" t="s">
        <v>197</v>
      </c>
      <c r="D338" t="s">
        <v>78</v>
      </c>
      <c r="E338" t="s">
        <v>72</v>
      </c>
      <c r="F338" s="32">
        <v>0</v>
      </c>
      <c r="G338" s="32">
        <v>0</v>
      </c>
      <c r="H338" s="32">
        <v>0</v>
      </c>
      <c r="I338" s="32">
        <v>0</v>
      </c>
      <c r="J338" s="32">
        <v>0</v>
      </c>
      <c r="K338" s="32">
        <v>0</v>
      </c>
      <c r="L338" s="32">
        <v>0</v>
      </c>
      <c r="M338" s="57">
        <f t="shared" si="5"/>
        <v>0</v>
      </c>
    </row>
    <row r="339" spans="1:13" ht="15">
      <c r="A339" t="s">
        <v>103</v>
      </c>
      <c r="B339" t="s">
        <v>198</v>
      </c>
      <c r="C339" t="s">
        <v>199</v>
      </c>
      <c r="D339" t="s">
        <v>78</v>
      </c>
      <c r="E339" t="s">
        <v>72</v>
      </c>
      <c r="F339" s="32">
        <v>0</v>
      </c>
      <c r="G339" s="32">
        <v>0</v>
      </c>
      <c r="H339" s="32">
        <v>0</v>
      </c>
      <c r="I339" s="32">
        <v>0</v>
      </c>
      <c r="J339" s="32">
        <v>0</v>
      </c>
      <c r="K339" s="32">
        <v>0</v>
      </c>
      <c r="L339" s="32">
        <v>0</v>
      </c>
      <c r="M339" s="57">
        <f t="shared" si="5"/>
        <v>0</v>
      </c>
    </row>
    <row r="340" spans="1:13" ht="15">
      <c r="A340" t="s">
        <v>103</v>
      </c>
      <c r="B340" t="s">
        <v>200</v>
      </c>
      <c r="C340" t="s">
        <v>201</v>
      </c>
      <c r="D340" t="s">
        <v>78</v>
      </c>
      <c r="E340" t="s">
        <v>72</v>
      </c>
      <c r="F340" s="32">
        <v>0</v>
      </c>
      <c r="G340" s="32">
        <v>0</v>
      </c>
      <c r="H340" s="32">
        <v>0</v>
      </c>
      <c r="I340" s="32">
        <v>0</v>
      </c>
      <c r="J340" s="32">
        <v>0</v>
      </c>
      <c r="K340" s="32">
        <v>52.773101800207016</v>
      </c>
      <c r="L340" s="32">
        <v>123.83850174787544</v>
      </c>
      <c r="M340" s="57">
        <f t="shared" si="5"/>
        <v>176.61160354808246</v>
      </c>
    </row>
    <row r="341" spans="1:13" ht="15">
      <c r="A341" t="s">
        <v>103</v>
      </c>
      <c r="B341" t="s">
        <v>202</v>
      </c>
      <c r="C341" t="s">
        <v>203</v>
      </c>
      <c r="D341" t="s">
        <v>78</v>
      </c>
      <c r="E341" t="s">
        <v>72</v>
      </c>
      <c r="F341" s="32">
        <v>0</v>
      </c>
      <c r="G341" s="32">
        <v>0</v>
      </c>
      <c r="H341" s="32">
        <v>1.3950586649158672</v>
      </c>
      <c r="I341" s="32">
        <v>1.239352330057643</v>
      </c>
      <c r="J341" s="32">
        <v>2.5100493962339838</v>
      </c>
      <c r="K341" s="32">
        <v>2.1343442539968525</v>
      </c>
      <c r="L341" s="32">
        <v>2.244959350490098</v>
      </c>
      <c r="M341" s="57">
        <f t="shared" si="5"/>
        <v>9.5237639956944449</v>
      </c>
    </row>
    <row r="342" spans="1:13" ht="15">
      <c r="A342" t="s">
        <v>103</v>
      </c>
      <c r="B342" t="s">
        <v>204</v>
      </c>
      <c r="C342" t="s">
        <v>205</v>
      </c>
      <c r="D342" t="s">
        <v>78</v>
      </c>
      <c r="E342" t="s">
        <v>72</v>
      </c>
      <c r="F342" s="32">
        <v>0</v>
      </c>
      <c r="G342" s="32">
        <v>0</v>
      </c>
      <c r="H342" s="32">
        <v>0</v>
      </c>
      <c r="I342" s="32">
        <v>0</v>
      </c>
      <c r="J342" s="32">
        <v>0</v>
      </c>
      <c r="K342" s="32">
        <v>0</v>
      </c>
      <c r="L342" s="32">
        <v>0</v>
      </c>
      <c r="M342" s="57">
        <f t="shared" si="5"/>
        <v>0</v>
      </c>
    </row>
    <row r="343" spans="1:13" ht="15">
      <c r="A343" t="s">
        <v>103</v>
      </c>
      <c r="B343" t="s">
        <v>206</v>
      </c>
      <c r="C343" t="s">
        <v>207</v>
      </c>
      <c r="D343" t="s">
        <v>78</v>
      </c>
      <c r="E343" t="s">
        <v>72</v>
      </c>
      <c r="F343" s="32">
        <v>0</v>
      </c>
      <c r="G343" s="32">
        <v>0</v>
      </c>
      <c r="H343" s="32">
        <v>1.2545545217336624</v>
      </c>
      <c r="I343" s="32">
        <v>0.9707283873147462</v>
      </c>
      <c r="J343" s="32">
        <v>4.8793939302004272</v>
      </c>
      <c r="K343" s="32">
        <v>8.1594548379764458</v>
      </c>
      <c r="L343" s="32">
        <v>15.938988627811471</v>
      </c>
      <c r="M343" s="57">
        <f t="shared" si="5"/>
        <v>31.203120305036752</v>
      </c>
    </row>
    <row r="344" spans="1:13" ht="15">
      <c r="A344" t="s">
        <v>103</v>
      </c>
      <c r="B344" t="s">
        <v>208</v>
      </c>
      <c r="C344" t="s">
        <v>209</v>
      </c>
      <c r="D344" t="s">
        <v>78</v>
      </c>
      <c r="E344" t="s">
        <v>72</v>
      </c>
      <c r="F344" s="32">
        <v>0</v>
      </c>
      <c r="G344" s="32">
        <v>0</v>
      </c>
      <c r="H344" s="32">
        <v>0</v>
      </c>
      <c r="I344" s="32">
        <v>0</v>
      </c>
      <c r="J344" s="32">
        <v>0</v>
      </c>
      <c r="K344" s="32">
        <v>0</v>
      </c>
      <c r="L344" s="32">
        <v>0</v>
      </c>
      <c r="M344" s="57">
        <f t="shared" si="5"/>
        <v>0</v>
      </c>
    </row>
    <row r="345" spans="1:13" ht="15">
      <c r="A345" t="s">
        <v>103</v>
      </c>
      <c r="B345" t="s">
        <v>210</v>
      </c>
      <c r="C345" t="s">
        <v>211</v>
      </c>
      <c r="D345" t="s">
        <v>78</v>
      </c>
      <c r="E345" t="s">
        <v>72</v>
      </c>
      <c r="F345" s="32">
        <v>0</v>
      </c>
      <c r="G345" s="32">
        <v>0</v>
      </c>
      <c r="H345" s="32">
        <v>15.597010820988263</v>
      </c>
      <c r="I345" s="32">
        <v>13.071021972014631</v>
      </c>
      <c r="J345" s="32">
        <v>12.344979991328239</v>
      </c>
      <c r="K345" s="32">
        <v>13.573947626843417</v>
      </c>
      <c r="L345" s="32">
        <v>12.664165240121337</v>
      </c>
      <c r="M345" s="57">
        <f t="shared" si="5"/>
        <v>67.251125651295879</v>
      </c>
    </row>
    <row r="346" spans="1:13" ht="15">
      <c r="A346" t="s">
        <v>103</v>
      </c>
      <c r="B346" t="s">
        <v>212</v>
      </c>
      <c r="C346" t="s">
        <v>213</v>
      </c>
      <c r="D346" t="s">
        <v>78</v>
      </c>
      <c r="E346" t="s">
        <v>72</v>
      </c>
      <c r="F346" s="32">
        <v>0</v>
      </c>
      <c r="G346" s="32">
        <v>0</v>
      </c>
      <c r="H346" s="32">
        <v>0</v>
      </c>
      <c r="I346" s="32">
        <v>0</v>
      </c>
      <c r="J346" s="32">
        <v>0</v>
      </c>
      <c r="K346" s="32">
        <v>0</v>
      </c>
      <c r="L346" s="32">
        <v>0</v>
      </c>
      <c r="M346" s="57">
        <f t="shared" si="5"/>
        <v>0</v>
      </c>
    </row>
    <row r="347" spans="1:13" ht="15">
      <c r="A347" t="s">
        <v>103</v>
      </c>
      <c r="B347" t="s">
        <v>214</v>
      </c>
      <c r="C347" t="s">
        <v>215</v>
      </c>
      <c r="D347" t="s">
        <v>78</v>
      </c>
      <c r="E347" t="s">
        <v>72</v>
      </c>
      <c r="F347" s="32">
        <v>0</v>
      </c>
      <c r="G347" s="32">
        <v>0</v>
      </c>
      <c r="H347" s="32">
        <v>138.7729692108461</v>
      </c>
      <c r="I347" s="32">
        <v>183.65908109845267</v>
      </c>
      <c r="J347" s="32">
        <v>137.8437893992207</v>
      </c>
      <c r="K347" s="32">
        <v>128.13030671253378</v>
      </c>
      <c r="L347" s="32">
        <v>161.59385357894678</v>
      </c>
      <c r="M347" s="57">
        <f t="shared" si="5"/>
        <v>750</v>
      </c>
    </row>
    <row r="348" spans="1:13" ht="15">
      <c r="A348" t="s">
        <v>103</v>
      </c>
      <c r="B348" t="s">
        <v>216</v>
      </c>
      <c r="C348" t="s">
        <v>217</v>
      </c>
      <c r="D348" t="s">
        <v>78</v>
      </c>
      <c r="E348" t="s">
        <v>72</v>
      </c>
      <c r="F348" s="32">
        <v>0</v>
      </c>
      <c r="G348" s="32">
        <v>0</v>
      </c>
      <c r="H348" s="32">
        <v>18.579381616107774</v>
      </c>
      <c r="I348" s="32">
        <v>18.047917896036633</v>
      </c>
      <c r="J348" s="32">
        <v>44.221275114469108</v>
      </c>
      <c r="K348" s="32">
        <v>71.938048264316478</v>
      </c>
      <c r="L348" s="32">
        <v>137.70499307833899</v>
      </c>
      <c r="M348" s="57">
        <f t="shared" si="5"/>
        <v>290.49161596926899</v>
      </c>
    </row>
    <row r="349" spans="1:13" ht="15">
      <c r="A349" t="s">
        <v>104</v>
      </c>
      <c r="B349" t="s">
        <v>132</v>
      </c>
      <c r="C349" t="s">
        <v>133</v>
      </c>
      <c r="D349" t="s">
        <v>78</v>
      </c>
      <c r="E349" t="s">
        <v>72</v>
      </c>
      <c r="F349" s="32">
        <v>15.507589650428324</v>
      </c>
      <c r="G349" s="32">
        <v>238.94077291792922</v>
      </c>
      <c r="H349" s="32">
        <v>769.05882592171474</v>
      </c>
      <c r="I349" s="32">
        <v>991.59684498805677</v>
      </c>
      <c r="J349" s="32">
        <v>1216.1998861512782</v>
      </c>
      <c r="K349" s="32">
        <v>998.29653248926979</v>
      </c>
      <c r="L349" s="32">
        <v>444.5583754809183</v>
      </c>
      <c r="M349" s="57">
        <f t="shared" si="5"/>
        <v>4674.1588275995955</v>
      </c>
    </row>
    <row r="350" spans="1:13" ht="15">
      <c r="A350" t="s">
        <v>104</v>
      </c>
      <c r="B350" t="s">
        <v>134</v>
      </c>
      <c r="C350" t="s">
        <v>135</v>
      </c>
      <c r="D350" t="s">
        <v>78</v>
      </c>
      <c r="E350" t="s">
        <v>72</v>
      </c>
      <c r="F350" s="32">
        <v>0</v>
      </c>
      <c r="G350" s="32">
        <v>0.48001677494244055</v>
      </c>
      <c r="H350" s="32">
        <v>0.61215008926485193</v>
      </c>
      <c r="I350" s="32">
        <v>0.62274500752225836</v>
      </c>
      <c r="J350" s="32">
        <v>0.29551051859487754</v>
      </c>
      <c r="K350" s="32">
        <v>0.2979001370597385</v>
      </c>
      <c r="L350" s="32">
        <v>0.29507051891807934</v>
      </c>
      <c r="M350" s="57">
        <f t="shared" si="5"/>
        <v>2.6033930463022461</v>
      </c>
    </row>
    <row r="351" spans="1:13" ht="15">
      <c r="A351" t="s">
        <v>104</v>
      </c>
      <c r="B351" t="s">
        <v>136</v>
      </c>
      <c r="C351" t="s">
        <v>137</v>
      </c>
      <c r="D351" t="s">
        <v>78</v>
      </c>
      <c r="E351" t="s">
        <v>72</v>
      </c>
      <c r="F351" s="32">
        <v>0</v>
      </c>
      <c r="G351" s="32">
        <v>7.7703085232734113</v>
      </c>
      <c r="H351" s="32">
        <v>7.7107507313626664</v>
      </c>
      <c r="I351" s="32">
        <v>8.0999205201183688</v>
      </c>
      <c r="J351" s="32">
        <v>1.2887879570593763</v>
      </c>
      <c r="K351" s="32">
        <v>1.2992096216218538</v>
      </c>
      <c r="L351" s="32">
        <v>1.2868690193265881</v>
      </c>
      <c r="M351" s="57">
        <f t="shared" si="5"/>
        <v>27.455846372762267</v>
      </c>
    </row>
    <row r="352" spans="1:13" ht="15">
      <c r="A352" t="s">
        <v>104</v>
      </c>
      <c r="B352" t="s">
        <v>138</v>
      </c>
      <c r="C352" t="s">
        <v>139</v>
      </c>
      <c r="D352" t="s">
        <v>78</v>
      </c>
      <c r="E352" t="s">
        <v>72</v>
      </c>
      <c r="F352" s="32">
        <v>0</v>
      </c>
      <c r="G352" s="32">
        <v>0</v>
      </c>
      <c r="H352" s="32">
        <v>15.837147867378086</v>
      </c>
      <c r="I352" s="32">
        <v>15.753431314918558</v>
      </c>
      <c r="J352" s="32">
        <v>15.656767171829669</v>
      </c>
      <c r="K352" s="32">
        <v>15.541140017819071</v>
      </c>
      <c r="L352" s="32">
        <v>19.687459327338978</v>
      </c>
      <c r="M352" s="57">
        <f t="shared" si="5"/>
        <v>82.475945699284352</v>
      </c>
    </row>
    <row r="353" spans="1:13" ht="15">
      <c r="A353" t="s">
        <v>104</v>
      </c>
      <c r="B353" t="s">
        <v>140</v>
      </c>
      <c r="C353" t="s">
        <v>141</v>
      </c>
      <c r="D353" t="s">
        <v>78</v>
      </c>
      <c r="E353" t="s">
        <v>72</v>
      </c>
      <c r="F353" s="32">
        <v>0</v>
      </c>
      <c r="G353" s="32">
        <v>0</v>
      </c>
      <c r="H353" s="32">
        <v>3.7252279597555251</v>
      </c>
      <c r="I353" s="32">
        <v>3.7631549938864479</v>
      </c>
      <c r="J353" s="32">
        <v>3.6984164786988614</v>
      </c>
      <c r="K353" s="32">
        <v>16.972236612682277</v>
      </c>
      <c r="L353" s="32">
        <v>26.191959176200012</v>
      </c>
      <c r="M353" s="57">
        <f t="shared" si="5"/>
        <v>54.350995221223123</v>
      </c>
    </row>
    <row r="354" spans="1:13" ht="15">
      <c r="A354" t="s">
        <v>104</v>
      </c>
      <c r="B354" t="s">
        <v>142</v>
      </c>
      <c r="C354" t="s">
        <v>143</v>
      </c>
      <c r="D354" t="s">
        <v>78</v>
      </c>
      <c r="E354" t="s">
        <v>72</v>
      </c>
      <c r="F354" s="32">
        <v>0</v>
      </c>
      <c r="G354" s="32">
        <v>0</v>
      </c>
      <c r="H354" s="32">
        <v>0</v>
      </c>
      <c r="I354" s="32">
        <v>0</v>
      </c>
      <c r="J354" s="32">
        <v>0</v>
      </c>
      <c r="K354" s="32">
        <v>0</v>
      </c>
      <c r="L354" s="32">
        <v>0</v>
      </c>
      <c r="M354" s="57">
        <f t="shared" si="5"/>
        <v>0</v>
      </c>
    </row>
    <row r="355" spans="1:13" ht="15">
      <c r="A355" t="s">
        <v>104</v>
      </c>
      <c r="B355" t="s">
        <v>144</v>
      </c>
      <c r="C355" t="s">
        <v>145</v>
      </c>
      <c r="D355" t="s">
        <v>78</v>
      </c>
      <c r="E355" t="s">
        <v>72</v>
      </c>
      <c r="F355" s="32">
        <v>11.922797811771995</v>
      </c>
      <c r="G355" s="32">
        <v>134.98755132507983</v>
      </c>
      <c r="H355" s="32">
        <v>322.82456956560725</v>
      </c>
      <c r="I355" s="32">
        <v>486.06072462358691</v>
      </c>
      <c r="J355" s="32">
        <v>615.16982301962503</v>
      </c>
      <c r="K355" s="32">
        <v>485.6720136388671</v>
      </c>
      <c r="L355" s="32">
        <v>165.84195044835181</v>
      </c>
      <c r="M355" s="57">
        <f t="shared" si="5"/>
        <v>2222.4794304328898</v>
      </c>
    </row>
    <row r="356" spans="1:13" ht="15">
      <c r="A356" t="s">
        <v>104</v>
      </c>
      <c r="B356" t="s">
        <v>146</v>
      </c>
      <c r="C356" t="s">
        <v>147</v>
      </c>
      <c r="D356" t="s">
        <v>78</v>
      </c>
      <c r="E356" t="s">
        <v>72</v>
      </c>
      <c r="F356" s="32">
        <v>0</v>
      </c>
      <c r="G356" s="32">
        <v>0</v>
      </c>
      <c r="H356" s="32">
        <v>0</v>
      </c>
      <c r="I356" s="32">
        <v>0</v>
      </c>
      <c r="J356" s="32">
        <v>0</v>
      </c>
      <c r="K356" s="32">
        <v>0</v>
      </c>
      <c r="L356" s="32">
        <v>0</v>
      </c>
      <c r="M356" s="57">
        <f t="shared" si="5"/>
        <v>0</v>
      </c>
    </row>
    <row r="357" spans="1:13" ht="15">
      <c r="A357" t="s">
        <v>104</v>
      </c>
      <c r="B357" t="s">
        <v>148</v>
      </c>
      <c r="C357" t="s">
        <v>149</v>
      </c>
      <c r="D357" t="s">
        <v>78</v>
      </c>
      <c r="E357" t="s">
        <v>72</v>
      </c>
      <c r="F357" s="32">
        <v>0.31084484288372688</v>
      </c>
      <c r="G357" s="32">
        <v>2.0097991808560458</v>
      </c>
      <c r="H357" s="32">
        <v>3.2114208112018265</v>
      </c>
      <c r="I357" s="32">
        <v>2.6420139343717906</v>
      </c>
      <c r="J357" s="32">
        <v>3.3293026190301528E-2</v>
      </c>
      <c r="K357" s="32">
        <v>5.4773205339856586E-2</v>
      </c>
      <c r="L357" s="32">
        <v>3.3431785408337918E-2</v>
      </c>
      <c r="M357" s="57">
        <f t="shared" si="5"/>
        <v>8.2955767862518854</v>
      </c>
    </row>
    <row r="358" spans="1:13" ht="15">
      <c r="A358" t="s">
        <v>104</v>
      </c>
      <c r="B358" t="s">
        <v>150</v>
      </c>
      <c r="C358" t="s">
        <v>151</v>
      </c>
      <c r="D358" t="s">
        <v>78</v>
      </c>
      <c r="E358" t="s">
        <v>72</v>
      </c>
      <c r="F358" s="32">
        <v>0</v>
      </c>
      <c r="G358" s="32">
        <v>0</v>
      </c>
      <c r="H358" s="32">
        <v>0</v>
      </c>
      <c r="I358" s="32">
        <v>0</v>
      </c>
      <c r="J358" s="32">
        <v>0</v>
      </c>
      <c r="K358" s="32">
        <v>0</v>
      </c>
      <c r="L358" s="32">
        <v>0</v>
      </c>
      <c r="M358" s="57">
        <f t="shared" si="5"/>
        <v>0</v>
      </c>
    </row>
    <row r="359" spans="1:13" ht="15">
      <c r="A359" t="s">
        <v>104</v>
      </c>
      <c r="B359" t="s">
        <v>152</v>
      </c>
      <c r="C359" t="s">
        <v>153</v>
      </c>
      <c r="D359" t="s">
        <v>78</v>
      </c>
      <c r="E359" t="s">
        <v>72</v>
      </c>
      <c r="F359" s="32">
        <v>0</v>
      </c>
      <c r="G359" s="32">
        <v>0.59479611384849806</v>
      </c>
      <c r="H359" s="32">
        <v>2.8023449282570367</v>
      </c>
      <c r="I359" s="32">
        <v>0</v>
      </c>
      <c r="J359" s="32">
        <v>0</v>
      </c>
      <c r="K359" s="32">
        <v>0</v>
      </c>
      <c r="L359" s="32">
        <v>0</v>
      </c>
      <c r="M359" s="57">
        <f t="shared" si="5"/>
        <v>3.3971410421055346</v>
      </c>
    </row>
    <row r="360" spans="1:13" ht="15">
      <c r="A360" t="s">
        <v>104</v>
      </c>
      <c r="B360" t="s">
        <v>154</v>
      </c>
      <c r="C360" t="s">
        <v>155</v>
      </c>
      <c r="D360" t="s">
        <v>78</v>
      </c>
      <c r="E360" t="s">
        <v>72</v>
      </c>
      <c r="F360" s="32">
        <v>2.8842861524352128</v>
      </c>
      <c r="G360" s="32">
        <v>15.339061281496942</v>
      </c>
      <c r="H360" s="32">
        <v>79.062302992325371</v>
      </c>
      <c r="I360" s="32">
        <v>84.675997974897513</v>
      </c>
      <c r="J360" s="32">
        <v>125.42891331872391</v>
      </c>
      <c r="K360" s="32">
        <v>138.70336401563608</v>
      </c>
      <c r="L360" s="32">
        <v>54.147337567695622</v>
      </c>
      <c r="M360" s="57">
        <f t="shared" si="5"/>
        <v>500.2412633032107</v>
      </c>
    </row>
    <row r="361" spans="1:13" ht="15">
      <c r="A361" t="s">
        <v>104</v>
      </c>
      <c r="B361" t="s">
        <v>156</v>
      </c>
      <c r="C361" t="s">
        <v>157</v>
      </c>
      <c r="D361" t="s">
        <v>78</v>
      </c>
      <c r="E361" t="s">
        <v>72</v>
      </c>
      <c r="F361" s="32">
        <v>0</v>
      </c>
      <c r="G361" s="32">
        <v>0</v>
      </c>
      <c r="H361" s="32">
        <v>0</v>
      </c>
      <c r="I361" s="32">
        <v>0</v>
      </c>
      <c r="J361" s="32">
        <v>0</v>
      </c>
      <c r="K361" s="32">
        <v>0</v>
      </c>
      <c r="L361" s="32">
        <v>0</v>
      </c>
      <c r="M361" s="57">
        <f t="shared" si="5"/>
        <v>0</v>
      </c>
    </row>
    <row r="362" spans="1:13" ht="15">
      <c r="A362" t="s">
        <v>104</v>
      </c>
      <c r="B362" t="s">
        <v>158</v>
      </c>
      <c r="C362" t="s">
        <v>159</v>
      </c>
      <c r="D362" t="s">
        <v>78</v>
      </c>
      <c r="E362" t="s">
        <v>72</v>
      </c>
      <c r="F362" s="32">
        <v>6.3490666762832826E-2</v>
      </c>
      <c r="G362" s="32">
        <v>65.201696869610316</v>
      </c>
      <c r="H362" s="32">
        <v>117.71032410939091</v>
      </c>
      <c r="I362" s="32">
        <v>223.18235743577338</v>
      </c>
      <c r="J362" s="32">
        <v>268.88527755919682</v>
      </c>
      <c r="K362" s="32">
        <v>190.02689050255199</v>
      </c>
      <c r="L362" s="32">
        <v>94.269041465632313</v>
      </c>
      <c r="M362" s="57">
        <f t="shared" si="5"/>
        <v>959.3390786089185</v>
      </c>
    </row>
    <row r="363" spans="1:13" ht="15">
      <c r="A363" t="s">
        <v>104</v>
      </c>
      <c r="B363" t="s">
        <v>160</v>
      </c>
      <c r="C363" t="s">
        <v>161</v>
      </c>
      <c r="D363" t="s">
        <v>78</v>
      </c>
      <c r="E363" t="s">
        <v>72</v>
      </c>
      <c r="F363" s="32">
        <v>0</v>
      </c>
      <c r="G363" s="32">
        <v>0</v>
      </c>
      <c r="H363" s="32">
        <v>0</v>
      </c>
      <c r="I363" s="32">
        <v>0</v>
      </c>
      <c r="J363" s="32">
        <v>0</v>
      </c>
      <c r="K363" s="32">
        <v>0</v>
      </c>
      <c r="L363" s="32">
        <v>0</v>
      </c>
      <c r="M363" s="57">
        <f t="shared" si="5"/>
        <v>0</v>
      </c>
    </row>
    <row r="364" spans="1:13" ht="15">
      <c r="A364" t="s">
        <v>104</v>
      </c>
      <c r="B364" t="s">
        <v>162</v>
      </c>
      <c r="C364" t="s">
        <v>163</v>
      </c>
      <c r="D364" t="s">
        <v>78</v>
      </c>
      <c r="E364" t="s">
        <v>72</v>
      </c>
      <c r="F364" s="32">
        <v>1.4208143974021089E-2</v>
      </c>
      <c r="G364" s="32">
        <v>0.326065177636787</v>
      </c>
      <c r="H364" s="32">
        <v>1.0912151360937035</v>
      </c>
      <c r="I364" s="32">
        <v>0.40383901004381173</v>
      </c>
      <c r="J364" s="32">
        <v>1.9809937913364404</v>
      </c>
      <c r="K364" s="32">
        <v>1.7433135302083289</v>
      </c>
      <c r="L364" s="32">
        <v>0.18576894418176579</v>
      </c>
      <c r="M364" s="57">
        <f t="shared" si="5"/>
        <v>5.7454037334748582</v>
      </c>
    </row>
    <row r="365" spans="1:13" ht="15">
      <c r="A365" t="s">
        <v>104</v>
      </c>
      <c r="B365" t="s">
        <v>164</v>
      </c>
      <c r="C365" t="s">
        <v>165</v>
      </c>
      <c r="D365" t="s">
        <v>78</v>
      </c>
      <c r="E365" t="s">
        <v>72</v>
      </c>
      <c r="F365" s="32">
        <v>0</v>
      </c>
      <c r="G365" s="32">
        <v>0</v>
      </c>
      <c r="H365" s="32">
        <v>0</v>
      </c>
      <c r="I365" s="32">
        <v>0</v>
      </c>
      <c r="J365" s="32">
        <v>0</v>
      </c>
      <c r="K365" s="32">
        <v>0</v>
      </c>
      <c r="L365" s="32">
        <v>0</v>
      </c>
      <c r="M365" s="57">
        <f t="shared" si="5"/>
        <v>0</v>
      </c>
    </row>
    <row r="366" spans="1:13" ht="15">
      <c r="A366" t="s">
        <v>104</v>
      </c>
      <c r="B366" t="s">
        <v>166</v>
      </c>
      <c r="C366" t="s">
        <v>167</v>
      </c>
      <c r="D366" t="s">
        <v>78</v>
      </c>
      <c r="E366" t="s">
        <v>72</v>
      </c>
      <c r="F366" s="32">
        <v>0</v>
      </c>
      <c r="G366" s="32">
        <v>0</v>
      </c>
      <c r="H366" s="32">
        <v>0</v>
      </c>
      <c r="I366" s="32">
        <v>0</v>
      </c>
      <c r="J366" s="32">
        <v>0</v>
      </c>
      <c r="K366" s="32">
        <v>0</v>
      </c>
      <c r="L366" s="32">
        <v>0</v>
      </c>
      <c r="M366" s="57">
        <f t="shared" si="5"/>
        <v>0</v>
      </c>
    </row>
    <row r="367" spans="1:13" ht="15">
      <c r="A367" t="s">
        <v>104</v>
      </c>
      <c r="B367" t="s">
        <v>168</v>
      </c>
      <c r="C367" t="s">
        <v>169</v>
      </c>
      <c r="D367" t="s">
        <v>78</v>
      </c>
      <c r="E367" t="s">
        <v>72</v>
      </c>
      <c r="F367" s="32">
        <v>1.061043330508888E-2</v>
      </c>
      <c r="G367" s="32">
        <v>1.3594882099615024</v>
      </c>
      <c r="H367" s="32">
        <v>3.1527576073003227</v>
      </c>
      <c r="I367" s="32">
        <v>7.9379410095641649</v>
      </c>
      <c r="J367" s="32">
        <v>22.876370770515404</v>
      </c>
      <c r="K367" s="32">
        <v>14.068068764843595</v>
      </c>
      <c r="L367" s="32">
        <v>6.0417713542919724</v>
      </c>
      <c r="M367" s="57">
        <f t="shared" si="5"/>
        <v>55.44700814978205</v>
      </c>
    </row>
    <row r="368" spans="1:13" ht="15">
      <c r="A368" t="s">
        <v>104</v>
      </c>
      <c r="B368" t="s">
        <v>170</v>
      </c>
      <c r="C368" t="s">
        <v>171</v>
      </c>
      <c r="D368" t="s">
        <v>78</v>
      </c>
      <c r="E368" t="s">
        <v>72</v>
      </c>
      <c r="F368" s="32">
        <v>0.17432990804609116</v>
      </c>
      <c r="G368" s="32">
        <v>1.2645885840832614</v>
      </c>
      <c r="H368" s="32">
        <v>7.2148127201532706</v>
      </c>
      <c r="I368" s="32">
        <v>7.384687721598012</v>
      </c>
      <c r="J368" s="32">
        <v>21.104887421754579</v>
      </c>
      <c r="K368" s="32">
        <v>4.6485843425993432</v>
      </c>
      <c r="L368" s="32">
        <v>0.95470574893775872</v>
      </c>
      <c r="M368" s="57">
        <f t="shared" si="5"/>
        <v>42.746596447172323</v>
      </c>
    </row>
    <row r="369" spans="1:13" ht="15">
      <c r="A369" t="s">
        <v>104</v>
      </c>
      <c r="B369" t="s">
        <v>172</v>
      </c>
      <c r="C369" t="s">
        <v>173</v>
      </c>
      <c r="D369" t="s">
        <v>78</v>
      </c>
      <c r="E369" t="s">
        <v>72</v>
      </c>
      <c r="F369" s="32">
        <v>0</v>
      </c>
      <c r="G369" s="32">
        <v>0</v>
      </c>
      <c r="H369" s="32">
        <v>0</v>
      </c>
      <c r="I369" s="32">
        <v>0</v>
      </c>
      <c r="J369" s="32">
        <v>0</v>
      </c>
      <c r="K369" s="32">
        <v>0</v>
      </c>
      <c r="L369" s="32">
        <v>0</v>
      </c>
      <c r="M369" s="57">
        <f t="shared" si="5"/>
        <v>0</v>
      </c>
    </row>
    <row r="370" spans="1:13" ht="15">
      <c r="A370" t="s">
        <v>104</v>
      </c>
      <c r="B370" t="s">
        <v>174</v>
      </c>
      <c r="C370" t="s">
        <v>175</v>
      </c>
      <c r="D370" t="s">
        <v>78</v>
      </c>
      <c r="E370" t="s">
        <v>72</v>
      </c>
      <c r="F370" s="32">
        <v>0</v>
      </c>
      <c r="G370" s="32">
        <v>0</v>
      </c>
      <c r="H370" s="32">
        <v>0</v>
      </c>
      <c r="I370" s="32">
        <v>0</v>
      </c>
      <c r="J370" s="32">
        <v>0</v>
      </c>
      <c r="K370" s="32">
        <v>0</v>
      </c>
      <c r="L370" s="32">
        <v>0</v>
      </c>
      <c r="M370" s="57">
        <f t="shared" si="5"/>
        <v>0</v>
      </c>
    </row>
    <row r="371" spans="1:13" ht="15">
      <c r="A371" t="s">
        <v>104</v>
      </c>
      <c r="B371" t="s">
        <v>176</v>
      </c>
      <c r="C371" t="s">
        <v>177</v>
      </c>
      <c r="D371" t="s">
        <v>78</v>
      </c>
      <c r="E371" t="s">
        <v>72</v>
      </c>
      <c r="F371" s="32">
        <v>7.1218639388033328E-2</v>
      </c>
      <c r="G371" s="32">
        <v>8.3768732712075415</v>
      </c>
      <c r="H371" s="32">
        <v>30.966590127723705</v>
      </c>
      <c r="I371" s="32">
        <v>27.038591478746877</v>
      </c>
      <c r="J371" s="32">
        <v>0</v>
      </c>
      <c r="K371" s="32">
        <v>0</v>
      </c>
      <c r="L371" s="32">
        <v>0</v>
      </c>
      <c r="M371" s="57">
        <f t="shared" si="5"/>
        <v>66.453273517066165</v>
      </c>
    </row>
    <row r="372" spans="1:13" ht="15">
      <c r="A372" t="s">
        <v>104</v>
      </c>
      <c r="B372" t="s">
        <v>178</v>
      </c>
      <c r="C372" t="s">
        <v>179</v>
      </c>
      <c r="D372" t="s">
        <v>78</v>
      </c>
      <c r="E372" t="s">
        <v>72</v>
      </c>
      <c r="F372" s="32">
        <v>0</v>
      </c>
      <c r="G372" s="32">
        <v>0</v>
      </c>
      <c r="H372" s="32">
        <v>0</v>
      </c>
      <c r="I372" s="32">
        <v>0</v>
      </c>
      <c r="J372" s="32">
        <v>0</v>
      </c>
      <c r="K372" s="32">
        <v>0</v>
      </c>
      <c r="L372" s="32">
        <v>0</v>
      </c>
      <c r="M372" s="57">
        <f t="shared" si="5"/>
        <v>0</v>
      </c>
    </row>
    <row r="373" spans="1:13" ht="15">
      <c r="A373" t="s">
        <v>104</v>
      </c>
      <c r="B373" t="s">
        <v>180</v>
      </c>
      <c r="C373" t="s">
        <v>181</v>
      </c>
      <c r="D373" t="s">
        <v>78</v>
      </c>
      <c r="E373" t="s">
        <v>72</v>
      </c>
      <c r="F373" s="32">
        <v>0</v>
      </c>
      <c r="G373" s="32">
        <v>0</v>
      </c>
      <c r="H373" s="32">
        <v>0</v>
      </c>
      <c r="I373" s="32">
        <v>5.7882514287022679E-2</v>
      </c>
      <c r="J373" s="32">
        <v>4.0035358436121173</v>
      </c>
      <c r="K373" s="32">
        <v>2.8339040462984237</v>
      </c>
      <c r="L373" s="32">
        <v>0.22556972303943224</v>
      </c>
      <c r="M373" s="57">
        <f t="shared" si="5"/>
        <v>7.1208921272369965</v>
      </c>
    </row>
    <row r="374" spans="1:13" ht="15">
      <c r="A374" t="s">
        <v>104</v>
      </c>
      <c r="B374" t="s">
        <v>182</v>
      </c>
      <c r="C374" t="s">
        <v>183</v>
      </c>
      <c r="D374" t="s">
        <v>78</v>
      </c>
      <c r="E374" t="s">
        <v>72</v>
      </c>
      <c r="F374" s="32">
        <v>0</v>
      </c>
      <c r="G374" s="32">
        <v>0</v>
      </c>
      <c r="H374" s="32">
        <v>0</v>
      </c>
      <c r="I374" s="32">
        <v>0</v>
      </c>
      <c r="J374" s="32">
        <v>0</v>
      </c>
      <c r="K374" s="32">
        <v>0</v>
      </c>
      <c r="L374" s="32">
        <v>0</v>
      </c>
      <c r="M374" s="57">
        <f t="shared" si="5"/>
        <v>0</v>
      </c>
    </row>
    <row r="375" spans="1:13" ht="15">
      <c r="A375" t="s">
        <v>104</v>
      </c>
      <c r="B375" t="s">
        <v>184</v>
      </c>
      <c r="C375" t="s">
        <v>185</v>
      </c>
      <c r="D375" t="s">
        <v>78</v>
      </c>
      <c r="E375" t="s">
        <v>72</v>
      </c>
      <c r="F375" s="32">
        <v>0</v>
      </c>
      <c r="G375" s="32">
        <v>0</v>
      </c>
      <c r="H375" s="32">
        <v>0</v>
      </c>
      <c r="I375" s="32">
        <v>0</v>
      </c>
      <c r="J375" s="32">
        <v>0</v>
      </c>
      <c r="K375" s="32">
        <v>0</v>
      </c>
      <c r="L375" s="32">
        <v>0</v>
      </c>
      <c r="M375" s="57">
        <f t="shared" si="5"/>
        <v>0</v>
      </c>
    </row>
    <row r="376" spans="1:13" ht="15">
      <c r="A376" t="s">
        <v>104</v>
      </c>
      <c r="B376" t="s">
        <v>186</v>
      </c>
      <c r="C376" t="s">
        <v>187</v>
      </c>
      <c r="D376" t="s">
        <v>78</v>
      </c>
      <c r="E376" t="s">
        <v>72</v>
      </c>
      <c r="F376" s="32">
        <v>0</v>
      </c>
      <c r="G376" s="32">
        <v>0</v>
      </c>
      <c r="H376" s="32">
        <v>0</v>
      </c>
      <c r="I376" s="32">
        <v>0</v>
      </c>
      <c r="J376" s="32">
        <v>0</v>
      </c>
      <c r="K376" s="32">
        <v>0</v>
      </c>
      <c r="L376" s="32">
        <v>0</v>
      </c>
      <c r="M376" s="57">
        <f t="shared" si="5"/>
        <v>0</v>
      </c>
    </row>
    <row r="377" spans="1:13" ht="15">
      <c r="A377" t="s">
        <v>104</v>
      </c>
      <c r="B377" t="s">
        <v>188</v>
      </c>
      <c r="C377" t="s">
        <v>189</v>
      </c>
      <c r="D377" t="s">
        <v>78</v>
      </c>
      <c r="E377" t="s">
        <v>72</v>
      </c>
      <c r="F377" s="32">
        <v>0</v>
      </c>
      <c r="G377" s="32">
        <v>0</v>
      </c>
      <c r="H377" s="32">
        <v>0</v>
      </c>
      <c r="I377" s="32">
        <v>0</v>
      </c>
      <c r="J377" s="32">
        <v>0</v>
      </c>
      <c r="K377" s="32">
        <v>0</v>
      </c>
      <c r="L377" s="32">
        <v>0</v>
      </c>
      <c r="M377" s="57">
        <f t="shared" si="5"/>
        <v>0</v>
      </c>
    </row>
    <row r="378" spans="1:13" ht="15">
      <c r="A378" t="s">
        <v>104</v>
      </c>
      <c r="B378" t="s">
        <v>190</v>
      </c>
      <c r="C378" t="s">
        <v>191</v>
      </c>
      <c r="D378" t="s">
        <v>78</v>
      </c>
      <c r="E378" t="s">
        <v>72</v>
      </c>
      <c r="F378" s="32">
        <v>0</v>
      </c>
      <c r="G378" s="32">
        <v>0</v>
      </c>
      <c r="H378" s="32">
        <v>0</v>
      </c>
      <c r="I378" s="32">
        <v>19.472899731375879</v>
      </c>
      <c r="J378" s="32">
        <v>19.19619252601435</v>
      </c>
      <c r="K378" s="32">
        <v>19.915358872651051</v>
      </c>
      <c r="L378" s="32">
        <v>0</v>
      </c>
      <c r="M378" s="57">
        <f t="shared" si="5"/>
        <v>58.584451130041288</v>
      </c>
    </row>
    <row r="379" spans="1:13" ht="15">
      <c r="A379" t="s">
        <v>104</v>
      </c>
      <c r="B379" t="s">
        <v>192</v>
      </c>
      <c r="C379" t="s">
        <v>193</v>
      </c>
      <c r="D379" t="s">
        <v>78</v>
      </c>
      <c r="E379" t="s">
        <v>72</v>
      </c>
      <c r="F379" s="32">
        <v>0</v>
      </c>
      <c r="G379" s="32">
        <v>0</v>
      </c>
      <c r="H379" s="32">
        <v>0</v>
      </c>
      <c r="I379" s="32">
        <v>0</v>
      </c>
      <c r="J379" s="32">
        <v>0</v>
      </c>
      <c r="K379" s="32">
        <v>0</v>
      </c>
      <c r="L379" s="32">
        <v>0</v>
      </c>
      <c r="M379" s="57">
        <f t="shared" si="5"/>
        <v>0</v>
      </c>
    </row>
    <row r="380" spans="1:13" ht="15">
      <c r="A380" t="s">
        <v>104</v>
      </c>
      <c r="B380" t="s">
        <v>194</v>
      </c>
      <c r="C380" t="s">
        <v>195</v>
      </c>
      <c r="D380" t="s">
        <v>78</v>
      </c>
      <c r="E380" t="s">
        <v>72</v>
      </c>
      <c r="F380" s="32">
        <v>0</v>
      </c>
      <c r="G380" s="32">
        <v>0</v>
      </c>
      <c r="H380" s="32">
        <v>8.7404545049809617</v>
      </c>
      <c r="I380" s="32">
        <v>8.8284020483689805</v>
      </c>
      <c r="J380" s="32">
        <v>8.8747512756811169</v>
      </c>
      <c r="K380" s="32">
        <v>3.0546473392776283</v>
      </c>
      <c r="L380" s="32">
        <v>3.0239174086673497</v>
      </c>
      <c r="M380" s="57">
        <f t="shared" si="5"/>
        <v>32.52217257697604</v>
      </c>
    </row>
    <row r="381" spans="1:13" ht="15">
      <c r="A381" t="s">
        <v>104</v>
      </c>
      <c r="B381" t="s">
        <v>196</v>
      </c>
      <c r="C381" t="s">
        <v>197</v>
      </c>
      <c r="D381" t="s">
        <v>78</v>
      </c>
      <c r="E381" t="s">
        <v>72</v>
      </c>
      <c r="F381" s="32">
        <v>0</v>
      </c>
      <c r="G381" s="32">
        <v>0</v>
      </c>
      <c r="H381" s="32">
        <v>2.5482999636384713</v>
      </c>
      <c r="I381" s="32">
        <v>3.4176054525689188</v>
      </c>
      <c r="J381" s="32">
        <v>3.3690417529220213</v>
      </c>
      <c r="K381" s="32">
        <v>3.3924578227668429</v>
      </c>
      <c r="L381" s="32">
        <v>3.3583294989661061</v>
      </c>
      <c r="M381" s="57">
        <f t="shared" si="5"/>
        <v>16.085734490862361</v>
      </c>
    </row>
    <row r="382" spans="1:13" ht="15">
      <c r="A382" t="s">
        <v>104</v>
      </c>
      <c r="B382" t="s">
        <v>198</v>
      </c>
      <c r="C382" t="s">
        <v>199</v>
      </c>
      <c r="D382" t="s">
        <v>78</v>
      </c>
      <c r="E382" t="s">
        <v>72</v>
      </c>
      <c r="F382" s="32">
        <v>0</v>
      </c>
      <c r="G382" s="32">
        <v>0</v>
      </c>
      <c r="H382" s="32">
        <v>0</v>
      </c>
      <c r="I382" s="32">
        <v>0</v>
      </c>
      <c r="J382" s="32">
        <v>0</v>
      </c>
      <c r="K382" s="32">
        <v>0</v>
      </c>
      <c r="L382" s="32">
        <v>0</v>
      </c>
      <c r="M382" s="57">
        <f t="shared" si="5"/>
        <v>0</v>
      </c>
    </row>
    <row r="383" spans="1:13" ht="15">
      <c r="A383" t="s">
        <v>104</v>
      </c>
      <c r="B383" t="s">
        <v>200</v>
      </c>
      <c r="C383" t="s">
        <v>201</v>
      </c>
      <c r="D383" t="s">
        <v>78</v>
      </c>
      <c r="E383" t="s">
        <v>72</v>
      </c>
      <c r="F383" s="32">
        <v>5.580305186132118E-2</v>
      </c>
      <c r="G383" s="32">
        <v>1.230527605932632</v>
      </c>
      <c r="H383" s="32">
        <v>8.1848109862241927</v>
      </c>
      <c r="I383" s="32">
        <v>16.679035507588875</v>
      </c>
      <c r="J383" s="32">
        <v>29.887148868293412</v>
      </c>
      <c r="K383" s="32">
        <v>32.091831356932211</v>
      </c>
      <c r="L383" s="32">
        <v>9.2228223854741209</v>
      </c>
      <c r="M383" s="57">
        <f t="shared" si="5"/>
        <v>97.351979762306755</v>
      </c>
    </row>
    <row r="384" spans="1:13" ht="15">
      <c r="A384" t="s">
        <v>104</v>
      </c>
      <c r="B384" t="s">
        <v>202</v>
      </c>
      <c r="C384" t="s">
        <v>203</v>
      </c>
      <c r="D384" t="s">
        <v>78</v>
      </c>
      <c r="E384" t="s">
        <v>72</v>
      </c>
      <c r="F384" s="32">
        <v>0</v>
      </c>
      <c r="G384" s="32">
        <v>0</v>
      </c>
      <c r="H384" s="32">
        <v>0.4125473175039388</v>
      </c>
      <c r="I384" s="32">
        <v>0.83486834969349522</v>
      </c>
      <c r="J384" s="32">
        <v>1.2352800021695245</v>
      </c>
      <c r="K384" s="32">
        <v>1.6603574772239593</v>
      </c>
      <c r="L384" s="32">
        <v>1.6445864954259541</v>
      </c>
      <c r="M384" s="57">
        <f t="shared" si="5"/>
        <v>5.7876396420168712</v>
      </c>
    </row>
    <row r="385" spans="1:13" ht="15">
      <c r="A385" t="s">
        <v>104</v>
      </c>
      <c r="B385" t="s">
        <v>204</v>
      </c>
      <c r="C385" t="s">
        <v>205</v>
      </c>
      <c r="D385" t="s">
        <v>78</v>
      </c>
      <c r="E385" t="s">
        <v>72</v>
      </c>
      <c r="F385" s="32">
        <v>0</v>
      </c>
      <c r="G385" s="32">
        <v>0</v>
      </c>
      <c r="H385" s="32">
        <v>0</v>
      </c>
      <c r="I385" s="32">
        <v>0</v>
      </c>
      <c r="J385" s="32">
        <v>0</v>
      </c>
      <c r="K385" s="32">
        <v>0</v>
      </c>
      <c r="L385" s="32">
        <v>0</v>
      </c>
      <c r="M385" s="57">
        <f t="shared" si="5"/>
        <v>0</v>
      </c>
    </row>
    <row r="386" spans="1:13" ht="15">
      <c r="A386" t="s">
        <v>104</v>
      </c>
      <c r="B386" t="s">
        <v>206</v>
      </c>
      <c r="C386" t="s">
        <v>207</v>
      </c>
      <c r="D386" t="s">
        <v>78</v>
      </c>
      <c r="E386" t="s">
        <v>72</v>
      </c>
      <c r="F386" s="32">
        <v>0</v>
      </c>
      <c r="G386" s="32">
        <v>0</v>
      </c>
      <c r="H386" s="32">
        <v>6.6851114705355092</v>
      </c>
      <c r="I386" s="32">
        <v>13.555157998924621</v>
      </c>
      <c r="J386" s="32">
        <v>18.616155240117294</v>
      </c>
      <c r="K386" s="32">
        <v>17.749061697822569</v>
      </c>
      <c r="L386" s="32">
        <v>16.732885587938696</v>
      </c>
      <c r="M386" s="57">
        <f t="shared" si="5"/>
        <v>73.33837199533869</v>
      </c>
    </row>
    <row r="387" spans="1:13" ht="15">
      <c r="A387" t="s">
        <v>104</v>
      </c>
      <c r="B387" t="s">
        <v>208</v>
      </c>
      <c r="C387" t="s">
        <v>209</v>
      </c>
      <c r="D387" t="s">
        <v>78</v>
      </c>
      <c r="E387" t="s">
        <v>72</v>
      </c>
      <c r="F387" s="32">
        <v>0</v>
      </c>
      <c r="G387" s="32">
        <v>0</v>
      </c>
      <c r="H387" s="32">
        <v>0</v>
      </c>
      <c r="I387" s="32">
        <v>0</v>
      </c>
      <c r="J387" s="32">
        <v>0</v>
      </c>
      <c r="K387" s="32">
        <v>0</v>
      </c>
      <c r="L387" s="32">
        <v>0</v>
      </c>
      <c r="M387" s="57">
        <f t="shared" si="5"/>
        <v>0</v>
      </c>
    </row>
    <row r="388" spans="1:13" ht="15">
      <c r="A388" t="s">
        <v>104</v>
      </c>
      <c r="B388" t="s">
        <v>210</v>
      </c>
      <c r="C388" t="s">
        <v>211</v>
      </c>
      <c r="D388" t="s">
        <v>78</v>
      </c>
      <c r="E388" t="s">
        <v>72</v>
      </c>
      <c r="F388" s="32">
        <v>0</v>
      </c>
      <c r="G388" s="32">
        <v>0</v>
      </c>
      <c r="H388" s="32">
        <v>0</v>
      </c>
      <c r="I388" s="32">
        <v>0</v>
      </c>
      <c r="J388" s="32">
        <v>0</v>
      </c>
      <c r="K388" s="32">
        <v>0</v>
      </c>
      <c r="L388" s="32">
        <v>0</v>
      </c>
      <c r="M388" s="57">
        <f t="shared" si="5"/>
        <v>0</v>
      </c>
    </row>
    <row r="389" spans="1:13" ht="15">
      <c r="A389" t="s">
        <v>104</v>
      </c>
      <c r="B389" t="s">
        <v>212</v>
      </c>
      <c r="C389" t="s">
        <v>213</v>
      </c>
      <c r="D389" t="s">
        <v>78</v>
      </c>
      <c r="E389" t="s">
        <v>72</v>
      </c>
      <c r="F389" s="32">
        <v>0</v>
      </c>
      <c r="G389" s="32">
        <v>0</v>
      </c>
      <c r="H389" s="32">
        <v>27.458748046648008</v>
      </c>
      <c r="I389" s="32">
        <v>1.9257654791695529</v>
      </c>
      <c r="J389" s="32">
        <v>1.8269969222907869</v>
      </c>
      <c r="K389" s="32">
        <v>1.7642623492966263</v>
      </c>
      <c r="L389" s="32">
        <v>1.6999644667373803</v>
      </c>
      <c r="M389" s="57">
        <f t="shared" si="5"/>
        <v>34.675737264142349</v>
      </c>
    </row>
    <row r="390" spans="1:13" ht="15">
      <c r="A390" t="s">
        <v>104</v>
      </c>
      <c r="B390" t="s">
        <v>214</v>
      </c>
      <c r="C390" t="s">
        <v>215</v>
      </c>
      <c r="D390" t="s">
        <v>78</v>
      </c>
      <c r="E390" t="s">
        <v>72</v>
      </c>
      <c r="F390" s="32">
        <v>0</v>
      </c>
      <c r="G390" s="32">
        <v>0</v>
      </c>
      <c r="H390" s="32">
        <v>0</v>
      </c>
      <c r="I390" s="32">
        <v>0</v>
      </c>
      <c r="J390" s="32">
        <v>0</v>
      </c>
      <c r="K390" s="32">
        <v>0</v>
      </c>
      <c r="L390" s="32">
        <v>0</v>
      </c>
      <c r="M390" s="57">
        <f t="shared" ref="M390:M453" si="6">SUM(F390:L390)</f>
        <v>0</v>
      </c>
    </row>
    <row r="391" spans="1:13" ht="15">
      <c r="A391" t="s">
        <v>104</v>
      </c>
      <c r="B391" t="s">
        <v>216</v>
      </c>
      <c r="C391" t="s">
        <v>217</v>
      </c>
      <c r="D391" t="s">
        <v>78</v>
      </c>
      <c r="E391" t="s">
        <v>72</v>
      </c>
      <c r="F391" s="32">
        <v>0</v>
      </c>
      <c r="G391" s="32">
        <v>0</v>
      </c>
      <c r="H391" s="32">
        <v>60.567979012969225</v>
      </c>
      <c r="I391" s="32">
        <v>52.739265930200837</v>
      </c>
      <c r="J391" s="32">
        <v>46.251185735801791</v>
      </c>
      <c r="K391" s="32">
        <v>40.286600186920822</v>
      </c>
      <c r="L391" s="32">
        <v>33.19437760753538</v>
      </c>
      <c r="M391" s="57">
        <f t="shared" si="6"/>
        <v>233.03940847342807</v>
      </c>
    </row>
    <row r="392" spans="1:13" ht="15">
      <c r="A392" t="s">
        <v>105</v>
      </c>
      <c r="B392" t="s">
        <v>132</v>
      </c>
      <c r="C392" t="s">
        <v>133</v>
      </c>
      <c r="D392" t="s">
        <v>78</v>
      </c>
      <c r="E392" t="s">
        <v>72</v>
      </c>
      <c r="F392" s="32">
        <v>11.916020444338045</v>
      </c>
      <c r="G392" s="32">
        <v>44.038203317892318</v>
      </c>
      <c r="H392" s="32">
        <v>187.4005160145592</v>
      </c>
      <c r="I392" s="32">
        <v>244.84518919595769</v>
      </c>
      <c r="J392" s="32">
        <v>248.81429009233452</v>
      </c>
      <c r="K392" s="32">
        <v>416.70250157372396</v>
      </c>
      <c r="L392" s="32">
        <v>650.41034952872656</v>
      </c>
      <c r="M392" s="57">
        <f t="shared" si="6"/>
        <v>1804.1270701675323</v>
      </c>
    </row>
    <row r="393" spans="1:13" ht="15">
      <c r="A393" t="s">
        <v>105</v>
      </c>
      <c r="B393" t="s">
        <v>134</v>
      </c>
      <c r="C393" t="s">
        <v>135</v>
      </c>
      <c r="D393" t="s">
        <v>78</v>
      </c>
      <c r="E393" t="s">
        <v>72</v>
      </c>
      <c r="F393" s="32">
        <v>0.38015100000000002</v>
      </c>
      <c r="G393" s="32">
        <v>2.4525791548571551E-2</v>
      </c>
      <c r="H393" s="32">
        <v>0.1861134972883253</v>
      </c>
      <c r="I393" s="32">
        <v>1.2575463679837122</v>
      </c>
      <c r="J393" s="32">
        <v>8.0138263440440921E-2</v>
      </c>
      <c r="K393" s="32">
        <v>7.9943552357412975E-2</v>
      </c>
      <c r="L393" s="32">
        <v>7.9826348192543972E-2</v>
      </c>
      <c r="M393" s="57">
        <f t="shared" si="6"/>
        <v>2.0882448208110067</v>
      </c>
    </row>
    <row r="394" spans="1:13" ht="15">
      <c r="A394" t="s">
        <v>105</v>
      </c>
      <c r="B394" t="s">
        <v>136</v>
      </c>
      <c r="C394" t="s">
        <v>137</v>
      </c>
      <c r="D394" t="s">
        <v>78</v>
      </c>
      <c r="E394" t="s">
        <v>72</v>
      </c>
      <c r="F394" s="32">
        <v>4.4913599999999994</v>
      </c>
      <c r="G394" s="32">
        <v>10.593681376681694</v>
      </c>
      <c r="H394" s="32">
        <v>7.3804550687356265</v>
      </c>
      <c r="I394" s="32">
        <v>4.5777595375721063</v>
      </c>
      <c r="J394" s="32">
        <v>0.81714180834172945</v>
      </c>
      <c r="K394" s="32">
        <v>0.81516189779144166</v>
      </c>
      <c r="L394" s="32">
        <v>0.81396688652524629</v>
      </c>
      <c r="M394" s="57">
        <f t="shared" si="6"/>
        <v>29.489526575647847</v>
      </c>
    </row>
    <row r="395" spans="1:13" ht="15">
      <c r="A395" t="s">
        <v>105</v>
      </c>
      <c r="B395" t="s">
        <v>138</v>
      </c>
      <c r="C395" t="s">
        <v>139</v>
      </c>
      <c r="D395" t="s">
        <v>78</v>
      </c>
      <c r="E395" t="s">
        <v>72</v>
      </c>
      <c r="F395" s="32">
        <v>0</v>
      </c>
      <c r="G395" s="32">
        <v>0</v>
      </c>
      <c r="H395" s="32">
        <v>1.3197623222815074</v>
      </c>
      <c r="I395" s="32">
        <v>13.127859429098802</v>
      </c>
      <c r="J395" s="32">
        <v>13.047305976524729</v>
      </c>
      <c r="K395" s="32">
        <v>15.541140017819075</v>
      </c>
      <c r="L395" s="32">
        <v>18.014668665538938</v>
      </c>
      <c r="M395" s="57">
        <f t="shared" si="6"/>
        <v>61.050736411263046</v>
      </c>
    </row>
    <row r="396" spans="1:13" ht="15">
      <c r="A396" t="s">
        <v>105</v>
      </c>
      <c r="B396" t="s">
        <v>140</v>
      </c>
      <c r="C396" t="s">
        <v>141</v>
      </c>
      <c r="D396" t="s">
        <v>78</v>
      </c>
      <c r="E396" t="s">
        <v>72</v>
      </c>
      <c r="F396" s="32">
        <v>0</v>
      </c>
      <c r="G396" s="32">
        <v>0</v>
      </c>
      <c r="H396" s="32">
        <v>3.3119979297065005</v>
      </c>
      <c r="I396" s="32">
        <v>3.399283017960828</v>
      </c>
      <c r="J396" s="32">
        <v>4.2563057468571115</v>
      </c>
      <c r="K396" s="32">
        <v>4.2463564337570396</v>
      </c>
      <c r="L396" s="32">
        <v>4.3110611110523891</v>
      </c>
      <c r="M396" s="57">
        <f t="shared" si="6"/>
        <v>19.525004239333867</v>
      </c>
    </row>
    <row r="397" spans="1:13" ht="15">
      <c r="A397" t="s">
        <v>105</v>
      </c>
      <c r="B397" t="s">
        <v>142</v>
      </c>
      <c r="C397" t="s">
        <v>143</v>
      </c>
      <c r="D397" t="s">
        <v>78</v>
      </c>
      <c r="E397" t="s">
        <v>72</v>
      </c>
      <c r="F397" s="32">
        <v>0</v>
      </c>
      <c r="G397" s="32">
        <v>0</v>
      </c>
      <c r="H397" s="32">
        <v>0</v>
      </c>
      <c r="I397" s="32">
        <v>0</v>
      </c>
      <c r="J397" s="32">
        <v>0</v>
      </c>
      <c r="K397" s="32">
        <v>0</v>
      </c>
      <c r="L397" s="32">
        <v>0</v>
      </c>
      <c r="M397" s="57">
        <f t="shared" si="6"/>
        <v>0</v>
      </c>
    </row>
    <row r="398" spans="1:13" ht="15">
      <c r="A398" t="s">
        <v>105</v>
      </c>
      <c r="B398" t="s">
        <v>144</v>
      </c>
      <c r="C398" t="s">
        <v>145</v>
      </c>
      <c r="D398" t="s">
        <v>78</v>
      </c>
      <c r="E398" t="s">
        <v>72</v>
      </c>
      <c r="F398" s="32">
        <v>1.0316656380375426</v>
      </c>
      <c r="G398" s="32">
        <v>5.517902703678371</v>
      </c>
      <c r="H398" s="32">
        <v>86.381163835229174</v>
      </c>
      <c r="I398" s="32">
        <v>102.11905825953424</v>
      </c>
      <c r="J398" s="32">
        <v>99.042039259105948</v>
      </c>
      <c r="K398" s="32">
        <v>98.536359051941403</v>
      </c>
      <c r="L398" s="32">
        <v>111.37205839266021</v>
      </c>
      <c r="M398" s="57">
        <f t="shared" si="6"/>
        <v>504.0002471401869</v>
      </c>
    </row>
    <row r="399" spans="1:13" ht="15">
      <c r="A399" t="s">
        <v>105</v>
      </c>
      <c r="B399" t="s">
        <v>146</v>
      </c>
      <c r="C399" t="s">
        <v>147</v>
      </c>
      <c r="D399" t="s">
        <v>78</v>
      </c>
      <c r="E399" t="s">
        <v>72</v>
      </c>
      <c r="F399" s="32">
        <v>8.9390000000000008E-3</v>
      </c>
      <c r="G399" s="32">
        <v>1.9904228689221265E-3</v>
      </c>
      <c r="H399" s="32">
        <v>0.20249239147779191</v>
      </c>
      <c r="I399" s="32">
        <v>0.83093027490597859</v>
      </c>
      <c r="J399" s="32">
        <v>1.8033684398513947</v>
      </c>
      <c r="K399" s="32">
        <v>4.5393579999622551</v>
      </c>
      <c r="L399" s="32">
        <v>3.9656658760034582</v>
      </c>
      <c r="M399" s="57">
        <f t="shared" si="6"/>
        <v>11.352744405069801</v>
      </c>
    </row>
    <row r="400" spans="1:13" ht="15">
      <c r="A400" t="s">
        <v>105</v>
      </c>
      <c r="B400" t="s">
        <v>148</v>
      </c>
      <c r="C400" t="s">
        <v>149</v>
      </c>
      <c r="D400" t="s">
        <v>78</v>
      </c>
      <c r="E400" t="s">
        <v>72</v>
      </c>
      <c r="F400" s="32">
        <v>0.187781</v>
      </c>
      <c r="G400" s="32">
        <v>0.73236017123694497</v>
      </c>
      <c r="H400" s="32">
        <v>3.5682039109949657</v>
      </c>
      <c r="I400" s="32">
        <v>3.3170622687451337</v>
      </c>
      <c r="J400" s="32">
        <v>1.3480218204322776</v>
      </c>
      <c r="K400" s="32">
        <v>0.58411316842161831</v>
      </c>
      <c r="L400" s="32">
        <v>0.10626594899706766</v>
      </c>
      <c r="M400" s="57">
        <f t="shared" si="6"/>
        <v>9.8438082888280078</v>
      </c>
    </row>
    <row r="401" spans="1:13" ht="15">
      <c r="A401" t="s">
        <v>105</v>
      </c>
      <c r="B401" t="s">
        <v>150</v>
      </c>
      <c r="C401" t="s">
        <v>151</v>
      </c>
      <c r="D401" t="s">
        <v>78</v>
      </c>
      <c r="E401" t="s">
        <v>72</v>
      </c>
      <c r="F401" s="32">
        <v>0.14550772731470621</v>
      </c>
      <c r="G401" s="32">
        <v>5.6983888497954149</v>
      </c>
      <c r="H401" s="32">
        <v>4.4692495013276403</v>
      </c>
      <c r="I401" s="32">
        <v>5.7067804959144048</v>
      </c>
      <c r="J401" s="32">
        <v>10.487636733161548</v>
      </c>
      <c r="K401" s="32">
        <v>30.40561604695921</v>
      </c>
      <c r="L401" s="32">
        <v>119.92402162638672</v>
      </c>
      <c r="M401" s="57">
        <f t="shared" si="6"/>
        <v>176.83720098085965</v>
      </c>
    </row>
    <row r="402" spans="1:13" ht="15">
      <c r="A402" t="s">
        <v>105</v>
      </c>
      <c r="B402" t="s">
        <v>152</v>
      </c>
      <c r="C402" t="s">
        <v>153</v>
      </c>
      <c r="D402" t="s">
        <v>78</v>
      </c>
      <c r="E402" t="s">
        <v>72</v>
      </c>
      <c r="F402" s="32">
        <v>0</v>
      </c>
      <c r="G402" s="32">
        <v>0</v>
      </c>
      <c r="H402" s="32">
        <v>2.3814164784089678</v>
      </c>
      <c r="I402" s="32">
        <v>1.9617110834504488</v>
      </c>
      <c r="J402" s="32">
        <v>0</v>
      </c>
      <c r="K402" s="32">
        <v>0</v>
      </c>
      <c r="L402" s="32">
        <v>0</v>
      </c>
      <c r="M402" s="57">
        <f t="shared" si="6"/>
        <v>4.3431275618594167</v>
      </c>
    </row>
    <row r="403" spans="1:13" ht="15">
      <c r="A403" t="s">
        <v>105</v>
      </c>
      <c r="B403" t="s">
        <v>154</v>
      </c>
      <c r="C403" t="s">
        <v>155</v>
      </c>
      <c r="D403" t="s">
        <v>78</v>
      </c>
      <c r="E403" t="s">
        <v>72</v>
      </c>
      <c r="F403" s="32">
        <v>3.6070068145276464</v>
      </c>
      <c r="G403" s="32">
        <v>14.412103008987163</v>
      </c>
      <c r="H403" s="32">
        <v>17.978407291384759</v>
      </c>
      <c r="I403" s="32">
        <v>42.734608966619653</v>
      </c>
      <c r="J403" s="32">
        <v>68.578001147996915</v>
      </c>
      <c r="K403" s="32">
        <v>192.42514306283724</v>
      </c>
      <c r="L403" s="32">
        <v>272.9410469804501</v>
      </c>
      <c r="M403" s="57">
        <f t="shared" si="6"/>
        <v>612.67631727280343</v>
      </c>
    </row>
    <row r="404" spans="1:13" ht="15">
      <c r="A404" t="s">
        <v>105</v>
      </c>
      <c r="B404" t="s">
        <v>156</v>
      </c>
      <c r="C404" t="s">
        <v>157</v>
      </c>
      <c r="D404" t="s">
        <v>78</v>
      </c>
      <c r="E404" t="s">
        <v>72</v>
      </c>
      <c r="F404" s="32">
        <v>9.0441000000000011E-3</v>
      </c>
      <c r="G404" s="32">
        <v>0</v>
      </c>
      <c r="H404" s="32">
        <v>0.13483098090379347</v>
      </c>
      <c r="I404" s="32">
        <v>0.135933249426751</v>
      </c>
      <c r="J404" s="32">
        <v>0.13577416911794518</v>
      </c>
      <c r="K404" s="32">
        <v>1.0835634143650386</v>
      </c>
      <c r="L404" s="32">
        <v>1.3060187104407532</v>
      </c>
      <c r="M404" s="57">
        <f t="shared" si="6"/>
        <v>2.8051646242542816</v>
      </c>
    </row>
    <row r="405" spans="1:13" ht="15">
      <c r="A405" t="s">
        <v>105</v>
      </c>
      <c r="B405" t="s">
        <v>158</v>
      </c>
      <c r="C405" t="s">
        <v>159</v>
      </c>
      <c r="D405" t="s">
        <v>78</v>
      </c>
      <c r="E405" t="s">
        <v>72</v>
      </c>
      <c r="F405" s="32">
        <v>3.092462150062442E-2</v>
      </c>
      <c r="G405" s="32">
        <v>1.1719064845881499</v>
      </c>
      <c r="H405" s="32">
        <v>2.4647325165835534</v>
      </c>
      <c r="I405" s="32">
        <v>4.5157656326973017</v>
      </c>
      <c r="J405" s="32">
        <v>6.9923613334624024</v>
      </c>
      <c r="K405" s="32">
        <v>17.270349481161873</v>
      </c>
      <c r="L405" s="32">
        <v>21.447790690003082</v>
      </c>
      <c r="M405" s="57">
        <f t="shared" si="6"/>
        <v>53.893830759996987</v>
      </c>
    </row>
    <row r="406" spans="1:13" ht="15">
      <c r="A406" t="s">
        <v>105</v>
      </c>
      <c r="B406" t="s">
        <v>160</v>
      </c>
      <c r="C406" t="s">
        <v>161</v>
      </c>
      <c r="D406" t="s">
        <v>78</v>
      </c>
      <c r="E406" t="s">
        <v>72</v>
      </c>
      <c r="F406" s="32">
        <v>0</v>
      </c>
      <c r="G406" s="32">
        <v>0</v>
      </c>
      <c r="H406" s="32">
        <v>0</v>
      </c>
      <c r="I406" s="32">
        <v>0</v>
      </c>
      <c r="J406" s="32">
        <v>0</v>
      </c>
      <c r="K406" s="32">
        <v>0</v>
      </c>
      <c r="L406" s="32">
        <v>0</v>
      </c>
      <c r="M406" s="57">
        <f t="shared" si="6"/>
        <v>0</v>
      </c>
    </row>
    <row r="407" spans="1:13" ht="15">
      <c r="A407" t="s">
        <v>105</v>
      </c>
      <c r="B407" t="s">
        <v>162</v>
      </c>
      <c r="C407" t="s">
        <v>163</v>
      </c>
      <c r="D407" t="s">
        <v>78</v>
      </c>
      <c r="E407" t="s">
        <v>72</v>
      </c>
      <c r="F407" s="32">
        <v>0</v>
      </c>
      <c r="G407" s="32">
        <v>0</v>
      </c>
      <c r="H407" s="32">
        <v>0</v>
      </c>
      <c r="I407" s="32">
        <v>0</v>
      </c>
      <c r="J407" s="32">
        <v>0</v>
      </c>
      <c r="K407" s="32">
        <v>0</v>
      </c>
      <c r="L407" s="32">
        <v>0</v>
      </c>
      <c r="M407" s="57">
        <f t="shared" si="6"/>
        <v>0</v>
      </c>
    </row>
    <row r="408" spans="1:13" ht="15">
      <c r="A408" t="s">
        <v>105</v>
      </c>
      <c r="B408" t="s">
        <v>164</v>
      </c>
      <c r="C408" t="s">
        <v>165</v>
      </c>
      <c r="D408" t="s">
        <v>78</v>
      </c>
      <c r="E408" t="s">
        <v>72</v>
      </c>
      <c r="F408" s="32">
        <v>0</v>
      </c>
      <c r="G408" s="32">
        <v>0</v>
      </c>
      <c r="H408" s="32">
        <v>0</v>
      </c>
      <c r="I408" s="32">
        <v>0</v>
      </c>
      <c r="J408" s="32">
        <v>0</v>
      </c>
      <c r="K408" s="32">
        <v>0</v>
      </c>
      <c r="L408" s="32">
        <v>0</v>
      </c>
      <c r="M408" s="57">
        <f t="shared" si="6"/>
        <v>0</v>
      </c>
    </row>
    <row r="409" spans="1:13" ht="15">
      <c r="A409" t="s">
        <v>105</v>
      </c>
      <c r="B409" t="s">
        <v>166</v>
      </c>
      <c r="C409" t="s">
        <v>167</v>
      </c>
      <c r="D409" t="s">
        <v>78</v>
      </c>
      <c r="E409" t="s">
        <v>72</v>
      </c>
      <c r="F409" s="32">
        <v>0</v>
      </c>
      <c r="G409" s="32">
        <v>0</v>
      </c>
      <c r="H409" s="32">
        <v>1.0796426203702549</v>
      </c>
      <c r="I409" s="32">
        <v>1.7417559789324912</v>
      </c>
      <c r="J409" s="32">
        <v>1.6211308015596682</v>
      </c>
      <c r="K409" s="32">
        <v>0.72219308605663712</v>
      </c>
      <c r="L409" s="32">
        <v>1.6435792386344346</v>
      </c>
      <c r="M409" s="57">
        <f t="shared" si="6"/>
        <v>6.8083017255534868</v>
      </c>
    </row>
    <row r="410" spans="1:13" ht="15">
      <c r="A410" t="s">
        <v>105</v>
      </c>
      <c r="B410" t="s">
        <v>168</v>
      </c>
      <c r="C410" t="s">
        <v>169</v>
      </c>
      <c r="D410" t="s">
        <v>78</v>
      </c>
      <c r="E410" t="s">
        <v>72</v>
      </c>
      <c r="F410" s="32">
        <v>0</v>
      </c>
      <c r="G410" s="32">
        <v>0</v>
      </c>
      <c r="H410" s="32">
        <v>1.0603862725732891</v>
      </c>
      <c r="I410" s="32">
        <v>2.5006428069619009</v>
      </c>
      <c r="J410" s="32">
        <v>3.6632685957708033</v>
      </c>
      <c r="K410" s="32">
        <v>1.5557800431459921</v>
      </c>
      <c r="L410" s="32">
        <v>0.19187229341225348</v>
      </c>
      <c r="M410" s="57">
        <f t="shared" si="6"/>
        <v>8.9719500118642372</v>
      </c>
    </row>
    <row r="411" spans="1:13" ht="15">
      <c r="A411" t="s">
        <v>105</v>
      </c>
      <c r="B411" t="s">
        <v>170</v>
      </c>
      <c r="C411" t="s">
        <v>171</v>
      </c>
      <c r="D411" t="s">
        <v>78</v>
      </c>
      <c r="E411" t="s">
        <v>72</v>
      </c>
      <c r="F411" s="32">
        <v>0</v>
      </c>
      <c r="G411" s="32">
        <v>0</v>
      </c>
      <c r="H411" s="32">
        <v>0</v>
      </c>
      <c r="I411" s="32">
        <v>0</v>
      </c>
      <c r="J411" s="32">
        <v>0</v>
      </c>
      <c r="K411" s="32">
        <v>0</v>
      </c>
      <c r="L411" s="32">
        <v>0</v>
      </c>
      <c r="M411" s="57">
        <f t="shared" si="6"/>
        <v>0</v>
      </c>
    </row>
    <row r="412" spans="1:13" ht="15">
      <c r="A412" t="s">
        <v>105</v>
      </c>
      <c r="B412" t="s">
        <v>172</v>
      </c>
      <c r="C412" t="s">
        <v>173</v>
      </c>
      <c r="D412" t="s">
        <v>78</v>
      </c>
      <c r="E412" t="s">
        <v>72</v>
      </c>
      <c r="F412" s="32">
        <v>0</v>
      </c>
      <c r="G412" s="32">
        <v>0</v>
      </c>
      <c r="H412" s="32">
        <v>0</v>
      </c>
      <c r="I412" s="32">
        <v>0</v>
      </c>
      <c r="J412" s="32">
        <v>0</v>
      </c>
      <c r="K412" s="32">
        <v>0</v>
      </c>
      <c r="L412" s="32">
        <v>0</v>
      </c>
      <c r="M412" s="57">
        <f t="shared" si="6"/>
        <v>0</v>
      </c>
    </row>
    <row r="413" spans="1:13" ht="15">
      <c r="A413" t="s">
        <v>105</v>
      </c>
      <c r="B413" t="s">
        <v>174</v>
      </c>
      <c r="C413" t="s">
        <v>175</v>
      </c>
      <c r="D413" t="s">
        <v>78</v>
      </c>
      <c r="E413" t="s">
        <v>72</v>
      </c>
      <c r="F413" s="32">
        <v>2.5501499999999996E-2</v>
      </c>
      <c r="G413" s="32">
        <v>3.2314714319237624E-2</v>
      </c>
      <c r="H413" s="32">
        <v>0.66158029458646728</v>
      </c>
      <c r="I413" s="32">
        <v>0.54234625849336704</v>
      </c>
      <c r="J413" s="32">
        <v>0.69184330409100958</v>
      </c>
      <c r="K413" s="32">
        <v>0.69016808070716562</v>
      </c>
      <c r="L413" s="32">
        <v>0.52934938942308973</v>
      </c>
      <c r="M413" s="57">
        <f t="shared" si="6"/>
        <v>3.1731035416203368</v>
      </c>
    </row>
    <row r="414" spans="1:13" ht="15">
      <c r="A414" t="s">
        <v>105</v>
      </c>
      <c r="B414" t="s">
        <v>176</v>
      </c>
      <c r="C414" t="s">
        <v>177</v>
      </c>
      <c r="D414" t="s">
        <v>78</v>
      </c>
      <c r="E414" t="s">
        <v>72</v>
      </c>
      <c r="F414" s="32">
        <v>1.9981390429575248</v>
      </c>
      <c r="G414" s="32">
        <v>5.7832695116823221</v>
      </c>
      <c r="H414" s="32">
        <v>12.261865114108206</v>
      </c>
      <c r="I414" s="32">
        <v>8.6122908837637464</v>
      </c>
      <c r="J414" s="32">
        <v>3.794116342367257</v>
      </c>
      <c r="K414" s="32">
        <v>2.730552179758583</v>
      </c>
      <c r="L414" s="32">
        <v>2.7192066324299455</v>
      </c>
      <c r="M414" s="57">
        <f t="shared" si="6"/>
        <v>37.899439707067579</v>
      </c>
    </row>
    <row r="415" spans="1:13" ht="15">
      <c r="A415" t="s">
        <v>105</v>
      </c>
      <c r="B415" t="s">
        <v>178</v>
      </c>
      <c r="C415" t="s">
        <v>179</v>
      </c>
      <c r="D415" t="s">
        <v>78</v>
      </c>
      <c r="E415" t="s">
        <v>72</v>
      </c>
      <c r="F415" s="32">
        <v>0</v>
      </c>
      <c r="G415" s="32">
        <v>0</v>
      </c>
      <c r="H415" s="32">
        <v>0</v>
      </c>
      <c r="I415" s="32">
        <v>0</v>
      </c>
      <c r="J415" s="32">
        <v>0</v>
      </c>
      <c r="K415" s="32">
        <v>0</v>
      </c>
      <c r="L415" s="32">
        <v>0</v>
      </c>
      <c r="M415" s="57">
        <f t="shared" si="6"/>
        <v>0</v>
      </c>
    </row>
    <row r="416" spans="1:13" ht="15">
      <c r="A416" t="s">
        <v>105</v>
      </c>
      <c r="B416" t="s">
        <v>180</v>
      </c>
      <c r="C416" t="s">
        <v>181</v>
      </c>
      <c r="D416" t="s">
        <v>78</v>
      </c>
      <c r="E416" t="s">
        <v>72</v>
      </c>
      <c r="F416" s="32">
        <v>0</v>
      </c>
      <c r="G416" s="32">
        <v>0</v>
      </c>
      <c r="H416" s="32">
        <v>0</v>
      </c>
      <c r="I416" s="32">
        <v>0</v>
      </c>
      <c r="J416" s="32">
        <v>0</v>
      </c>
      <c r="K416" s="32">
        <v>0</v>
      </c>
      <c r="L416" s="32">
        <v>0</v>
      </c>
      <c r="M416" s="57">
        <f t="shared" si="6"/>
        <v>0</v>
      </c>
    </row>
    <row r="417" spans="1:13" ht="15">
      <c r="A417" t="s">
        <v>105</v>
      </c>
      <c r="B417" t="s">
        <v>182</v>
      </c>
      <c r="C417" t="s">
        <v>183</v>
      </c>
      <c r="D417" t="s">
        <v>78</v>
      </c>
      <c r="E417" t="s">
        <v>72</v>
      </c>
      <c r="F417" s="32">
        <v>0</v>
      </c>
      <c r="G417" s="32">
        <v>0</v>
      </c>
      <c r="H417" s="32">
        <v>0</v>
      </c>
      <c r="I417" s="32">
        <v>0</v>
      </c>
      <c r="J417" s="32">
        <v>0.45404662220031755</v>
      </c>
      <c r="K417" s="32">
        <v>2.5986089312868539</v>
      </c>
      <c r="L417" s="32">
        <v>3.8083445490517307</v>
      </c>
      <c r="M417" s="57">
        <f t="shared" si="6"/>
        <v>6.8610001025389025</v>
      </c>
    </row>
    <row r="418" spans="1:13" ht="15">
      <c r="A418" t="s">
        <v>105</v>
      </c>
      <c r="B418" t="s">
        <v>184</v>
      </c>
      <c r="C418" t="s">
        <v>185</v>
      </c>
      <c r="D418" t="s">
        <v>78</v>
      </c>
      <c r="E418" t="s">
        <v>72</v>
      </c>
      <c r="F418" s="32">
        <v>0</v>
      </c>
      <c r="G418" s="32">
        <v>0</v>
      </c>
      <c r="H418" s="32">
        <v>0</v>
      </c>
      <c r="I418" s="32">
        <v>0</v>
      </c>
      <c r="J418" s="32">
        <v>0</v>
      </c>
      <c r="K418" s="32">
        <v>0</v>
      </c>
      <c r="L418" s="32">
        <v>0</v>
      </c>
      <c r="M418" s="57">
        <f t="shared" si="6"/>
        <v>0</v>
      </c>
    </row>
    <row r="419" spans="1:13" ht="15">
      <c r="A419" t="s">
        <v>105</v>
      </c>
      <c r="B419" t="s">
        <v>186</v>
      </c>
      <c r="C419" t="s">
        <v>187</v>
      </c>
      <c r="D419" t="s">
        <v>78</v>
      </c>
      <c r="E419" t="s">
        <v>72</v>
      </c>
      <c r="F419" s="32">
        <v>0</v>
      </c>
      <c r="G419" s="32">
        <v>0</v>
      </c>
      <c r="H419" s="32">
        <v>0</v>
      </c>
      <c r="I419" s="32">
        <v>0</v>
      </c>
      <c r="J419" s="32">
        <v>0</v>
      </c>
      <c r="K419" s="32">
        <v>0</v>
      </c>
      <c r="L419" s="32">
        <v>0</v>
      </c>
      <c r="M419" s="57">
        <f t="shared" si="6"/>
        <v>0</v>
      </c>
    </row>
    <row r="420" spans="1:13" ht="15">
      <c r="A420" t="s">
        <v>105</v>
      </c>
      <c r="B420" t="s">
        <v>188</v>
      </c>
      <c r="C420" t="s">
        <v>189</v>
      </c>
      <c r="D420" t="s">
        <v>78</v>
      </c>
      <c r="E420" t="s">
        <v>72</v>
      </c>
      <c r="F420" s="32">
        <v>0</v>
      </c>
      <c r="G420" s="32">
        <v>0</v>
      </c>
      <c r="H420" s="32">
        <v>0</v>
      </c>
      <c r="I420" s="32">
        <v>0</v>
      </c>
      <c r="J420" s="32">
        <v>0</v>
      </c>
      <c r="K420" s="32">
        <v>0</v>
      </c>
      <c r="L420" s="32">
        <v>0</v>
      </c>
      <c r="M420" s="57">
        <f t="shared" si="6"/>
        <v>0</v>
      </c>
    </row>
    <row r="421" spans="1:13" ht="15">
      <c r="A421" t="s">
        <v>105</v>
      </c>
      <c r="B421" t="s">
        <v>190</v>
      </c>
      <c r="C421" t="s">
        <v>191</v>
      </c>
      <c r="D421" t="s">
        <v>78</v>
      </c>
      <c r="E421" t="s">
        <v>72</v>
      </c>
      <c r="F421" s="32">
        <v>0</v>
      </c>
      <c r="G421" s="32">
        <v>0</v>
      </c>
      <c r="H421" s="32">
        <v>0</v>
      </c>
      <c r="I421" s="32">
        <v>5.841559689222759</v>
      </c>
      <c r="J421" s="32">
        <v>0.27589675947496933</v>
      </c>
      <c r="K421" s="32">
        <v>11.907023709600489</v>
      </c>
      <c r="L421" s="32">
        <v>24.04518142328838</v>
      </c>
      <c r="M421" s="57">
        <f t="shared" si="6"/>
        <v>42.069661581586601</v>
      </c>
    </row>
    <row r="422" spans="1:13" ht="15">
      <c r="A422" t="s">
        <v>105</v>
      </c>
      <c r="B422" t="s">
        <v>192</v>
      </c>
      <c r="C422" t="s">
        <v>193</v>
      </c>
      <c r="D422" t="s">
        <v>78</v>
      </c>
      <c r="E422" t="s">
        <v>72</v>
      </c>
      <c r="F422" s="32">
        <v>0</v>
      </c>
      <c r="G422" s="32">
        <v>0</v>
      </c>
      <c r="H422" s="32">
        <v>0</v>
      </c>
      <c r="I422" s="32">
        <v>0</v>
      </c>
      <c r="J422" s="32">
        <v>0</v>
      </c>
      <c r="K422" s="32">
        <v>0</v>
      </c>
      <c r="L422" s="32">
        <v>0</v>
      </c>
      <c r="M422" s="57">
        <f t="shared" si="6"/>
        <v>0</v>
      </c>
    </row>
    <row r="423" spans="1:13" ht="15">
      <c r="A423" t="s">
        <v>105</v>
      </c>
      <c r="B423" t="s">
        <v>194</v>
      </c>
      <c r="C423" t="s">
        <v>195</v>
      </c>
      <c r="D423" t="s">
        <v>78</v>
      </c>
      <c r="E423" t="s">
        <v>72</v>
      </c>
      <c r="F423" s="32">
        <v>0</v>
      </c>
      <c r="G423" s="32">
        <v>0</v>
      </c>
      <c r="H423" s="32">
        <v>0</v>
      </c>
      <c r="I423" s="32">
        <v>0</v>
      </c>
      <c r="J423" s="32">
        <v>0</v>
      </c>
      <c r="K423" s="32">
        <v>0</v>
      </c>
      <c r="L423" s="32">
        <v>0</v>
      </c>
      <c r="M423" s="57">
        <f t="shared" si="6"/>
        <v>0</v>
      </c>
    </row>
    <row r="424" spans="1:13" ht="15">
      <c r="A424" t="s">
        <v>105</v>
      </c>
      <c r="B424" t="s">
        <v>196</v>
      </c>
      <c r="C424" t="s">
        <v>197</v>
      </c>
      <c r="D424" t="s">
        <v>78</v>
      </c>
      <c r="E424" t="s">
        <v>72</v>
      </c>
      <c r="F424" s="32">
        <v>0</v>
      </c>
      <c r="G424" s="32">
        <v>0</v>
      </c>
      <c r="H424" s="32">
        <v>0</v>
      </c>
      <c r="I424" s="32">
        <v>0</v>
      </c>
      <c r="J424" s="32">
        <v>0</v>
      </c>
      <c r="K424" s="32">
        <v>0</v>
      </c>
      <c r="L424" s="32">
        <v>0</v>
      </c>
      <c r="M424" s="57">
        <f t="shared" si="6"/>
        <v>0</v>
      </c>
    </row>
    <row r="425" spans="1:13" ht="15">
      <c r="A425" t="s">
        <v>105</v>
      </c>
      <c r="B425" t="s">
        <v>198</v>
      </c>
      <c r="C425" t="s">
        <v>199</v>
      </c>
      <c r="D425" t="s">
        <v>78</v>
      </c>
      <c r="E425" t="s">
        <v>72</v>
      </c>
      <c r="F425" s="32">
        <v>0</v>
      </c>
      <c r="G425" s="32">
        <v>0</v>
      </c>
      <c r="H425" s="32">
        <v>0</v>
      </c>
      <c r="I425" s="32">
        <v>0</v>
      </c>
      <c r="J425" s="32">
        <v>0</v>
      </c>
      <c r="K425" s="32">
        <v>0</v>
      </c>
      <c r="L425" s="32">
        <v>0</v>
      </c>
      <c r="M425" s="57">
        <f t="shared" si="6"/>
        <v>0</v>
      </c>
    </row>
    <row r="426" spans="1:13" ht="15">
      <c r="A426" t="s">
        <v>105</v>
      </c>
      <c r="B426" t="s">
        <v>200</v>
      </c>
      <c r="C426" t="s">
        <v>201</v>
      </c>
      <c r="D426" t="s">
        <v>78</v>
      </c>
      <c r="E426" t="s">
        <v>72</v>
      </c>
      <c r="F426" s="32">
        <v>0</v>
      </c>
      <c r="G426" s="32">
        <v>0</v>
      </c>
      <c r="H426" s="32">
        <v>32.126876979462402</v>
      </c>
      <c r="I426" s="32">
        <v>31.367323937949855</v>
      </c>
      <c r="J426" s="32">
        <v>16.706853893814163</v>
      </c>
      <c r="K426" s="32">
        <v>7.8782749434156631</v>
      </c>
      <c r="L426" s="32">
        <v>31.412284298697038</v>
      </c>
      <c r="M426" s="57">
        <f t="shared" si="6"/>
        <v>119.49161405333911</v>
      </c>
    </row>
    <row r="427" spans="1:13" ht="15">
      <c r="A427" t="s">
        <v>105</v>
      </c>
      <c r="B427" t="s">
        <v>202</v>
      </c>
      <c r="C427" t="s">
        <v>203</v>
      </c>
      <c r="D427" t="s">
        <v>78</v>
      </c>
      <c r="E427" t="s">
        <v>72</v>
      </c>
      <c r="F427" s="32">
        <v>0</v>
      </c>
      <c r="G427" s="32">
        <v>0</v>
      </c>
      <c r="H427" s="32">
        <v>0.74270032323586832</v>
      </c>
      <c r="I427" s="32">
        <v>0.74246814216787593</v>
      </c>
      <c r="J427" s="32">
        <v>0.74160158864905656</v>
      </c>
      <c r="K427" s="32">
        <v>0.73980551468104661</v>
      </c>
      <c r="L427" s="32">
        <v>0.73872107790545549</v>
      </c>
      <c r="M427" s="57">
        <f t="shared" si="6"/>
        <v>3.7052966466393027</v>
      </c>
    </row>
    <row r="428" spans="1:13" ht="15">
      <c r="A428" t="s">
        <v>105</v>
      </c>
      <c r="B428" t="s">
        <v>204</v>
      </c>
      <c r="C428" t="s">
        <v>205</v>
      </c>
      <c r="D428" t="s">
        <v>78</v>
      </c>
      <c r="E428" t="s">
        <v>72</v>
      </c>
      <c r="F428" s="32">
        <v>0</v>
      </c>
      <c r="G428" s="32">
        <v>0</v>
      </c>
      <c r="H428" s="32">
        <v>0</v>
      </c>
      <c r="I428" s="32">
        <v>0</v>
      </c>
      <c r="J428" s="32">
        <v>0</v>
      </c>
      <c r="K428" s="32">
        <v>0</v>
      </c>
      <c r="L428" s="32">
        <v>0</v>
      </c>
      <c r="M428" s="57">
        <f t="shared" si="6"/>
        <v>0</v>
      </c>
    </row>
    <row r="429" spans="1:13" ht="15">
      <c r="A429" t="s">
        <v>105</v>
      </c>
      <c r="B429" t="s">
        <v>206</v>
      </c>
      <c r="C429" t="s">
        <v>207</v>
      </c>
      <c r="D429" t="s">
        <v>78</v>
      </c>
      <c r="E429" t="s">
        <v>72</v>
      </c>
      <c r="F429" s="32">
        <v>0</v>
      </c>
      <c r="G429" s="32">
        <v>6.9760282505531984E-2</v>
      </c>
      <c r="H429" s="32">
        <v>1.8730779951476229</v>
      </c>
      <c r="I429" s="32">
        <v>1.9525795972677318</v>
      </c>
      <c r="J429" s="32">
        <v>1.7132749496967383</v>
      </c>
      <c r="K429" s="32">
        <v>1.7305286856842224</v>
      </c>
      <c r="L429" s="32">
        <v>1.8047275377151364</v>
      </c>
      <c r="M429" s="57">
        <f t="shared" si="6"/>
        <v>9.1439490480169834</v>
      </c>
    </row>
    <row r="430" spans="1:13" ht="15">
      <c r="A430" t="s">
        <v>105</v>
      </c>
      <c r="B430" t="s">
        <v>208</v>
      </c>
      <c r="C430" t="s">
        <v>209</v>
      </c>
      <c r="D430" t="s">
        <v>78</v>
      </c>
      <c r="E430" t="s">
        <v>72</v>
      </c>
      <c r="F430" s="32">
        <v>0</v>
      </c>
      <c r="G430" s="32">
        <v>0</v>
      </c>
      <c r="H430" s="32">
        <v>0</v>
      </c>
      <c r="I430" s="32">
        <v>0</v>
      </c>
      <c r="J430" s="32">
        <v>0</v>
      </c>
      <c r="K430" s="32">
        <v>0</v>
      </c>
      <c r="L430" s="32">
        <v>0</v>
      </c>
      <c r="M430" s="57">
        <f t="shared" si="6"/>
        <v>0</v>
      </c>
    </row>
    <row r="431" spans="1:13" ht="15">
      <c r="A431" t="s">
        <v>105</v>
      </c>
      <c r="B431" t="s">
        <v>210</v>
      </c>
      <c r="C431" t="s">
        <v>211</v>
      </c>
      <c r="D431" t="s">
        <v>78</v>
      </c>
      <c r="E431" t="s">
        <v>72</v>
      </c>
      <c r="F431" s="32">
        <v>0</v>
      </c>
      <c r="G431" s="32">
        <v>0</v>
      </c>
      <c r="H431" s="32">
        <v>0</v>
      </c>
      <c r="I431" s="32">
        <v>0</v>
      </c>
      <c r="J431" s="32">
        <v>0</v>
      </c>
      <c r="K431" s="32">
        <v>0</v>
      </c>
      <c r="L431" s="32">
        <v>0</v>
      </c>
      <c r="M431" s="57">
        <f t="shared" si="6"/>
        <v>0</v>
      </c>
    </row>
    <row r="432" spans="1:13" ht="15">
      <c r="A432" t="s">
        <v>105</v>
      </c>
      <c r="B432" t="s">
        <v>212</v>
      </c>
      <c r="C432" t="s">
        <v>213</v>
      </c>
      <c r="D432" t="s">
        <v>78</v>
      </c>
      <c r="E432" t="s">
        <v>72</v>
      </c>
      <c r="F432" s="32">
        <v>0</v>
      </c>
      <c r="G432" s="32">
        <v>0</v>
      </c>
      <c r="H432" s="32">
        <v>0.737109273295112</v>
      </c>
      <c r="I432" s="32">
        <v>0.11577965860238483</v>
      </c>
      <c r="J432" s="32">
        <v>0.89241230263919191</v>
      </c>
      <c r="K432" s="32">
        <v>0.21710953444327291</v>
      </c>
      <c r="L432" s="32">
        <v>0.2167911623681692</v>
      </c>
      <c r="M432" s="57">
        <f t="shared" si="6"/>
        <v>2.179201931348131</v>
      </c>
    </row>
    <row r="433" spans="1:13" ht="15">
      <c r="A433" t="s">
        <v>105</v>
      </c>
      <c r="B433" t="s">
        <v>214</v>
      </c>
      <c r="C433" t="s">
        <v>215</v>
      </c>
      <c r="D433" t="s">
        <v>78</v>
      </c>
      <c r="E433" t="s">
        <v>72</v>
      </c>
      <c r="F433" s="32">
        <v>0</v>
      </c>
      <c r="G433" s="32">
        <v>0</v>
      </c>
      <c r="H433" s="32">
        <v>8.8497325179543285E-2</v>
      </c>
      <c r="I433" s="32">
        <v>0.10324842206197177</v>
      </c>
      <c r="J433" s="32">
        <v>0.14936540568624884</v>
      </c>
      <c r="K433" s="32">
        <v>0.39476665736126193</v>
      </c>
      <c r="L433" s="32">
        <v>0.44358161059150986</v>
      </c>
      <c r="M433" s="57">
        <f t="shared" si="6"/>
        <v>1.1794594208805356</v>
      </c>
    </row>
    <row r="434" spans="1:13" ht="15">
      <c r="A434" t="s">
        <v>105</v>
      </c>
      <c r="B434" t="s">
        <v>216</v>
      </c>
      <c r="C434" t="s">
        <v>217</v>
      </c>
      <c r="D434" t="s">
        <v>78</v>
      </c>
      <c r="E434" t="s">
        <v>72</v>
      </c>
      <c r="F434" s="32">
        <v>0</v>
      </c>
      <c r="G434" s="32">
        <v>0</v>
      </c>
      <c r="H434" s="32">
        <v>6.8329754037935482</v>
      </c>
      <c r="I434" s="32">
        <v>7.4839165481399856</v>
      </c>
      <c r="J434" s="32">
        <v>11.365406139608371</v>
      </c>
      <c r="K434" s="32">
        <v>19.853607391724896</v>
      </c>
      <c r="L434" s="32">
        <v>28.41734039047444</v>
      </c>
      <c r="M434" s="57">
        <f t="shared" si="6"/>
        <v>73.953245873741238</v>
      </c>
    </row>
    <row r="435" spans="1:13" ht="15">
      <c r="A435" t="s">
        <v>106</v>
      </c>
      <c r="B435" t="s">
        <v>132</v>
      </c>
      <c r="C435" t="s">
        <v>133</v>
      </c>
      <c r="D435" t="s">
        <v>78</v>
      </c>
      <c r="E435" t="s">
        <v>72</v>
      </c>
      <c r="F435" s="32">
        <v>2.9448805143540113</v>
      </c>
      <c r="G435" s="32">
        <v>70.485734068586211</v>
      </c>
      <c r="H435" s="32">
        <v>487.35320403158124</v>
      </c>
      <c r="I435" s="32">
        <v>574.56560845914021</v>
      </c>
      <c r="J435" s="32">
        <v>529.53595418174802</v>
      </c>
      <c r="K435" s="32">
        <v>477.79438683034658</v>
      </c>
      <c r="L435" s="32">
        <v>266.41608624284396</v>
      </c>
      <c r="M435" s="57">
        <f t="shared" si="6"/>
        <v>2409.0958543286001</v>
      </c>
    </row>
    <row r="436" spans="1:13" ht="15">
      <c r="A436" t="s">
        <v>106</v>
      </c>
      <c r="B436" t="s">
        <v>134</v>
      </c>
      <c r="C436" t="s">
        <v>135</v>
      </c>
      <c r="D436" t="s">
        <v>78</v>
      </c>
      <c r="E436" t="s">
        <v>72</v>
      </c>
      <c r="F436" s="32">
        <v>0</v>
      </c>
      <c r="G436" s="32">
        <v>0</v>
      </c>
      <c r="H436" s="32">
        <v>0.946085273941765</v>
      </c>
      <c r="I436" s="32">
        <v>5.8940554335101827E-2</v>
      </c>
      <c r="J436" s="32">
        <v>5.8578891020989995E-2</v>
      </c>
      <c r="K436" s="32">
        <v>7.946658088402514E-2</v>
      </c>
      <c r="L436" s="32">
        <v>0.11939577976419449</v>
      </c>
      <c r="M436" s="57">
        <f t="shared" si="6"/>
        <v>1.2624670799460764</v>
      </c>
    </row>
    <row r="437" spans="1:13" ht="15">
      <c r="A437" t="s">
        <v>106</v>
      </c>
      <c r="B437" t="s">
        <v>136</v>
      </c>
      <c r="C437" t="s">
        <v>137</v>
      </c>
      <c r="D437" t="s">
        <v>78</v>
      </c>
      <c r="E437" t="s">
        <v>72</v>
      </c>
      <c r="F437" s="32">
        <v>0</v>
      </c>
      <c r="G437" s="32">
        <v>0.49760571723053171</v>
      </c>
      <c r="H437" s="32">
        <v>4.7434206186092451</v>
      </c>
      <c r="I437" s="32">
        <v>2.613682249061049</v>
      </c>
      <c r="J437" s="32">
        <v>1.6645290893721087E-2</v>
      </c>
      <c r="K437" s="32">
        <v>0.25561068037531764</v>
      </c>
      <c r="L437" s="32">
        <v>0.51579320475122126</v>
      </c>
      <c r="M437" s="57">
        <f t="shared" si="6"/>
        <v>8.6427577609210857</v>
      </c>
    </row>
    <row r="438" spans="1:13" ht="15">
      <c r="A438" t="s">
        <v>106</v>
      </c>
      <c r="B438" t="s">
        <v>138</v>
      </c>
      <c r="C438" t="s">
        <v>139</v>
      </c>
      <c r="D438" t="s">
        <v>78</v>
      </c>
      <c r="E438" t="s">
        <v>72</v>
      </c>
      <c r="F438" s="32">
        <v>0</v>
      </c>
      <c r="G438" s="32">
        <v>0</v>
      </c>
      <c r="H438" s="32">
        <v>2.9034771090193159</v>
      </c>
      <c r="I438" s="32">
        <v>5.3824223659305073</v>
      </c>
      <c r="J438" s="32">
        <v>18.657647546430358</v>
      </c>
      <c r="K438" s="32">
        <v>34.320017539350445</v>
      </c>
      <c r="L438" s="32">
        <v>34.09919425977013</v>
      </c>
      <c r="M438" s="57">
        <f t="shared" si="6"/>
        <v>95.362758820500758</v>
      </c>
    </row>
    <row r="439" spans="1:13" ht="15">
      <c r="A439" t="s">
        <v>106</v>
      </c>
      <c r="B439" t="s">
        <v>140</v>
      </c>
      <c r="C439" t="s">
        <v>141</v>
      </c>
      <c r="D439" t="s">
        <v>78</v>
      </c>
      <c r="E439" t="s">
        <v>72</v>
      </c>
      <c r="F439" s="32">
        <v>0</v>
      </c>
      <c r="G439" s="32">
        <v>0</v>
      </c>
      <c r="H439" s="32">
        <v>6.6159812206209292</v>
      </c>
      <c r="I439" s="32">
        <v>8.8655106856461519</v>
      </c>
      <c r="J439" s="32">
        <v>9.1858154010624418</v>
      </c>
      <c r="K439" s="32">
        <v>7.6339121035890853</v>
      </c>
      <c r="L439" s="32">
        <v>5.1577002914487551</v>
      </c>
      <c r="M439" s="57">
        <f t="shared" si="6"/>
        <v>37.458919702367361</v>
      </c>
    </row>
    <row r="440" spans="1:13" ht="15">
      <c r="A440" t="s">
        <v>106</v>
      </c>
      <c r="B440" t="s">
        <v>142</v>
      </c>
      <c r="C440" t="s">
        <v>143</v>
      </c>
      <c r="D440" t="s">
        <v>78</v>
      </c>
      <c r="E440" t="s">
        <v>72</v>
      </c>
      <c r="F440" s="32">
        <v>0</v>
      </c>
      <c r="G440" s="32">
        <v>0</v>
      </c>
      <c r="H440" s="32">
        <v>0</v>
      </c>
      <c r="I440" s="32">
        <v>0</v>
      </c>
      <c r="J440" s="32">
        <v>0</v>
      </c>
      <c r="K440" s="32">
        <v>0</v>
      </c>
      <c r="L440" s="32">
        <v>0</v>
      </c>
      <c r="M440" s="57">
        <f t="shared" si="6"/>
        <v>0</v>
      </c>
    </row>
    <row r="441" spans="1:13" ht="15">
      <c r="A441" t="s">
        <v>106</v>
      </c>
      <c r="B441" t="s">
        <v>144</v>
      </c>
      <c r="C441" t="s">
        <v>145</v>
      </c>
      <c r="D441" t="s">
        <v>78</v>
      </c>
      <c r="E441" t="s">
        <v>72</v>
      </c>
      <c r="F441" s="32">
        <v>2.8793305143540113</v>
      </c>
      <c r="G441" s="32">
        <v>44.720145770617243</v>
      </c>
      <c r="H441" s="32">
        <v>249.58442362760587</v>
      </c>
      <c r="I441" s="32">
        <v>356.91591885050724</v>
      </c>
      <c r="J441" s="32">
        <v>372.31813045473831</v>
      </c>
      <c r="K441" s="32">
        <v>302.00620307200114</v>
      </c>
      <c r="L441" s="32">
        <v>108.44733533703911</v>
      </c>
      <c r="M441" s="57">
        <f t="shared" si="6"/>
        <v>1436.871487626863</v>
      </c>
    </row>
    <row r="442" spans="1:13" ht="15">
      <c r="A442" t="s">
        <v>106</v>
      </c>
      <c r="B442" t="s">
        <v>146</v>
      </c>
      <c r="C442" t="s">
        <v>147</v>
      </c>
      <c r="D442" t="s">
        <v>78</v>
      </c>
      <c r="E442" t="s">
        <v>72</v>
      </c>
      <c r="F442" s="32">
        <v>0</v>
      </c>
      <c r="G442" s="32">
        <v>0</v>
      </c>
      <c r="H442" s="32">
        <v>0</v>
      </c>
      <c r="I442" s="32">
        <v>0</v>
      </c>
      <c r="J442" s="32">
        <v>0</v>
      </c>
      <c r="K442" s="32">
        <v>0</v>
      </c>
      <c r="L442" s="32">
        <v>0</v>
      </c>
      <c r="M442" s="57">
        <f t="shared" si="6"/>
        <v>0</v>
      </c>
    </row>
    <row r="443" spans="1:13" ht="15">
      <c r="A443" t="s">
        <v>106</v>
      </c>
      <c r="B443" t="s">
        <v>148</v>
      </c>
      <c r="C443" t="s">
        <v>149</v>
      </c>
      <c r="D443" t="s">
        <v>78</v>
      </c>
      <c r="E443" t="s">
        <v>72</v>
      </c>
      <c r="F443" s="32">
        <v>0</v>
      </c>
      <c r="G443" s="32">
        <v>0.41002711099795797</v>
      </c>
      <c r="H443" s="32">
        <v>2.1528871578215529</v>
      </c>
      <c r="I443" s="32">
        <v>1.9160409022381708</v>
      </c>
      <c r="J443" s="32">
        <v>0.8344922720884892</v>
      </c>
      <c r="K443" s="32">
        <v>9.135895040030366E-2</v>
      </c>
      <c r="L443" s="32">
        <v>9.077112485437322E-2</v>
      </c>
      <c r="M443" s="57">
        <f t="shared" si="6"/>
        <v>5.4955775184008484</v>
      </c>
    </row>
    <row r="444" spans="1:13" ht="15">
      <c r="A444" t="s">
        <v>106</v>
      </c>
      <c r="B444" t="s">
        <v>150</v>
      </c>
      <c r="C444" t="s">
        <v>151</v>
      </c>
      <c r="D444" t="s">
        <v>78</v>
      </c>
      <c r="E444" t="s">
        <v>72</v>
      </c>
      <c r="F444" s="32">
        <v>0</v>
      </c>
      <c r="G444" s="32">
        <v>0</v>
      </c>
      <c r="H444" s="32">
        <v>0</v>
      </c>
      <c r="I444" s="32">
        <v>0</v>
      </c>
      <c r="J444" s="32">
        <v>0</v>
      </c>
      <c r="K444" s="32">
        <v>0</v>
      </c>
      <c r="L444" s="32">
        <v>0</v>
      </c>
      <c r="M444" s="57">
        <f t="shared" si="6"/>
        <v>0</v>
      </c>
    </row>
    <row r="445" spans="1:13" ht="15">
      <c r="A445" t="s">
        <v>106</v>
      </c>
      <c r="B445" t="s">
        <v>152</v>
      </c>
      <c r="C445" t="s">
        <v>153</v>
      </c>
      <c r="D445" t="s">
        <v>78</v>
      </c>
      <c r="E445" t="s">
        <v>72</v>
      </c>
      <c r="F445" s="32">
        <v>0</v>
      </c>
      <c r="G445" s="32">
        <v>0</v>
      </c>
      <c r="H445" s="32">
        <v>4.4222043704553668E-2</v>
      </c>
      <c r="I445" s="32">
        <v>0</v>
      </c>
      <c r="J445" s="32">
        <v>0</v>
      </c>
      <c r="K445" s="32">
        <v>0</v>
      </c>
      <c r="L445" s="32">
        <v>0</v>
      </c>
      <c r="M445" s="57">
        <f t="shared" si="6"/>
        <v>4.4222043704553668E-2</v>
      </c>
    </row>
    <row r="446" spans="1:13" ht="15">
      <c r="A446" t="s">
        <v>106</v>
      </c>
      <c r="B446" t="s">
        <v>154</v>
      </c>
      <c r="C446" t="s">
        <v>155</v>
      </c>
      <c r="D446" t="s">
        <v>78</v>
      </c>
      <c r="E446" t="s">
        <v>72</v>
      </c>
      <c r="F446" s="32">
        <v>0</v>
      </c>
      <c r="G446" s="32">
        <v>10.633397599803118</v>
      </c>
      <c r="H446" s="32">
        <v>63.544805583180171</v>
      </c>
      <c r="I446" s="32">
        <v>76.181480838658558</v>
      </c>
      <c r="J446" s="32">
        <v>49.995610567486715</v>
      </c>
      <c r="K446" s="32">
        <v>80.826940026318979</v>
      </c>
      <c r="L446" s="32">
        <v>67.91762918654041</v>
      </c>
      <c r="M446" s="57">
        <f t="shared" si="6"/>
        <v>349.09986380198796</v>
      </c>
    </row>
    <row r="447" spans="1:13" ht="15">
      <c r="A447" t="s">
        <v>106</v>
      </c>
      <c r="B447" t="s">
        <v>156</v>
      </c>
      <c r="C447" t="s">
        <v>157</v>
      </c>
      <c r="D447" t="s">
        <v>78</v>
      </c>
      <c r="E447" t="s">
        <v>72</v>
      </c>
      <c r="F447" s="32">
        <v>0</v>
      </c>
      <c r="G447" s="32">
        <v>0.51627892879764548</v>
      </c>
      <c r="H447" s="32">
        <v>1.8309089954880031</v>
      </c>
      <c r="I447" s="32">
        <v>1.2255385510049286</v>
      </c>
      <c r="J447" s="32">
        <v>0</v>
      </c>
      <c r="K447" s="32">
        <v>0</v>
      </c>
      <c r="L447" s="32">
        <v>0</v>
      </c>
      <c r="M447" s="57">
        <f t="shared" si="6"/>
        <v>3.5727264752905774</v>
      </c>
    </row>
    <row r="448" spans="1:13" ht="15">
      <c r="A448" t="s">
        <v>106</v>
      </c>
      <c r="B448" t="s">
        <v>158</v>
      </c>
      <c r="C448" t="s">
        <v>159</v>
      </c>
      <c r="D448" t="s">
        <v>78</v>
      </c>
      <c r="E448" t="s">
        <v>72</v>
      </c>
      <c r="F448" s="32">
        <v>0</v>
      </c>
      <c r="G448" s="32">
        <v>4.1056102395098204</v>
      </c>
      <c r="H448" s="32">
        <v>15.918628648597778</v>
      </c>
      <c r="I448" s="32">
        <v>6.5866333341655201</v>
      </c>
      <c r="J448" s="32">
        <v>7.0796194456331483</v>
      </c>
      <c r="K448" s="32">
        <v>9.7345790082921209</v>
      </c>
      <c r="L448" s="32">
        <v>9.7876185800138913</v>
      </c>
      <c r="M448" s="57">
        <f t="shared" si="6"/>
        <v>53.212689256212279</v>
      </c>
    </row>
    <row r="449" spans="1:13" ht="15">
      <c r="A449" t="s">
        <v>106</v>
      </c>
      <c r="B449" t="s">
        <v>160</v>
      </c>
      <c r="C449" t="s">
        <v>161</v>
      </c>
      <c r="D449" t="s">
        <v>78</v>
      </c>
      <c r="E449" t="s">
        <v>72</v>
      </c>
      <c r="F449" s="32">
        <v>0</v>
      </c>
      <c r="G449" s="32">
        <v>0</v>
      </c>
      <c r="H449" s="32">
        <v>0</v>
      </c>
      <c r="I449" s="32">
        <v>0</v>
      </c>
      <c r="J449" s="32">
        <v>0</v>
      </c>
      <c r="K449" s="32">
        <v>0</v>
      </c>
      <c r="L449" s="32">
        <v>0</v>
      </c>
      <c r="M449" s="57">
        <f t="shared" si="6"/>
        <v>0</v>
      </c>
    </row>
    <row r="450" spans="1:13" ht="15">
      <c r="A450" t="s">
        <v>106</v>
      </c>
      <c r="B450" t="s">
        <v>162</v>
      </c>
      <c r="C450" t="s">
        <v>163</v>
      </c>
      <c r="D450" t="s">
        <v>78</v>
      </c>
      <c r="E450" t="s">
        <v>72</v>
      </c>
      <c r="F450" s="32">
        <v>0</v>
      </c>
      <c r="G450" s="32">
        <v>0</v>
      </c>
      <c r="H450" s="32">
        <v>0</v>
      </c>
      <c r="I450" s="32">
        <v>0</v>
      </c>
      <c r="J450" s="32">
        <v>0</v>
      </c>
      <c r="K450" s="32">
        <v>0</v>
      </c>
      <c r="L450" s="32">
        <v>0</v>
      </c>
      <c r="M450" s="57">
        <f t="shared" si="6"/>
        <v>0</v>
      </c>
    </row>
    <row r="451" spans="1:13" ht="15">
      <c r="A451" t="s">
        <v>106</v>
      </c>
      <c r="B451" t="s">
        <v>164</v>
      </c>
      <c r="C451" t="s">
        <v>165</v>
      </c>
      <c r="D451" t="s">
        <v>78</v>
      </c>
      <c r="E451" t="s">
        <v>72</v>
      </c>
      <c r="F451" s="32">
        <v>0</v>
      </c>
      <c r="G451" s="32">
        <v>0</v>
      </c>
      <c r="H451" s="32">
        <v>0</v>
      </c>
      <c r="I451" s="32">
        <v>0</v>
      </c>
      <c r="J451" s="32">
        <v>0</v>
      </c>
      <c r="K451" s="32">
        <v>0</v>
      </c>
      <c r="L451" s="32">
        <v>0</v>
      </c>
      <c r="M451" s="57">
        <f t="shared" si="6"/>
        <v>0</v>
      </c>
    </row>
    <row r="452" spans="1:13" ht="15">
      <c r="A452" t="s">
        <v>106</v>
      </c>
      <c r="B452" t="s">
        <v>166</v>
      </c>
      <c r="C452" t="s">
        <v>167</v>
      </c>
      <c r="D452" t="s">
        <v>78</v>
      </c>
      <c r="E452" t="s">
        <v>72</v>
      </c>
      <c r="F452" s="32">
        <v>0</v>
      </c>
      <c r="G452" s="32">
        <v>0</v>
      </c>
      <c r="H452" s="32">
        <v>0</v>
      </c>
      <c r="I452" s="32">
        <v>0</v>
      </c>
      <c r="J452" s="32">
        <v>0</v>
      </c>
      <c r="K452" s="32">
        <v>0</v>
      </c>
      <c r="L452" s="32">
        <v>0</v>
      </c>
      <c r="M452" s="57">
        <f t="shared" si="6"/>
        <v>0</v>
      </c>
    </row>
    <row r="453" spans="1:13" ht="15">
      <c r="A453" t="s">
        <v>106</v>
      </c>
      <c r="B453" t="s">
        <v>168</v>
      </c>
      <c r="C453" t="s">
        <v>169</v>
      </c>
      <c r="D453" t="s">
        <v>78</v>
      </c>
      <c r="E453" t="s">
        <v>72</v>
      </c>
      <c r="F453" s="32">
        <v>6.5549999999999997E-2</v>
      </c>
      <c r="G453" s="32">
        <v>1.9447924246520865</v>
      </c>
      <c r="H453" s="32">
        <v>5.8137271880774479</v>
      </c>
      <c r="I453" s="32">
        <v>5.6809664614235302</v>
      </c>
      <c r="J453" s="32">
        <v>5.5726965210040502</v>
      </c>
      <c r="K453" s="32">
        <v>0.66478214972135841</v>
      </c>
      <c r="L453" s="32">
        <v>0.66050478085522635</v>
      </c>
      <c r="M453" s="57">
        <f t="shared" si="6"/>
        <v>20.403019525733701</v>
      </c>
    </row>
    <row r="454" spans="1:13" ht="15">
      <c r="A454" t="s">
        <v>106</v>
      </c>
      <c r="B454" t="s">
        <v>170</v>
      </c>
      <c r="C454" t="s">
        <v>171</v>
      </c>
      <c r="D454" t="s">
        <v>78</v>
      </c>
      <c r="E454" t="s">
        <v>72</v>
      </c>
      <c r="F454" s="32">
        <v>0</v>
      </c>
      <c r="G454" s="32">
        <v>0.91797594051304965</v>
      </c>
      <c r="H454" s="32">
        <v>4.5218288201580785</v>
      </c>
      <c r="I454" s="32">
        <v>2.5570926870237014</v>
      </c>
      <c r="J454" s="32">
        <v>1.3367775517319767</v>
      </c>
      <c r="K454" s="32">
        <v>0.28253496559784774</v>
      </c>
      <c r="L454" s="32">
        <v>0.28071706740977448</v>
      </c>
      <c r="M454" s="57">
        <f t="shared" ref="M454:M517" si="7">SUM(F454:L454)</f>
        <v>9.8969270324344283</v>
      </c>
    </row>
    <row r="455" spans="1:13" ht="15">
      <c r="A455" t="s">
        <v>106</v>
      </c>
      <c r="B455" t="s">
        <v>172</v>
      </c>
      <c r="C455" t="s">
        <v>173</v>
      </c>
      <c r="D455" t="s">
        <v>78</v>
      </c>
      <c r="E455" t="s">
        <v>72</v>
      </c>
      <c r="F455" s="32">
        <v>0</v>
      </c>
      <c r="G455" s="32">
        <v>0</v>
      </c>
      <c r="H455" s="32">
        <v>0</v>
      </c>
      <c r="I455" s="32">
        <v>0</v>
      </c>
      <c r="J455" s="32">
        <v>0</v>
      </c>
      <c r="K455" s="32">
        <v>0</v>
      </c>
      <c r="L455" s="32">
        <v>0</v>
      </c>
      <c r="M455" s="57">
        <f t="shared" si="7"/>
        <v>0</v>
      </c>
    </row>
    <row r="456" spans="1:13" ht="15">
      <c r="A456" t="s">
        <v>106</v>
      </c>
      <c r="B456" t="s">
        <v>174</v>
      </c>
      <c r="C456" t="s">
        <v>175</v>
      </c>
      <c r="D456" t="s">
        <v>78</v>
      </c>
      <c r="E456" t="s">
        <v>72</v>
      </c>
      <c r="F456" s="32">
        <v>0</v>
      </c>
      <c r="G456" s="32">
        <v>0.18152656564569794</v>
      </c>
      <c r="H456" s="32">
        <v>1.0754560159943447</v>
      </c>
      <c r="I456" s="32">
        <v>2.4116510148779167</v>
      </c>
      <c r="J456" s="32">
        <v>0.82303341884490955</v>
      </c>
      <c r="K456" s="32">
        <v>0</v>
      </c>
      <c r="L456" s="32">
        <v>4.1403375240809399E-2</v>
      </c>
      <c r="M456" s="57">
        <f t="shared" si="7"/>
        <v>4.5330703906036787</v>
      </c>
    </row>
    <row r="457" spans="1:13" ht="15">
      <c r="A457" t="s">
        <v>106</v>
      </c>
      <c r="B457" t="s">
        <v>176</v>
      </c>
      <c r="C457" t="s">
        <v>177</v>
      </c>
      <c r="D457" t="s">
        <v>78</v>
      </c>
      <c r="E457" t="s">
        <v>72</v>
      </c>
      <c r="F457" s="32">
        <v>0</v>
      </c>
      <c r="G457" s="32">
        <v>6.5583737708190508</v>
      </c>
      <c r="H457" s="32">
        <v>50.462002691688838</v>
      </c>
      <c r="I457" s="32">
        <v>42.857665281597583</v>
      </c>
      <c r="J457" s="32">
        <v>26.852484287592457</v>
      </c>
      <c r="K457" s="32">
        <v>13.295974662298313</v>
      </c>
      <c r="L457" s="32">
        <v>13.311778727367281</v>
      </c>
      <c r="M457" s="57">
        <f t="shared" si="7"/>
        <v>153.33827942136352</v>
      </c>
    </row>
    <row r="458" spans="1:13" ht="15">
      <c r="A458" t="s">
        <v>106</v>
      </c>
      <c r="B458" t="s">
        <v>178</v>
      </c>
      <c r="C458" t="s">
        <v>179</v>
      </c>
      <c r="D458" t="s">
        <v>78</v>
      </c>
      <c r="E458" t="s">
        <v>72</v>
      </c>
      <c r="F458" s="32">
        <v>0</v>
      </c>
      <c r="G458" s="32">
        <v>0</v>
      </c>
      <c r="H458" s="32">
        <v>0</v>
      </c>
      <c r="I458" s="32">
        <v>0</v>
      </c>
      <c r="J458" s="32">
        <v>0</v>
      </c>
      <c r="K458" s="32">
        <v>0</v>
      </c>
      <c r="L458" s="32">
        <v>0</v>
      </c>
      <c r="M458" s="57">
        <f t="shared" si="7"/>
        <v>0</v>
      </c>
    </row>
    <row r="459" spans="1:13" ht="15">
      <c r="A459" t="s">
        <v>106</v>
      </c>
      <c r="B459" t="s">
        <v>180</v>
      </c>
      <c r="C459" t="s">
        <v>181</v>
      </c>
      <c r="D459" t="s">
        <v>78</v>
      </c>
      <c r="E459" t="s">
        <v>72</v>
      </c>
      <c r="F459" s="32">
        <v>0</v>
      </c>
      <c r="G459" s="32">
        <v>0</v>
      </c>
      <c r="H459" s="32">
        <v>0</v>
      </c>
      <c r="I459" s="32">
        <v>0</v>
      </c>
      <c r="J459" s="32">
        <v>0</v>
      </c>
      <c r="K459" s="32">
        <v>0</v>
      </c>
      <c r="L459" s="32">
        <v>0</v>
      </c>
      <c r="M459" s="57">
        <f t="shared" si="7"/>
        <v>0</v>
      </c>
    </row>
    <row r="460" spans="1:13" ht="15">
      <c r="A460" t="s">
        <v>106</v>
      </c>
      <c r="B460" t="s">
        <v>182</v>
      </c>
      <c r="C460" t="s">
        <v>183</v>
      </c>
      <c r="D460" t="s">
        <v>78</v>
      </c>
      <c r="E460" t="s">
        <v>72</v>
      </c>
      <c r="F460" s="32">
        <v>0</v>
      </c>
      <c r="G460" s="32">
        <v>0</v>
      </c>
      <c r="H460" s="32">
        <v>0</v>
      </c>
      <c r="I460" s="32">
        <v>0</v>
      </c>
      <c r="J460" s="32">
        <v>0</v>
      </c>
      <c r="K460" s="32">
        <v>0</v>
      </c>
      <c r="L460" s="32">
        <v>0</v>
      </c>
      <c r="M460" s="57">
        <f t="shared" si="7"/>
        <v>0</v>
      </c>
    </row>
    <row r="461" spans="1:13" ht="15">
      <c r="A461" t="s">
        <v>106</v>
      </c>
      <c r="B461" t="s">
        <v>184</v>
      </c>
      <c r="C461" t="s">
        <v>185</v>
      </c>
      <c r="D461" t="s">
        <v>78</v>
      </c>
      <c r="E461" t="s">
        <v>72</v>
      </c>
      <c r="F461" s="32">
        <v>0</v>
      </c>
      <c r="G461" s="32">
        <v>0</v>
      </c>
      <c r="H461" s="32">
        <v>0</v>
      </c>
      <c r="I461" s="32">
        <v>0</v>
      </c>
      <c r="J461" s="32">
        <v>0</v>
      </c>
      <c r="K461" s="32">
        <v>0</v>
      </c>
      <c r="L461" s="32">
        <v>0</v>
      </c>
      <c r="M461" s="57">
        <f t="shared" si="7"/>
        <v>0</v>
      </c>
    </row>
    <row r="462" spans="1:13" ht="15">
      <c r="A462" t="s">
        <v>106</v>
      </c>
      <c r="B462" t="s">
        <v>186</v>
      </c>
      <c r="C462" t="s">
        <v>187</v>
      </c>
      <c r="D462" t="s">
        <v>78</v>
      </c>
      <c r="E462" t="s">
        <v>72</v>
      </c>
      <c r="F462" s="32">
        <v>0</v>
      </c>
      <c r="G462" s="32">
        <v>0</v>
      </c>
      <c r="H462" s="32">
        <v>0</v>
      </c>
      <c r="I462" s="32">
        <v>0</v>
      </c>
      <c r="J462" s="32">
        <v>0</v>
      </c>
      <c r="K462" s="32">
        <v>0</v>
      </c>
      <c r="L462" s="32">
        <v>0</v>
      </c>
      <c r="M462" s="57">
        <f t="shared" si="7"/>
        <v>0</v>
      </c>
    </row>
    <row r="463" spans="1:13" ht="15">
      <c r="A463" t="s">
        <v>106</v>
      </c>
      <c r="B463" t="s">
        <v>188</v>
      </c>
      <c r="C463" t="s">
        <v>189</v>
      </c>
      <c r="D463" t="s">
        <v>78</v>
      </c>
      <c r="E463" t="s">
        <v>72</v>
      </c>
      <c r="F463" s="32">
        <v>0</v>
      </c>
      <c r="G463" s="32">
        <v>0</v>
      </c>
      <c r="H463" s="32">
        <v>0</v>
      </c>
      <c r="I463" s="32">
        <v>0</v>
      </c>
      <c r="J463" s="32">
        <v>0</v>
      </c>
      <c r="K463" s="32">
        <v>0</v>
      </c>
      <c r="L463" s="32">
        <v>0</v>
      </c>
      <c r="M463" s="57">
        <f t="shared" si="7"/>
        <v>0</v>
      </c>
    </row>
    <row r="464" spans="1:13" ht="15">
      <c r="A464" t="s">
        <v>106</v>
      </c>
      <c r="B464" t="s">
        <v>190</v>
      </c>
      <c r="C464" t="s">
        <v>191</v>
      </c>
      <c r="D464" t="s">
        <v>78</v>
      </c>
      <c r="E464" t="s">
        <v>72</v>
      </c>
      <c r="F464" s="32">
        <v>0</v>
      </c>
      <c r="G464" s="32">
        <v>0</v>
      </c>
      <c r="H464" s="32">
        <v>0</v>
      </c>
      <c r="I464" s="32">
        <v>0</v>
      </c>
      <c r="J464" s="32">
        <v>10.507864927749361</v>
      </c>
      <c r="K464" s="32">
        <v>13.821232865040043</v>
      </c>
      <c r="L464" s="32">
        <v>12.288219550413928</v>
      </c>
      <c r="M464" s="57">
        <f t="shared" si="7"/>
        <v>36.617317343203332</v>
      </c>
    </row>
    <row r="465" spans="1:13" ht="15">
      <c r="A465" t="s">
        <v>106</v>
      </c>
      <c r="B465" t="s">
        <v>192</v>
      </c>
      <c r="C465" t="s">
        <v>193</v>
      </c>
      <c r="D465" t="s">
        <v>78</v>
      </c>
      <c r="E465" t="s">
        <v>72</v>
      </c>
      <c r="F465" s="32">
        <v>0</v>
      </c>
      <c r="G465" s="32">
        <v>0</v>
      </c>
      <c r="H465" s="32">
        <v>0</v>
      </c>
      <c r="I465" s="32">
        <v>0</v>
      </c>
      <c r="J465" s="32">
        <v>0</v>
      </c>
      <c r="K465" s="32">
        <v>0</v>
      </c>
      <c r="L465" s="32">
        <v>0</v>
      </c>
      <c r="M465" s="57">
        <f t="shared" si="7"/>
        <v>0</v>
      </c>
    </row>
    <row r="466" spans="1:13" ht="15">
      <c r="A466" t="s">
        <v>106</v>
      </c>
      <c r="B466" t="s">
        <v>194</v>
      </c>
      <c r="C466" t="s">
        <v>195</v>
      </c>
      <c r="D466" t="s">
        <v>78</v>
      </c>
      <c r="E466" t="s">
        <v>72</v>
      </c>
      <c r="F466" s="32">
        <v>0</v>
      </c>
      <c r="G466" s="32">
        <v>0</v>
      </c>
      <c r="H466" s="32">
        <v>0</v>
      </c>
      <c r="I466" s="32">
        <v>0</v>
      </c>
      <c r="J466" s="32">
        <v>1.9775631823912052</v>
      </c>
      <c r="K466" s="32">
        <v>2.3306607899523732</v>
      </c>
      <c r="L466" s="32">
        <v>1.2808460698399813</v>
      </c>
      <c r="M466" s="57">
        <f t="shared" si="7"/>
        <v>5.5890700421835593</v>
      </c>
    </row>
    <row r="467" spans="1:13" ht="15">
      <c r="A467" t="s">
        <v>106</v>
      </c>
      <c r="B467" t="s">
        <v>196</v>
      </c>
      <c r="C467" t="s">
        <v>197</v>
      </c>
      <c r="D467" t="s">
        <v>78</v>
      </c>
      <c r="E467" t="s">
        <v>72</v>
      </c>
      <c r="F467" s="32">
        <v>0</v>
      </c>
      <c r="G467" s="32">
        <v>0</v>
      </c>
      <c r="H467" s="32">
        <v>0</v>
      </c>
      <c r="I467" s="32">
        <v>0</v>
      </c>
      <c r="J467" s="32">
        <v>0</v>
      </c>
      <c r="K467" s="32">
        <v>0</v>
      </c>
      <c r="L467" s="32">
        <v>0</v>
      </c>
      <c r="M467" s="57">
        <f t="shared" si="7"/>
        <v>0</v>
      </c>
    </row>
    <row r="468" spans="1:13" ht="15">
      <c r="A468" t="s">
        <v>106</v>
      </c>
      <c r="B468" t="s">
        <v>198</v>
      </c>
      <c r="C468" t="s">
        <v>199</v>
      </c>
      <c r="D468" t="s">
        <v>78</v>
      </c>
      <c r="E468" t="s">
        <v>72</v>
      </c>
      <c r="F468" s="32">
        <v>0</v>
      </c>
      <c r="G468" s="32">
        <v>0</v>
      </c>
      <c r="H468" s="32">
        <v>0</v>
      </c>
      <c r="I468" s="32">
        <v>0</v>
      </c>
      <c r="J468" s="32">
        <v>0</v>
      </c>
      <c r="K468" s="32">
        <v>0</v>
      </c>
      <c r="L468" s="32">
        <v>0</v>
      </c>
      <c r="M468" s="57">
        <f t="shared" si="7"/>
        <v>0</v>
      </c>
    </row>
    <row r="469" spans="1:13" ht="15">
      <c r="A469" t="s">
        <v>106</v>
      </c>
      <c r="B469" t="s">
        <v>200</v>
      </c>
      <c r="C469" t="s">
        <v>201</v>
      </c>
      <c r="D469" t="s">
        <v>78</v>
      </c>
      <c r="E469" t="s">
        <v>72</v>
      </c>
      <c r="F469" s="32">
        <v>0</v>
      </c>
      <c r="G469" s="32">
        <v>0</v>
      </c>
      <c r="H469" s="32">
        <v>6.3164099410825099</v>
      </c>
      <c r="I469" s="32">
        <v>9.4721114083712123</v>
      </c>
      <c r="J469" s="32">
        <v>7.4612587822551886</v>
      </c>
      <c r="K469" s="32">
        <v>0.50496521366889136</v>
      </c>
      <c r="L469" s="32">
        <v>0.50171614555788324</v>
      </c>
      <c r="M469" s="57">
        <f t="shared" si="7"/>
        <v>24.256461490935685</v>
      </c>
    </row>
    <row r="470" spans="1:13" ht="15">
      <c r="A470" t="s">
        <v>106</v>
      </c>
      <c r="B470" t="s">
        <v>202</v>
      </c>
      <c r="C470" t="s">
        <v>203</v>
      </c>
      <c r="D470" t="s">
        <v>78</v>
      </c>
      <c r="E470" t="s">
        <v>72</v>
      </c>
      <c r="F470" s="32">
        <v>0</v>
      </c>
      <c r="G470" s="32">
        <v>0</v>
      </c>
      <c r="H470" s="32">
        <v>3.6645656565033793</v>
      </c>
      <c r="I470" s="32">
        <v>2.7518092706608863</v>
      </c>
      <c r="J470" s="32">
        <v>1.9500538286725899</v>
      </c>
      <c r="K470" s="32">
        <v>5.7152131123897956E-2</v>
      </c>
      <c r="L470" s="32">
        <v>5.6784400512591787E-2</v>
      </c>
      <c r="M470" s="57">
        <f t="shared" si="7"/>
        <v>8.4803652874733455</v>
      </c>
    </row>
    <row r="471" spans="1:13" ht="15">
      <c r="A471" t="s">
        <v>106</v>
      </c>
      <c r="B471" t="s">
        <v>204</v>
      </c>
      <c r="C471" t="s">
        <v>205</v>
      </c>
      <c r="D471" t="s">
        <v>78</v>
      </c>
      <c r="E471" t="s">
        <v>72</v>
      </c>
      <c r="F471" s="32">
        <v>0</v>
      </c>
      <c r="G471" s="32">
        <v>0</v>
      </c>
      <c r="H471" s="32">
        <v>0</v>
      </c>
      <c r="I471" s="32">
        <v>0</v>
      </c>
      <c r="J471" s="32">
        <v>0</v>
      </c>
      <c r="K471" s="32">
        <v>0</v>
      </c>
      <c r="L471" s="32">
        <v>0</v>
      </c>
      <c r="M471" s="57">
        <f t="shared" si="7"/>
        <v>0</v>
      </c>
    </row>
    <row r="472" spans="1:13" ht="15">
      <c r="A472" t="s">
        <v>106</v>
      </c>
      <c r="B472" t="s">
        <v>206</v>
      </c>
      <c r="C472" t="s">
        <v>207</v>
      </c>
      <c r="D472" t="s">
        <v>78</v>
      </c>
      <c r="E472" t="s">
        <v>72</v>
      </c>
      <c r="F472" s="32">
        <v>0</v>
      </c>
      <c r="G472" s="32">
        <v>0</v>
      </c>
      <c r="H472" s="32">
        <v>2.24525951933306</v>
      </c>
      <c r="I472" s="32">
        <v>3.2488591579199988</v>
      </c>
      <c r="J472" s="32">
        <v>3.2289239336352793</v>
      </c>
      <c r="K472" s="32">
        <v>3.205077932678281</v>
      </c>
      <c r="L472" s="32">
        <v>3.1844556873780552</v>
      </c>
      <c r="M472" s="57">
        <f t="shared" si="7"/>
        <v>15.112576230944674</v>
      </c>
    </row>
    <row r="473" spans="1:13" ht="15">
      <c r="A473" t="s">
        <v>106</v>
      </c>
      <c r="B473" t="s">
        <v>208</v>
      </c>
      <c r="C473" t="s">
        <v>209</v>
      </c>
      <c r="D473" t="s">
        <v>78</v>
      </c>
      <c r="E473" t="s">
        <v>72</v>
      </c>
      <c r="F473" s="32">
        <v>0</v>
      </c>
      <c r="G473" s="32">
        <v>0</v>
      </c>
      <c r="H473" s="32">
        <v>0</v>
      </c>
      <c r="I473" s="32">
        <v>0</v>
      </c>
      <c r="J473" s="32">
        <v>0</v>
      </c>
      <c r="K473" s="32">
        <v>0</v>
      </c>
      <c r="L473" s="32">
        <v>0</v>
      </c>
      <c r="M473" s="57">
        <f t="shared" si="7"/>
        <v>0</v>
      </c>
    </row>
    <row r="474" spans="1:13" ht="15">
      <c r="A474" t="s">
        <v>106</v>
      </c>
      <c r="B474" t="s">
        <v>210</v>
      </c>
      <c r="C474" t="s">
        <v>211</v>
      </c>
      <c r="D474" t="s">
        <v>78</v>
      </c>
      <c r="E474" t="s">
        <v>72</v>
      </c>
      <c r="F474" s="32">
        <v>0</v>
      </c>
      <c r="G474" s="32">
        <v>0</v>
      </c>
      <c r="H474" s="32">
        <v>0</v>
      </c>
      <c r="I474" s="32">
        <v>0</v>
      </c>
      <c r="J474" s="32">
        <v>0</v>
      </c>
      <c r="K474" s="32">
        <v>0</v>
      </c>
      <c r="L474" s="32">
        <v>0</v>
      </c>
      <c r="M474" s="57">
        <f t="shared" si="7"/>
        <v>0</v>
      </c>
    </row>
    <row r="475" spans="1:13" ht="15">
      <c r="A475" t="s">
        <v>106</v>
      </c>
      <c r="B475" t="s">
        <v>212</v>
      </c>
      <c r="C475" t="s">
        <v>213</v>
      </c>
      <c r="D475" t="s">
        <v>78</v>
      </c>
      <c r="E475" t="s">
        <v>72</v>
      </c>
      <c r="F475" s="32">
        <v>0</v>
      </c>
      <c r="G475" s="32">
        <v>0</v>
      </c>
      <c r="H475" s="32">
        <v>8.8939295065373347</v>
      </c>
      <c r="I475" s="32">
        <v>9.8941616386430873</v>
      </c>
      <c r="J475" s="32">
        <v>1.3668721228020373</v>
      </c>
      <c r="K475" s="32">
        <v>1.3567776038172759</v>
      </c>
      <c r="L475" s="32">
        <v>1.347082118849475</v>
      </c>
      <c r="M475" s="57">
        <f t="shared" si="7"/>
        <v>22.858822990649209</v>
      </c>
    </row>
    <row r="476" spans="1:13" ht="15">
      <c r="A476" t="s">
        <v>106</v>
      </c>
      <c r="B476" t="s">
        <v>214</v>
      </c>
      <c r="C476" t="s">
        <v>215</v>
      </c>
      <c r="D476" t="s">
        <v>78</v>
      </c>
      <c r="E476" t="s">
        <v>72</v>
      </c>
      <c r="F476" s="32">
        <v>0</v>
      </c>
      <c r="G476" s="32">
        <v>0</v>
      </c>
      <c r="H476" s="32">
        <v>0</v>
      </c>
      <c r="I476" s="32">
        <v>0</v>
      </c>
      <c r="J476" s="32">
        <v>0</v>
      </c>
      <c r="K476" s="32">
        <v>0</v>
      </c>
      <c r="L476" s="32">
        <v>0</v>
      </c>
      <c r="M476" s="57">
        <f t="shared" si="7"/>
        <v>0</v>
      </c>
    </row>
    <row r="477" spans="1:13" ht="15">
      <c r="A477" t="s">
        <v>106</v>
      </c>
      <c r="B477" t="s">
        <v>216</v>
      </c>
      <c r="C477" t="s">
        <v>217</v>
      </c>
      <c r="D477" t="s">
        <v>78</v>
      </c>
      <c r="E477" t="s">
        <v>72</v>
      </c>
      <c r="F477" s="32">
        <v>0</v>
      </c>
      <c r="G477" s="32">
        <v>0</v>
      </c>
      <c r="H477" s="32">
        <v>48.748043858380157</v>
      </c>
      <c r="I477" s="32">
        <v>28.617982651837938</v>
      </c>
      <c r="J477" s="32">
        <v>2.9847452004776862</v>
      </c>
      <c r="K477" s="32">
        <v>0</v>
      </c>
      <c r="L477" s="32">
        <v>0</v>
      </c>
      <c r="M477" s="57">
        <f t="shared" si="7"/>
        <v>80.350771710695781</v>
      </c>
    </row>
    <row r="478" spans="1:13" ht="15">
      <c r="A478" t="s">
        <v>218</v>
      </c>
      <c r="B478" t="s">
        <v>132</v>
      </c>
      <c r="C478" t="s">
        <v>133</v>
      </c>
      <c r="D478" t="s">
        <v>78</v>
      </c>
      <c r="E478" t="s">
        <v>72</v>
      </c>
      <c r="F478" s="41" t="s">
        <v>79</v>
      </c>
      <c r="G478" s="41" t="s">
        <v>79</v>
      </c>
      <c r="H478" s="41" t="s">
        <v>79</v>
      </c>
      <c r="I478" s="41" t="s">
        <v>79</v>
      </c>
      <c r="J478" s="41" t="s">
        <v>79</v>
      </c>
      <c r="K478" s="41" t="s">
        <v>79</v>
      </c>
      <c r="L478" s="41" t="s">
        <v>79</v>
      </c>
      <c r="M478" s="57">
        <f t="shared" si="7"/>
        <v>0</v>
      </c>
    </row>
    <row r="479" spans="1:13" ht="15">
      <c r="A479" t="s">
        <v>218</v>
      </c>
      <c r="B479" t="s">
        <v>134</v>
      </c>
      <c r="C479" t="s">
        <v>135</v>
      </c>
      <c r="D479" t="s">
        <v>78</v>
      </c>
      <c r="E479" t="s">
        <v>72</v>
      </c>
      <c r="F479" s="41" t="s">
        <v>79</v>
      </c>
      <c r="G479" s="41" t="s">
        <v>79</v>
      </c>
      <c r="H479" s="41" t="s">
        <v>79</v>
      </c>
      <c r="I479" s="41" t="s">
        <v>79</v>
      </c>
      <c r="J479" s="41" t="s">
        <v>79</v>
      </c>
      <c r="K479" s="41" t="s">
        <v>79</v>
      </c>
      <c r="L479" s="41" t="s">
        <v>79</v>
      </c>
      <c r="M479" s="57">
        <f t="shared" si="7"/>
        <v>0</v>
      </c>
    </row>
    <row r="480" spans="1:13" ht="15">
      <c r="A480" t="s">
        <v>218</v>
      </c>
      <c r="B480" t="s">
        <v>136</v>
      </c>
      <c r="C480" t="s">
        <v>137</v>
      </c>
      <c r="D480" t="s">
        <v>78</v>
      </c>
      <c r="E480" t="s">
        <v>72</v>
      </c>
      <c r="F480" s="41" t="s">
        <v>79</v>
      </c>
      <c r="G480" s="41" t="s">
        <v>79</v>
      </c>
      <c r="H480" s="41" t="s">
        <v>79</v>
      </c>
      <c r="I480" s="41" t="s">
        <v>79</v>
      </c>
      <c r="J480" s="41" t="s">
        <v>79</v>
      </c>
      <c r="K480" s="41" t="s">
        <v>79</v>
      </c>
      <c r="L480" s="41" t="s">
        <v>79</v>
      </c>
      <c r="M480" s="57">
        <f t="shared" si="7"/>
        <v>0</v>
      </c>
    </row>
    <row r="481" spans="1:13" ht="15">
      <c r="A481" t="s">
        <v>218</v>
      </c>
      <c r="B481" t="s">
        <v>138</v>
      </c>
      <c r="C481" t="s">
        <v>139</v>
      </c>
      <c r="D481" t="s">
        <v>78</v>
      </c>
      <c r="E481" t="s">
        <v>72</v>
      </c>
      <c r="F481" s="41" t="s">
        <v>79</v>
      </c>
      <c r="G481" s="41" t="s">
        <v>79</v>
      </c>
      <c r="H481" s="41" t="s">
        <v>79</v>
      </c>
      <c r="I481" s="41" t="s">
        <v>79</v>
      </c>
      <c r="J481" s="41" t="s">
        <v>79</v>
      </c>
      <c r="K481" s="41" t="s">
        <v>79</v>
      </c>
      <c r="L481" s="41" t="s">
        <v>79</v>
      </c>
      <c r="M481" s="57">
        <f t="shared" si="7"/>
        <v>0</v>
      </c>
    </row>
    <row r="482" spans="1:13" ht="15">
      <c r="A482" t="s">
        <v>218</v>
      </c>
      <c r="B482" t="s">
        <v>140</v>
      </c>
      <c r="C482" t="s">
        <v>141</v>
      </c>
      <c r="D482" t="s">
        <v>78</v>
      </c>
      <c r="E482" t="s">
        <v>72</v>
      </c>
      <c r="F482" s="41" t="s">
        <v>79</v>
      </c>
      <c r="G482" s="41" t="s">
        <v>79</v>
      </c>
      <c r="H482" s="41" t="s">
        <v>79</v>
      </c>
      <c r="I482" s="41" t="s">
        <v>79</v>
      </c>
      <c r="J482" s="41" t="s">
        <v>79</v>
      </c>
      <c r="K482" s="41" t="s">
        <v>79</v>
      </c>
      <c r="L482" s="41" t="s">
        <v>79</v>
      </c>
      <c r="M482" s="57">
        <f t="shared" si="7"/>
        <v>0</v>
      </c>
    </row>
    <row r="483" spans="1:13" ht="15">
      <c r="A483" t="s">
        <v>218</v>
      </c>
      <c r="B483" t="s">
        <v>142</v>
      </c>
      <c r="C483" t="s">
        <v>143</v>
      </c>
      <c r="D483" t="s">
        <v>78</v>
      </c>
      <c r="E483" t="s">
        <v>72</v>
      </c>
      <c r="F483" s="41" t="s">
        <v>79</v>
      </c>
      <c r="G483" s="41" t="s">
        <v>79</v>
      </c>
      <c r="H483" s="41" t="s">
        <v>79</v>
      </c>
      <c r="I483" s="41" t="s">
        <v>79</v>
      </c>
      <c r="J483" s="41" t="s">
        <v>79</v>
      </c>
      <c r="K483" s="41" t="s">
        <v>79</v>
      </c>
      <c r="L483" s="41" t="s">
        <v>79</v>
      </c>
      <c r="M483" s="57">
        <f t="shared" si="7"/>
        <v>0</v>
      </c>
    </row>
    <row r="484" spans="1:13" ht="15">
      <c r="A484" t="s">
        <v>218</v>
      </c>
      <c r="B484" t="s">
        <v>144</v>
      </c>
      <c r="C484" t="s">
        <v>145</v>
      </c>
      <c r="D484" t="s">
        <v>78</v>
      </c>
      <c r="E484" t="s">
        <v>72</v>
      </c>
      <c r="F484" s="41" t="s">
        <v>79</v>
      </c>
      <c r="G484" s="41" t="s">
        <v>79</v>
      </c>
      <c r="H484" s="41" t="s">
        <v>79</v>
      </c>
      <c r="I484" s="41" t="s">
        <v>79</v>
      </c>
      <c r="J484" s="41" t="s">
        <v>79</v>
      </c>
      <c r="K484" s="41" t="s">
        <v>79</v>
      </c>
      <c r="L484" s="41" t="s">
        <v>79</v>
      </c>
      <c r="M484" s="57">
        <f t="shared" si="7"/>
        <v>0</v>
      </c>
    </row>
    <row r="485" spans="1:13" ht="15">
      <c r="A485" t="s">
        <v>218</v>
      </c>
      <c r="B485" t="s">
        <v>146</v>
      </c>
      <c r="C485" t="s">
        <v>147</v>
      </c>
      <c r="D485" t="s">
        <v>78</v>
      </c>
      <c r="E485" t="s">
        <v>72</v>
      </c>
      <c r="F485" s="41" t="s">
        <v>79</v>
      </c>
      <c r="G485" s="41" t="s">
        <v>79</v>
      </c>
      <c r="H485" s="41" t="s">
        <v>79</v>
      </c>
      <c r="I485" s="41" t="s">
        <v>79</v>
      </c>
      <c r="J485" s="41" t="s">
        <v>79</v>
      </c>
      <c r="K485" s="41" t="s">
        <v>79</v>
      </c>
      <c r="L485" s="41" t="s">
        <v>79</v>
      </c>
      <c r="M485" s="57">
        <f t="shared" si="7"/>
        <v>0</v>
      </c>
    </row>
    <row r="486" spans="1:13" ht="15">
      <c r="A486" t="s">
        <v>218</v>
      </c>
      <c r="B486" t="s">
        <v>148</v>
      </c>
      <c r="C486" t="s">
        <v>149</v>
      </c>
      <c r="D486" t="s">
        <v>78</v>
      </c>
      <c r="E486" t="s">
        <v>72</v>
      </c>
      <c r="F486" s="41" t="s">
        <v>79</v>
      </c>
      <c r="G486" s="41" t="s">
        <v>79</v>
      </c>
      <c r="H486" s="41" t="s">
        <v>79</v>
      </c>
      <c r="I486" s="41" t="s">
        <v>79</v>
      </c>
      <c r="J486" s="41" t="s">
        <v>79</v>
      </c>
      <c r="K486" s="41" t="s">
        <v>79</v>
      </c>
      <c r="L486" s="41" t="s">
        <v>79</v>
      </c>
      <c r="M486" s="57">
        <f t="shared" si="7"/>
        <v>0</v>
      </c>
    </row>
    <row r="487" spans="1:13" ht="15">
      <c r="A487" t="s">
        <v>218</v>
      </c>
      <c r="B487" t="s">
        <v>150</v>
      </c>
      <c r="C487" t="s">
        <v>151</v>
      </c>
      <c r="D487" t="s">
        <v>78</v>
      </c>
      <c r="E487" t="s">
        <v>72</v>
      </c>
      <c r="F487" s="41" t="s">
        <v>79</v>
      </c>
      <c r="G487" s="41" t="s">
        <v>79</v>
      </c>
      <c r="H487" s="41" t="s">
        <v>79</v>
      </c>
      <c r="I487" s="41" t="s">
        <v>79</v>
      </c>
      <c r="J487" s="41" t="s">
        <v>79</v>
      </c>
      <c r="K487" s="41" t="s">
        <v>79</v>
      </c>
      <c r="L487" s="41" t="s">
        <v>79</v>
      </c>
      <c r="M487" s="57">
        <f t="shared" si="7"/>
        <v>0</v>
      </c>
    </row>
    <row r="488" spans="1:13" ht="15">
      <c r="A488" t="s">
        <v>218</v>
      </c>
      <c r="B488" t="s">
        <v>152</v>
      </c>
      <c r="C488" t="s">
        <v>153</v>
      </c>
      <c r="D488" t="s">
        <v>78</v>
      </c>
      <c r="E488" t="s">
        <v>72</v>
      </c>
      <c r="F488" s="41" t="s">
        <v>79</v>
      </c>
      <c r="G488" s="41" t="s">
        <v>79</v>
      </c>
      <c r="H488" s="41" t="s">
        <v>79</v>
      </c>
      <c r="I488" s="41" t="s">
        <v>79</v>
      </c>
      <c r="J488" s="41" t="s">
        <v>79</v>
      </c>
      <c r="K488" s="41" t="s">
        <v>79</v>
      </c>
      <c r="L488" s="41" t="s">
        <v>79</v>
      </c>
      <c r="M488" s="57">
        <f t="shared" si="7"/>
        <v>0</v>
      </c>
    </row>
    <row r="489" spans="1:13" ht="15">
      <c r="A489" t="s">
        <v>218</v>
      </c>
      <c r="B489" t="s">
        <v>154</v>
      </c>
      <c r="C489" t="s">
        <v>155</v>
      </c>
      <c r="D489" t="s">
        <v>78</v>
      </c>
      <c r="E489" t="s">
        <v>72</v>
      </c>
      <c r="F489" s="41" t="s">
        <v>79</v>
      </c>
      <c r="G489" s="41" t="s">
        <v>79</v>
      </c>
      <c r="H489" s="41" t="s">
        <v>79</v>
      </c>
      <c r="I489" s="41" t="s">
        <v>79</v>
      </c>
      <c r="J489" s="41" t="s">
        <v>79</v>
      </c>
      <c r="K489" s="41" t="s">
        <v>79</v>
      </c>
      <c r="L489" s="41" t="s">
        <v>79</v>
      </c>
      <c r="M489" s="57">
        <f t="shared" si="7"/>
        <v>0</v>
      </c>
    </row>
    <row r="490" spans="1:13" ht="15">
      <c r="A490" t="s">
        <v>218</v>
      </c>
      <c r="B490" t="s">
        <v>156</v>
      </c>
      <c r="C490" t="s">
        <v>157</v>
      </c>
      <c r="D490" t="s">
        <v>78</v>
      </c>
      <c r="E490" t="s">
        <v>72</v>
      </c>
      <c r="F490" s="41" t="s">
        <v>79</v>
      </c>
      <c r="G490" s="41" t="s">
        <v>79</v>
      </c>
      <c r="H490" s="41" t="s">
        <v>79</v>
      </c>
      <c r="I490" s="41" t="s">
        <v>79</v>
      </c>
      <c r="J490" s="41" t="s">
        <v>79</v>
      </c>
      <c r="K490" s="41" t="s">
        <v>79</v>
      </c>
      <c r="L490" s="41" t="s">
        <v>79</v>
      </c>
      <c r="M490" s="57">
        <f t="shared" si="7"/>
        <v>0</v>
      </c>
    </row>
    <row r="491" spans="1:13" ht="15">
      <c r="A491" t="s">
        <v>218</v>
      </c>
      <c r="B491" t="s">
        <v>158</v>
      </c>
      <c r="C491" t="s">
        <v>159</v>
      </c>
      <c r="D491" t="s">
        <v>78</v>
      </c>
      <c r="E491" t="s">
        <v>72</v>
      </c>
      <c r="F491" s="41" t="s">
        <v>79</v>
      </c>
      <c r="G491" s="41" t="s">
        <v>79</v>
      </c>
      <c r="H491" s="41" t="s">
        <v>79</v>
      </c>
      <c r="I491" s="41" t="s">
        <v>79</v>
      </c>
      <c r="J491" s="41" t="s">
        <v>79</v>
      </c>
      <c r="K491" s="41" t="s">
        <v>79</v>
      </c>
      <c r="L491" s="41" t="s">
        <v>79</v>
      </c>
      <c r="M491" s="57">
        <f t="shared" si="7"/>
        <v>0</v>
      </c>
    </row>
    <row r="492" spans="1:13" ht="15">
      <c r="A492" t="s">
        <v>218</v>
      </c>
      <c r="B492" t="s">
        <v>160</v>
      </c>
      <c r="C492" t="s">
        <v>161</v>
      </c>
      <c r="D492" t="s">
        <v>78</v>
      </c>
      <c r="E492" t="s">
        <v>72</v>
      </c>
      <c r="F492" s="41" t="s">
        <v>79</v>
      </c>
      <c r="G492" s="41" t="s">
        <v>79</v>
      </c>
      <c r="H492" s="41" t="s">
        <v>79</v>
      </c>
      <c r="I492" s="41" t="s">
        <v>79</v>
      </c>
      <c r="J492" s="41" t="s">
        <v>79</v>
      </c>
      <c r="K492" s="41" t="s">
        <v>79</v>
      </c>
      <c r="L492" s="41" t="s">
        <v>79</v>
      </c>
      <c r="M492" s="57">
        <f t="shared" si="7"/>
        <v>0</v>
      </c>
    </row>
    <row r="493" spans="1:13" ht="15">
      <c r="A493" t="s">
        <v>218</v>
      </c>
      <c r="B493" t="s">
        <v>162</v>
      </c>
      <c r="C493" t="s">
        <v>163</v>
      </c>
      <c r="D493" t="s">
        <v>78</v>
      </c>
      <c r="E493" t="s">
        <v>72</v>
      </c>
      <c r="F493" s="41" t="s">
        <v>79</v>
      </c>
      <c r="G493" s="41" t="s">
        <v>79</v>
      </c>
      <c r="H493" s="41" t="s">
        <v>79</v>
      </c>
      <c r="I493" s="41" t="s">
        <v>79</v>
      </c>
      <c r="J493" s="41" t="s">
        <v>79</v>
      </c>
      <c r="K493" s="41" t="s">
        <v>79</v>
      </c>
      <c r="L493" s="41" t="s">
        <v>79</v>
      </c>
      <c r="M493" s="57">
        <f t="shared" si="7"/>
        <v>0</v>
      </c>
    </row>
    <row r="494" spans="1:13" ht="15">
      <c r="A494" t="s">
        <v>218</v>
      </c>
      <c r="B494" t="s">
        <v>164</v>
      </c>
      <c r="C494" t="s">
        <v>165</v>
      </c>
      <c r="D494" t="s">
        <v>78</v>
      </c>
      <c r="E494" t="s">
        <v>72</v>
      </c>
      <c r="F494" s="41" t="s">
        <v>79</v>
      </c>
      <c r="G494" s="41" t="s">
        <v>79</v>
      </c>
      <c r="H494" s="41" t="s">
        <v>79</v>
      </c>
      <c r="I494" s="41" t="s">
        <v>79</v>
      </c>
      <c r="J494" s="41" t="s">
        <v>79</v>
      </c>
      <c r="K494" s="41" t="s">
        <v>79</v>
      </c>
      <c r="L494" s="41" t="s">
        <v>79</v>
      </c>
      <c r="M494" s="57">
        <f t="shared" si="7"/>
        <v>0</v>
      </c>
    </row>
    <row r="495" spans="1:13" ht="15">
      <c r="A495" t="s">
        <v>218</v>
      </c>
      <c r="B495" t="s">
        <v>166</v>
      </c>
      <c r="C495" t="s">
        <v>167</v>
      </c>
      <c r="D495" t="s">
        <v>78</v>
      </c>
      <c r="E495" t="s">
        <v>72</v>
      </c>
      <c r="F495" s="41" t="s">
        <v>79</v>
      </c>
      <c r="G495" s="41" t="s">
        <v>79</v>
      </c>
      <c r="H495" s="41" t="s">
        <v>79</v>
      </c>
      <c r="I495" s="41" t="s">
        <v>79</v>
      </c>
      <c r="J495" s="41" t="s">
        <v>79</v>
      </c>
      <c r="K495" s="41" t="s">
        <v>79</v>
      </c>
      <c r="L495" s="41" t="s">
        <v>79</v>
      </c>
      <c r="M495" s="57">
        <f t="shared" si="7"/>
        <v>0</v>
      </c>
    </row>
    <row r="496" spans="1:13" ht="15">
      <c r="A496" t="s">
        <v>218</v>
      </c>
      <c r="B496" t="s">
        <v>168</v>
      </c>
      <c r="C496" t="s">
        <v>169</v>
      </c>
      <c r="D496" t="s">
        <v>78</v>
      </c>
      <c r="E496" t="s">
        <v>72</v>
      </c>
      <c r="F496" s="41" t="s">
        <v>79</v>
      </c>
      <c r="G496" s="41" t="s">
        <v>79</v>
      </c>
      <c r="H496" s="41" t="s">
        <v>79</v>
      </c>
      <c r="I496" s="41" t="s">
        <v>79</v>
      </c>
      <c r="J496" s="41" t="s">
        <v>79</v>
      </c>
      <c r="K496" s="41" t="s">
        <v>79</v>
      </c>
      <c r="L496" s="41" t="s">
        <v>79</v>
      </c>
      <c r="M496" s="57">
        <f t="shared" si="7"/>
        <v>0</v>
      </c>
    </row>
    <row r="497" spans="1:13" ht="15">
      <c r="A497" t="s">
        <v>218</v>
      </c>
      <c r="B497" t="s">
        <v>170</v>
      </c>
      <c r="C497" t="s">
        <v>171</v>
      </c>
      <c r="D497" t="s">
        <v>78</v>
      </c>
      <c r="E497" t="s">
        <v>72</v>
      </c>
      <c r="F497" s="41" t="s">
        <v>79</v>
      </c>
      <c r="G497" s="41" t="s">
        <v>79</v>
      </c>
      <c r="H497" s="41" t="s">
        <v>79</v>
      </c>
      <c r="I497" s="41" t="s">
        <v>79</v>
      </c>
      <c r="J497" s="41" t="s">
        <v>79</v>
      </c>
      <c r="K497" s="41" t="s">
        <v>79</v>
      </c>
      <c r="L497" s="41" t="s">
        <v>79</v>
      </c>
      <c r="M497" s="57">
        <f t="shared" si="7"/>
        <v>0</v>
      </c>
    </row>
    <row r="498" spans="1:13" ht="15">
      <c r="A498" t="s">
        <v>218</v>
      </c>
      <c r="B498" t="s">
        <v>172</v>
      </c>
      <c r="C498" t="s">
        <v>173</v>
      </c>
      <c r="D498" t="s">
        <v>78</v>
      </c>
      <c r="E498" t="s">
        <v>72</v>
      </c>
      <c r="F498" s="41" t="s">
        <v>79</v>
      </c>
      <c r="G498" s="41" t="s">
        <v>79</v>
      </c>
      <c r="H498" s="41" t="s">
        <v>79</v>
      </c>
      <c r="I498" s="41" t="s">
        <v>79</v>
      </c>
      <c r="J498" s="41" t="s">
        <v>79</v>
      </c>
      <c r="K498" s="41" t="s">
        <v>79</v>
      </c>
      <c r="L498" s="41" t="s">
        <v>79</v>
      </c>
      <c r="M498" s="57">
        <f t="shared" si="7"/>
        <v>0</v>
      </c>
    </row>
    <row r="499" spans="1:13" ht="15">
      <c r="A499" t="s">
        <v>218</v>
      </c>
      <c r="B499" t="s">
        <v>174</v>
      </c>
      <c r="C499" t="s">
        <v>175</v>
      </c>
      <c r="D499" t="s">
        <v>78</v>
      </c>
      <c r="E499" t="s">
        <v>72</v>
      </c>
      <c r="F499" s="41" t="s">
        <v>79</v>
      </c>
      <c r="G499" s="41" t="s">
        <v>79</v>
      </c>
      <c r="H499" s="41" t="s">
        <v>79</v>
      </c>
      <c r="I499" s="41" t="s">
        <v>79</v>
      </c>
      <c r="J499" s="41" t="s">
        <v>79</v>
      </c>
      <c r="K499" s="41" t="s">
        <v>79</v>
      </c>
      <c r="L499" s="41" t="s">
        <v>79</v>
      </c>
      <c r="M499" s="57">
        <f t="shared" si="7"/>
        <v>0</v>
      </c>
    </row>
    <row r="500" spans="1:13" ht="15">
      <c r="A500" t="s">
        <v>218</v>
      </c>
      <c r="B500" t="s">
        <v>176</v>
      </c>
      <c r="C500" t="s">
        <v>177</v>
      </c>
      <c r="D500" t="s">
        <v>78</v>
      </c>
      <c r="E500" t="s">
        <v>72</v>
      </c>
      <c r="F500" s="41" t="s">
        <v>79</v>
      </c>
      <c r="G500" s="41" t="s">
        <v>79</v>
      </c>
      <c r="H500" s="41" t="s">
        <v>79</v>
      </c>
      <c r="I500" s="41" t="s">
        <v>79</v>
      </c>
      <c r="J500" s="41" t="s">
        <v>79</v>
      </c>
      <c r="K500" s="41" t="s">
        <v>79</v>
      </c>
      <c r="L500" s="41" t="s">
        <v>79</v>
      </c>
      <c r="M500" s="57">
        <f t="shared" si="7"/>
        <v>0</v>
      </c>
    </row>
    <row r="501" spans="1:13" ht="15">
      <c r="A501" t="s">
        <v>218</v>
      </c>
      <c r="B501" t="s">
        <v>178</v>
      </c>
      <c r="C501" t="s">
        <v>179</v>
      </c>
      <c r="D501" t="s">
        <v>78</v>
      </c>
      <c r="E501" t="s">
        <v>72</v>
      </c>
      <c r="F501" s="41" t="s">
        <v>79</v>
      </c>
      <c r="G501" s="41" t="s">
        <v>79</v>
      </c>
      <c r="H501" s="41" t="s">
        <v>79</v>
      </c>
      <c r="I501" s="41" t="s">
        <v>79</v>
      </c>
      <c r="J501" s="41" t="s">
        <v>79</v>
      </c>
      <c r="K501" s="41" t="s">
        <v>79</v>
      </c>
      <c r="L501" s="41" t="s">
        <v>79</v>
      </c>
      <c r="M501" s="57">
        <f t="shared" si="7"/>
        <v>0</v>
      </c>
    </row>
    <row r="502" spans="1:13" ht="15">
      <c r="A502" t="s">
        <v>218</v>
      </c>
      <c r="B502" t="s">
        <v>180</v>
      </c>
      <c r="C502" t="s">
        <v>181</v>
      </c>
      <c r="D502" t="s">
        <v>78</v>
      </c>
      <c r="E502" t="s">
        <v>72</v>
      </c>
      <c r="F502" s="41" t="s">
        <v>79</v>
      </c>
      <c r="G502" s="41" t="s">
        <v>79</v>
      </c>
      <c r="H502" s="41" t="s">
        <v>79</v>
      </c>
      <c r="I502" s="41" t="s">
        <v>79</v>
      </c>
      <c r="J502" s="41" t="s">
        <v>79</v>
      </c>
      <c r="K502" s="41" t="s">
        <v>79</v>
      </c>
      <c r="L502" s="41" t="s">
        <v>79</v>
      </c>
      <c r="M502" s="57">
        <f t="shared" si="7"/>
        <v>0</v>
      </c>
    </row>
    <row r="503" spans="1:13" ht="15">
      <c r="A503" t="s">
        <v>218</v>
      </c>
      <c r="B503" t="s">
        <v>182</v>
      </c>
      <c r="C503" t="s">
        <v>183</v>
      </c>
      <c r="D503" t="s">
        <v>78</v>
      </c>
      <c r="E503" t="s">
        <v>72</v>
      </c>
      <c r="F503" s="41" t="s">
        <v>79</v>
      </c>
      <c r="G503" s="41" t="s">
        <v>79</v>
      </c>
      <c r="H503" s="41" t="s">
        <v>79</v>
      </c>
      <c r="I503" s="41" t="s">
        <v>79</v>
      </c>
      <c r="J503" s="41" t="s">
        <v>79</v>
      </c>
      <c r="K503" s="41" t="s">
        <v>79</v>
      </c>
      <c r="L503" s="41" t="s">
        <v>79</v>
      </c>
      <c r="M503" s="57">
        <f t="shared" si="7"/>
        <v>0</v>
      </c>
    </row>
    <row r="504" spans="1:13" ht="15">
      <c r="A504" t="s">
        <v>218</v>
      </c>
      <c r="B504" t="s">
        <v>184</v>
      </c>
      <c r="C504" t="s">
        <v>185</v>
      </c>
      <c r="D504" t="s">
        <v>78</v>
      </c>
      <c r="E504" t="s">
        <v>72</v>
      </c>
      <c r="F504" s="41" t="s">
        <v>79</v>
      </c>
      <c r="G504" s="41" t="s">
        <v>79</v>
      </c>
      <c r="H504" s="41" t="s">
        <v>79</v>
      </c>
      <c r="I504" s="41" t="s">
        <v>79</v>
      </c>
      <c r="J504" s="41" t="s">
        <v>79</v>
      </c>
      <c r="K504" s="41" t="s">
        <v>79</v>
      </c>
      <c r="L504" s="41" t="s">
        <v>79</v>
      </c>
      <c r="M504" s="57">
        <f t="shared" si="7"/>
        <v>0</v>
      </c>
    </row>
    <row r="505" spans="1:13" ht="15">
      <c r="A505" t="s">
        <v>218</v>
      </c>
      <c r="B505" t="s">
        <v>186</v>
      </c>
      <c r="C505" t="s">
        <v>187</v>
      </c>
      <c r="D505" t="s">
        <v>78</v>
      </c>
      <c r="E505" t="s">
        <v>72</v>
      </c>
      <c r="F505" s="41" t="s">
        <v>79</v>
      </c>
      <c r="G505" s="41" t="s">
        <v>79</v>
      </c>
      <c r="H505" s="41" t="s">
        <v>79</v>
      </c>
      <c r="I505" s="41" t="s">
        <v>79</v>
      </c>
      <c r="J505" s="41" t="s">
        <v>79</v>
      </c>
      <c r="K505" s="41" t="s">
        <v>79</v>
      </c>
      <c r="L505" s="41" t="s">
        <v>79</v>
      </c>
      <c r="M505" s="57">
        <f t="shared" si="7"/>
        <v>0</v>
      </c>
    </row>
    <row r="506" spans="1:13" ht="15">
      <c r="A506" t="s">
        <v>218</v>
      </c>
      <c r="B506" t="s">
        <v>188</v>
      </c>
      <c r="C506" t="s">
        <v>189</v>
      </c>
      <c r="D506" t="s">
        <v>78</v>
      </c>
      <c r="E506" t="s">
        <v>72</v>
      </c>
      <c r="F506" s="41" t="s">
        <v>79</v>
      </c>
      <c r="G506" s="41" t="s">
        <v>79</v>
      </c>
      <c r="H506" s="41" t="s">
        <v>79</v>
      </c>
      <c r="I506" s="41" t="s">
        <v>79</v>
      </c>
      <c r="J506" s="41" t="s">
        <v>79</v>
      </c>
      <c r="K506" s="41" t="s">
        <v>79</v>
      </c>
      <c r="L506" s="41" t="s">
        <v>79</v>
      </c>
      <c r="M506" s="57">
        <f t="shared" si="7"/>
        <v>0</v>
      </c>
    </row>
    <row r="507" spans="1:13" ht="15">
      <c r="A507" t="s">
        <v>218</v>
      </c>
      <c r="B507" t="s">
        <v>190</v>
      </c>
      <c r="C507" t="s">
        <v>191</v>
      </c>
      <c r="D507" t="s">
        <v>78</v>
      </c>
      <c r="E507" t="s">
        <v>72</v>
      </c>
      <c r="F507" s="41" t="s">
        <v>79</v>
      </c>
      <c r="G507" s="41" t="s">
        <v>79</v>
      </c>
      <c r="H507" s="41" t="s">
        <v>79</v>
      </c>
      <c r="I507" s="41" t="s">
        <v>79</v>
      </c>
      <c r="J507" s="41" t="s">
        <v>79</v>
      </c>
      <c r="K507" s="41" t="s">
        <v>79</v>
      </c>
      <c r="L507" s="41" t="s">
        <v>79</v>
      </c>
      <c r="M507" s="57">
        <f t="shared" si="7"/>
        <v>0</v>
      </c>
    </row>
    <row r="508" spans="1:13" ht="15">
      <c r="A508" t="s">
        <v>218</v>
      </c>
      <c r="B508" t="s">
        <v>192</v>
      </c>
      <c r="C508" t="s">
        <v>193</v>
      </c>
      <c r="D508" t="s">
        <v>78</v>
      </c>
      <c r="E508" t="s">
        <v>72</v>
      </c>
      <c r="F508" s="41" t="s">
        <v>79</v>
      </c>
      <c r="G508" s="41" t="s">
        <v>79</v>
      </c>
      <c r="H508" s="41" t="s">
        <v>79</v>
      </c>
      <c r="I508" s="41" t="s">
        <v>79</v>
      </c>
      <c r="J508" s="41" t="s">
        <v>79</v>
      </c>
      <c r="K508" s="41" t="s">
        <v>79</v>
      </c>
      <c r="L508" s="41" t="s">
        <v>79</v>
      </c>
      <c r="M508" s="57">
        <f t="shared" si="7"/>
        <v>0</v>
      </c>
    </row>
    <row r="509" spans="1:13" ht="15">
      <c r="A509" t="s">
        <v>218</v>
      </c>
      <c r="B509" t="s">
        <v>194</v>
      </c>
      <c r="C509" t="s">
        <v>195</v>
      </c>
      <c r="D509" t="s">
        <v>78</v>
      </c>
      <c r="E509" t="s">
        <v>72</v>
      </c>
      <c r="F509" s="41" t="s">
        <v>79</v>
      </c>
      <c r="G509" s="41" t="s">
        <v>79</v>
      </c>
      <c r="H509" s="41" t="s">
        <v>79</v>
      </c>
      <c r="I509" s="41" t="s">
        <v>79</v>
      </c>
      <c r="J509" s="41" t="s">
        <v>79</v>
      </c>
      <c r="K509" s="41" t="s">
        <v>79</v>
      </c>
      <c r="L509" s="41" t="s">
        <v>79</v>
      </c>
      <c r="M509" s="57">
        <f t="shared" si="7"/>
        <v>0</v>
      </c>
    </row>
    <row r="510" spans="1:13" ht="15">
      <c r="A510" t="s">
        <v>218</v>
      </c>
      <c r="B510" t="s">
        <v>196</v>
      </c>
      <c r="C510" t="s">
        <v>197</v>
      </c>
      <c r="D510" t="s">
        <v>78</v>
      </c>
      <c r="E510" t="s">
        <v>72</v>
      </c>
      <c r="F510" s="41" t="s">
        <v>79</v>
      </c>
      <c r="G510" s="41" t="s">
        <v>79</v>
      </c>
      <c r="H510" s="41" t="s">
        <v>79</v>
      </c>
      <c r="I510" s="41" t="s">
        <v>79</v>
      </c>
      <c r="J510" s="41" t="s">
        <v>79</v>
      </c>
      <c r="K510" s="41" t="s">
        <v>79</v>
      </c>
      <c r="L510" s="41" t="s">
        <v>79</v>
      </c>
      <c r="M510" s="57">
        <f t="shared" si="7"/>
        <v>0</v>
      </c>
    </row>
    <row r="511" spans="1:13" ht="15">
      <c r="A511" t="s">
        <v>218</v>
      </c>
      <c r="B511" t="s">
        <v>198</v>
      </c>
      <c r="C511" t="s">
        <v>199</v>
      </c>
      <c r="D511" t="s">
        <v>78</v>
      </c>
      <c r="E511" t="s">
        <v>72</v>
      </c>
      <c r="F511" s="41" t="s">
        <v>79</v>
      </c>
      <c r="G511" s="41" t="s">
        <v>79</v>
      </c>
      <c r="H511" s="41" t="s">
        <v>79</v>
      </c>
      <c r="I511" s="41" t="s">
        <v>79</v>
      </c>
      <c r="J511" s="41" t="s">
        <v>79</v>
      </c>
      <c r="K511" s="41" t="s">
        <v>79</v>
      </c>
      <c r="L511" s="41" t="s">
        <v>79</v>
      </c>
      <c r="M511" s="57">
        <f t="shared" si="7"/>
        <v>0</v>
      </c>
    </row>
    <row r="512" spans="1:13" ht="15">
      <c r="A512" t="s">
        <v>218</v>
      </c>
      <c r="B512" t="s">
        <v>200</v>
      </c>
      <c r="C512" t="s">
        <v>201</v>
      </c>
      <c r="D512" t="s">
        <v>78</v>
      </c>
      <c r="E512" t="s">
        <v>72</v>
      </c>
      <c r="F512" s="41" t="s">
        <v>79</v>
      </c>
      <c r="G512" s="41" t="s">
        <v>79</v>
      </c>
      <c r="H512" s="41" t="s">
        <v>79</v>
      </c>
      <c r="I512" s="41" t="s">
        <v>79</v>
      </c>
      <c r="J512" s="41" t="s">
        <v>79</v>
      </c>
      <c r="K512" s="41" t="s">
        <v>79</v>
      </c>
      <c r="L512" s="41" t="s">
        <v>79</v>
      </c>
      <c r="M512" s="57">
        <f t="shared" si="7"/>
        <v>0</v>
      </c>
    </row>
    <row r="513" spans="1:13" ht="15">
      <c r="A513" t="s">
        <v>218</v>
      </c>
      <c r="B513" t="s">
        <v>202</v>
      </c>
      <c r="C513" t="s">
        <v>203</v>
      </c>
      <c r="D513" t="s">
        <v>78</v>
      </c>
      <c r="E513" t="s">
        <v>72</v>
      </c>
      <c r="F513" s="41" t="s">
        <v>79</v>
      </c>
      <c r="G513" s="41" t="s">
        <v>79</v>
      </c>
      <c r="H513" s="41" t="s">
        <v>79</v>
      </c>
      <c r="I513" s="41" t="s">
        <v>79</v>
      </c>
      <c r="J513" s="41" t="s">
        <v>79</v>
      </c>
      <c r="K513" s="41" t="s">
        <v>79</v>
      </c>
      <c r="L513" s="41" t="s">
        <v>79</v>
      </c>
      <c r="M513" s="57">
        <f t="shared" si="7"/>
        <v>0</v>
      </c>
    </row>
    <row r="514" spans="1:13" ht="15">
      <c r="A514" t="s">
        <v>218</v>
      </c>
      <c r="B514" t="s">
        <v>204</v>
      </c>
      <c r="C514" t="s">
        <v>205</v>
      </c>
      <c r="D514" t="s">
        <v>78</v>
      </c>
      <c r="E514" t="s">
        <v>72</v>
      </c>
      <c r="F514" s="41" t="s">
        <v>79</v>
      </c>
      <c r="G514" s="41" t="s">
        <v>79</v>
      </c>
      <c r="H514" s="41" t="s">
        <v>79</v>
      </c>
      <c r="I514" s="41" t="s">
        <v>79</v>
      </c>
      <c r="J514" s="41" t="s">
        <v>79</v>
      </c>
      <c r="K514" s="41" t="s">
        <v>79</v>
      </c>
      <c r="L514" s="41" t="s">
        <v>79</v>
      </c>
      <c r="M514" s="57">
        <f t="shared" si="7"/>
        <v>0</v>
      </c>
    </row>
    <row r="515" spans="1:13" ht="15">
      <c r="A515" t="s">
        <v>218</v>
      </c>
      <c r="B515" t="s">
        <v>206</v>
      </c>
      <c r="C515" t="s">
        <v>207</v>
      </c>
      <c r="D515" t="s">
        <v>78</v>
      </c>
      <c r="E515" t="s">
        <v>72</v>
      </c>
      <c r="F515" s="41" t="s">
        <v>79</v>
      </c>
      <c r="G515" s="41" t="s">
        <v>79</v>
      </c>
      <c r="H515" s="41" t="s">
        <v>79</v>
      </c>
      <c r="I515" s="41" t="s">
        <v>79</v>
      </c>
      <c r="J515" s="41" t="s">
        <v>79</v>
      </c>
      <c r="K515" s="41" t="s">
        <v>79</v>
      </c>
      <c r="L515" s="41" t="s">
        <v>79</v>
      </c>
      <c r="M515" s="57">
        <f t="shared" si="7"/>
        <v>0</v>
      </c>
    </row>
    <row r="516" spans="1:13" ht="15">
      <c r="A516" t="s">
        <v>218</v>
      </c>
      <c r="B516" t="s">
        <v>208</v>
      </c>
      <c r="C516" t="s">
        <v>209</v>
      </c>
      <c r="D516" t="s">
        <v>78</v>
      </c>
      <c r="E516" t="s">
        <v>72</v>
      </c>
      <c r="F516" s="41" t="s">
        <v>79</v>
      </c>
      <c r="G516" s="41" t="s">
        <v>79</v>
      </c>
      <c r="H516" s="41" t="s">
        <v>79</v>
      </c>
      <c r="I516" s="41" t="s">
        <v>79</v>
      </c>
      <c r="J516" s="41" t="s">
        <v>79</v>
      </c>
      <c r="K516" s="41" t="s">
        <v>79</v>
      </c>
      <c r="L516" s="41" t="s">
        <v>79</v>
      </c>
      <c r="M516" s="57">
        <f t="shared" si="7"/>
        <v>0</v>
      </c>
    </row>
    <row r="517" spans="1:13" ht="15">
      <c r="A517" t="s">
        <v>218</v>
      </c>
      <c r="B517" t="s">
        <v>210</v>
      </c>
      <c r="C517" t="s">
        <v>211</v>
      </c>
      <c r="D517" t="s">
        <v>78</v>
      </c>
      <c r="E517" t="s">
        <v>72</v>
      </c>
      <c r="F517" s="41" t="s">
        <v>79</v>
      </c>
      <c r="G517" s="41" t="s">
        <v>79</v>
      </c>
      <c r="H517" s="41" t="s">
        <v>79</v>
      </c>
      <c r="I517" s="41" t="s">
        <v>79</v>
      </c>
      <c r="J517" s="41" t="s">
        <v>79</v>
      </c>
      <c r="K517" s="41" t="s">
        <v>79</v>
      </c>
      <c r="L517" s="41" t="s">
        <v>79</v>
      </c>
      <c r="M517" s="57">
        <f t="shared" si="7"/>
        <v>0</v>
      </c>
    </row>
    <row r="518" spans="1:13" ht="15">
      <c r="A518" t="s">
        <v>218</v>
      </c>
      <c r="B518" t="s">
        <v>212</v>
      </c>
      <c r="C518" t="s">
        <v>213</v>
      </c>
      <c r="D518" t="s">
        <v>78</v>
      </c>
      <c r="E518" t="s">
        <v>72</v>
      </c>
      <c r="F518" s="41" t="s">
        <v>79</v>
      </c>
      <c r="G518" s="41" t="s">
        <v>79</v>
      </c>
      <c r="H518" s="41" t="s">
        <v>79</v>
      </c>
      <c r="I518" s="41" t="s">
        <v>79</v>
      </c>
      <c r="J518" s="41" t="s">
        <v>79</v>
      </c>
      <c r="K518" s="41" t="s">
        <v>79</v>
      </c>
      <c r="L518" s="41" t="s">
        <v>79</v>
      </c>
      <c r="M518" s="57">
        <f t="shared" ref="M518:M581" si="8">SUM(F518:L518)</f>
        <v>0</v>
      </c>
    </row>
    <row r="519" spans="1:13" ht="15">
      <c r="A519" t="s">
        <v>218</v>
      </c>
      <c r="B519" t="s">
        <v>214</v>
      </c>
      <c r="C519" t="s">
        <v>215</v>
      </c>
      <c r="D519" t="s">
        <v>78</v>
      </c>
      <c r="E519" t="s">
        <v>72</v>
      </c>
      <c r="F519" s="41" t="s">
        <v>79</v>
      </c>
      <c r="G519" s="41" t="s">
        <v>79</v>
      </c>
      <c r="H519" s="41" t="s">
        <v>79</v>
      </c>
      <c r="I519" s="41" t="s">
        <v>79</v>
      </c>
      <c r="J519" s="41" t="s">
        <v>79</v>
      </c>
      <c r="K519" s="41" t="s">
        <v>79</v>
      </c>
      <c r="L519" s="41" t="s">
        <v>79</v>
      </c>
      <c r="M519" s="57">
        <f t="shared" si="8"/>
        <v>0</v>
      </c>
    </row>
    <row r="520" spans="1:13" ht="15">
      <c r="A520" t="s">
        <v>218</v>
      </c>
      <c r="B520" t="s">
        <v>216</v>
      </c>
      <c r="C520" t="s">
        <v>217</v>
      </c>
      <c r="D520" t="s">
        <v>78</v>
      </c>
      <c r="E520" t="s">
        <v>72</v>
      </c>
      <c r="F520" s="41" t="s">
        <v>79</v>
      </c>
      <c r="G520" s="41" t="s">
        <v>79</v>
      </c>
      <c r="H520" s="41" t="s">
        <v>79</v>
      </c>
      <c r="I520" s="41" t="s">
        <v>79</v>
      </c>
      <c r="J520" s="41" t="s">
        <v>79</v>
      </c>
      <c r="K520" s="41" t="s">
        <v>79</v>
      </c>
      <c r="L520" s="41" t="s">
        <v>79</v>
      </c>
      <c r="M520" s="57">
        <f t="shared" si="8"/>
        <v>0</v>
      </c>
    </row>
    <row r="521" spans="1:13" ht="15">
      <c r="A521" t="s">
        <v>219</v>
      </c>
      <c r="B521" t="s">
        <v>132</v>
      </c>
      <c r="C521" t="s">
        <v>133</v>
      </c>
      <c r="D521" t="s">
        <v>78</v>
      </c>
      <c r="E521" t="s">
        <v>72</v>
      </c>
      <c r="F521" s="41" t="s">
        <v>79</v>
      </c>
      <c r="G521" s="41" t="s">
        <v>79</v>
      </c>
      <c r="H521" s="41" t="s">
        <v>79</v>
      </c>
      <c r="I521" s="41" t="s">
        <v>79</v>
      </c>
      <c r="J521" s="41" t="s">
        <v>79</v>
      </c>
      <c r="K521" s="41" t="s">
        <v>79</v>
      </c>
      <c r="L521" s="41" t="s">
        <v>79</v>
      </c>
      <c r="M521" s="57">
        <f t="shared" si="8"/>
        <v>0</v>
      </c>
    </row>
    <row r="522" spans="1:13" ht="15">
      <c r="A522" t="s">
        <v>219</v>
      </c>
      <c r="B522" t="s">
        <v>134</v>
      </c>
      <c r="C522" t="s">
        <v>135</v>
      </c>
      <c r="D522" t="s">
        <v>78</v>
      </c>
      <c r="E522" t="s">
        <v>72</v>
      </c>
      <c r="F522" s="41" t="s">
        <v>79</v>
      </c>
      <c r="G522" s="41" t="s">
        <v>79</v>
      </c>
      <c r="H522" s="41" t="s">
        <v>79</v>
      </c>
      <c r="I522" s="41" t="s">
        <v>79</v>
      </c>
      <c r="J522" s="41" t="s">
        <v>79</v>
      </c>
      <c r="K522" s="41" t="s">
        <v>79</v>
      </c>
      <c r="L522" s="41" t="s">
        <v>79</v>
      </c>
      <c r="M522" s="57">
        <f t="shared" si="8"/>
        <v>0</v>
      </c>
    </row>
    <row r="523" spans="1:13" ht="15">
      <c r="A523" t="s">
        <v>219</v>
      </c>
      <c r="B523" t="s">
        <v>136</v>
      </c>
      <c r="C523" t="s">
        <v>137</v>
      </c>
      <c r="D523" t="s">
        <v>78</v>
      </c>
      <c r="E523" t="s">
        <v>72</v>
      </c>
      <c r="F523" s="41" t="s">
        <v>79</v>
      </c>
      <c r="G523" s="41" t="s">
        <v>79</v>
      </c>
      <c r="H523" s="41" t="s">
        <v>79</v>
      </c>
      <c r="I523" s="41" t="s">
        <v>79</v>
      </c>
      <c r="J523" s="41" t="s">
        <v>79</v>
      </c>
      <c r="K523" s="41" t="s">
        <v>79</v>
      </c>
      <c r="L523" s="41" t="s">
        <v>79</v>
      </c>
      <c r="M523" s="57">
        <f t="shared" si="8"/>
        <v>0</v>
      </c>
    </row>
    <row r="524" spans="1:13" ht="15">
      <c r="A524" t="s">
        <v>219</v>
      </c>
      <c r="B524" t="s">
        <v>138</v>
      </c>
      <c r="C524" t="s">
        <v>139</v>
      </c>
      <c r="D524" t="s">
        <v>78</v>
      </c>
      <c r="E524" t="s">
        <v>72</v>
      </c>
      <c r="F524" s="41" t="s">
        <v>79</v>
      </c>
      <c r="G524" s="41" t="s">
        <v>79</v>
      </c>
      <c r="H524" s="41" t="s">
        <v>79</v>
      </c>
      <c r="I524" s="41" t="s">
        <v>79</v>
      </c>
      <c r="J524" s="41" t="s">
        <v>79</v>
      </c>
      <c r="K524" s="41" t="s">
        <v>79</v>
      </c>
      <c r="L524" s="41" t="s">
        <v>79</v>
      </c>
      <c r="M524" s="57">
        <f t="shared" si="8"/>
        <v>0</v>
      </c>
    </row>
    <row r="525" spans="1:13" ht="15">
      <c r="A525" t="s">
        <v>219</v>
      </c>
      <c r="B525" t="s">
        <v>140</v>
      </c>
      <c r="C525" t="s">
        <v>141</v>
      </c>
      <c r="D525" t="s">
        <v>78</v>
      </c>
      <c r="E525" t="s">
        <v>72</v>
      </c>
      <c r="F525" s="41" t="s">
        <v>79</v>
      </c>
      <c r="G525" s="41" t="s">
        <v>79</v>
      </c>
      <c r="H525" s="41" t="s">
        <v>79</v>
      </c>
      <c r="I525" s="41" t="s">
        <v>79</v>
      </c>
      <c r="J525" s="41" t="s">
        <v>79</v>
      </c>
      <c r="K525" s="41" t="s">
        <v>79</v>
      </c>
      <c r="L525" s="41" t="s">
        <v>79</v>
      </c>
      <c r="M525" s="57">
        <f t="shared" si="8"/>
        <v>0</v>
      </c>
    </row>
    <row r="526" spans="1:13" ht="15">
      <c r="A526" t="s">
        <v>219</v>
      </c>
      <c r="B526" t="s">
        <v>142</v>
      </c>
      <c r="C526" t="s">
        <v>143</v>
      </c>
      <c r="D526" t="s">
        <v>78</v>
      </c>
      <c r="E526" t="s">
        <v>72</v>
      </c>
      <c r="F526" s="41" t="s">
        <v>79</v>
      </c>
      <c r="G526" s="41" t="s">
        <v>79</v>
      </c>
      <c r="H526" s="41" t="s">
        <v>79</v>
      </c>
      <c r="I526" s="41" t="s">
        <v>79</v>
      </c>
      <c r="J526" s="41" t="s">
        <v>79</v>
      </c>
      <c r="K526" s="41" t="s">
        <v>79</v>
      </c>
      <c r="L526" s="41" t="s">
        <v>79</v>
      </c>
      <c r="M526" s="57">
        <f t="shared" si="8"/>
        <v>0</v>
      </c>
    </row>
    <row r="527" spans="1:13" ht="15">
      <c r="A527" t="s">
        <v>219</v>
      </c>
      <c r="B527" t="s">
        <v>144</v>
      </c>
      <c r="C527" t="s">
        <v>145</v>
      </c>
      <c r="D527" t="s">
        <v>78</v>
      </c>
      <c r="E527" t="s">
        <v>72</v>
      </c>
      <c r="F527" s="41" t="s">
        <v>79</v>
      </c>
      <c r="G527" s="41" t="s">
        <v>79</v>
      </c>
      <c r="H527" s="41" t="s">
        <v>79</v>
      </c>
      <c r="I527" s="41" t="s">
        <v>79</v>
      </c>
      <c r="J527" s="41" t="s">
        <v>79</v>
      </c>
      <c r="K527" s="41" t="s">
        <v>79</v>
      </c>
      <c r="L527" s="41" t="s">
        <v>79</v>
      </c>
      <c r="M527" s="57">
        <f t="shared" si="8"/>
        <v>0</v>
      </c>
    </row>
    <row r="528" spans="1:13" ht="15">
      <c r="A528" t="s">
        <v>219</v>
      </c>
      <c r="B528" t="s">
        <v>146</v>
      </c>
      <c r="C528" t="s">
        <v>147</v>
      </c>
      <c r="D528" t="s">
        <v>78</v>
      </c>
      <c r="E528" t="s">
        <v>72</v>
      </c>
      <c r="F528" s="41" t="s">
        <v>79</v>
      </c>
      <c r="G528" s="41" t="s">
        <v>79</v>
      </c>
      <c r="H528" s="41" t="s">
        <v>79</v>
      </c>
      <c r="I528" s="41" t="s">
        <v>79</v>
      </c>
      <c r="J528" s="41" t="s">
        <v>79</v>
      </c>
      <c r="K528" s="41" t="s">
        <v>79</v>
      </c>
      <c r="L528" s="41" t="s">
        <v>79</v>
      </c>
      <c r="M528" s="57">
        <f t="shared" si="8"/>
        <v>0</v>
      </c>
    </row>
    <row r="529" spans="1:13" ht="15">
      <c r="A529" t="s">
        <v>219</v>
      </c>
      <c r="B529" t="s">
        <v>148</v>
      </c>
      <c r="C529" t="s">
        <v>149</v>
      </c>
      <c r="D529" t="s">
        <v>78</v>
      </c>
      <c r="E529" t="s">
        <v>72</v>
      </c>
      <c r="F529" s="41" t="s">
        <v>79</v>
      </c>
      <c r="G529" s="41" t="s">
        <v>79</v>
      </c>
      <c r="H529" s="41" t="s">
        <v>79</v>
      </c>
      <c r="I529" s="41" t="s">
        <v>79</v>
      </c>
      <c r="J529" s="41" t="s">
        <v>79</v>
      </c>
      <c r="K529" s="41" t="s">
        <v>79</v>
      </c>
      <c r="L529" s="41" t="s">
        <v>79</v>
      </c>
      <c r="M529" s="57">
        <f t="shared" si="8"/>
        <v>0</v>
      </c>
    </row>
    <row r="530" spans="1:13" ht="15">
      <c r="A530" t="s">
        <v>219</v>
      </c>
      <c r="B530" t="s">
        <v>150</v>
      </c>
      <c r="C530" t="s">
        <v>151</v>
      </c>
      <c r="D530" t="s">
        <v>78</v>
      </c>
      <c r="E530" t="s">
        <v>72</v>
      </c>
      <c r="F530" s="41" t="s">
        <v>79</v>
      </c>
      <c r="G530" s="41" t="s">
        <v>79</v>
      </c>
      <c r="H530" s="41" t="s">
        <v>79</v>
      </c>
      <c r="I530" s="41" t="s">
        <v>79</v>
      </c>
      <c r="J530" s="41" t="s">
        <v>79</v>
      </c>
      <c r="K530" s="41" t="s">
        <v>79</v>
      </c>
      <c r="L530" s="41" t="s">
        <v>79</v>
      </c>
      <c r="M530" s="57">
        <f t="shared" si="8"/>
        <v>0</v>
      </c>
    </row>
    <row r="531" spans="1:13" ht="15">
      <c r="A531" t="s">
        <v>219</v>
      </c>
      <c r="B531" t="s">
        <v>152</v>
      </c>
      <c r="C531" t="s">
        <v>153</v>
      </c>
      <c r="D531" t="s">
        <v>78</v>
      </c>
      <c r="E531" t="s">
        <v>72</v>
      </c>
      <c r="F531" s="41" t="s">
        <v>79</v>
      </c>
      <c r="G531" s="41" t="s">
        <v>79</v>
      </c>
      <c r="H531" s="41" t="s">
        <v>79</v>
      </c>
      <c r="I531" s="41" t="s">
        <v>79</v>
      </c>
      <c r="J531" s="41" t="s">
        <v>79</v>
      </c>
      <c r="K531" s="41" t="s">
        <v>79</v>
      </c>
      <c r="L531" s="41" t="s">
        <v>79</v>
      </c>
      <c r="M531" s="57">
        <f t="shared" si="8"/>
        <v>0</v>
      </c>
    </row>
    <row r="532" spans="1:13" ht="15">
      <c r="A532" t="s">
        <v>219</v>
      </c>
      <c r="B532" t="s">
        <v>154</v>
      </c>
      <c r="C532" t="s">
        <v>155</v>
      </c>
      <c r="D532" t="s">
        <v>78</v>
      </c>
      <c r="E532" t="s">
        <v>72</v>
      </c>
      <c r="F532" s="41" t="s">
        <v>79</v>
      </c>
      <c r="G532" s="41" t="s">
        <v>79</v>
      </c>
      <c r="H532" s="41" t="s">
        <v>79</v>
      </c>
      <c r="I532" s="41" t="s">
        <v>79</v>
      </c>
      <c r="J532" s="41" t="s">
        <v>79</v>
      </c>
      <c r="K532" s="41" t="s">
        <v>79</v>
      </c>
      <c r="L532" s="41" t="s">
        <v>79</v>
      </c>
      <c r="M532" s="57">
        <f t="shared" si="8"/>
        <v>0</v>
      </c>
    </row>
    <row r="533" spans="1:13" ht="15">
      <c r="A533" t="s">
        <v>219</v>
      </c>
      <c r="B533" t="s">
        <v>156</v>
      </c>
      <c r="C533" t="s">
        <v>157</v>
      </c>
      <c r="D533" t="s">
        <v>78</v>
      </c>
      <c r="E533" t="s">
        <v>72</v>
      </c>
      <c r="F533" s="41" t="s">
        <v>79</v>
      </c>
      <c r="G533" s="41" t="s">
        <v>79</v>
      </c>
      <c r="H533" s="41" t="s">
        <v>79</v>
      </c>
      <c r="I533" s="41" t="s">
        <v>79</v>
      </c>
      <c r="J533" s="41" t="s">
        <v>79</v>
      </c>
      <c r="K533" s="41" t="s">
        <v>79</v>
      </c>
      <c r="L533" s="41" t="s">
        <v>79</v>
      </c>
      <c r="M533" s="57">
        <f t="shared" si="8"/>
        <v>0</v>
      </c>
    </row>
    <row r="534" spans="1:13" ht="15">
      <c r="A534" t="s">
        <v>219</v>
      </c>
      <c r="B534" t="s">
        <v>158</v>
      </c>
      <c r="C534" t="s">
        <v>159</v>
      </c>
      <c r="D534" t="s">
        <v>78</v>
      </c>
      <c r="E534" t="s">
        <v>72</v>
      </c>
      <c r="F534" s="41" t="s">
        <v>79</v>
      </c>
      <c r="G534" s="41" t="s">
        <v>79</v>
      </c>
      <c r="H534" s="41" t="s">
        <v>79</v>
      </c>
      <c r="I534" s="41" t="s">
        <v>79</v>
      </c>
      <c r="J534" s="41" t="s">
        <v>79</v>
      </c>
      <c r="K534" s="41" t="s">
        <v>79</v>
      </c>
      <c r="L534" s="41" t="s">
        <v>79</v>
      </c>
      <c r="M534" s="57">
        <f t="shared" si="8"/>
        <v>0</v>
      </c>
    </row>
    <row r="535" spans="1:13" ht="15">
      <c r="A535" t="s">
        <v>219</v>
      </c>
      <c r="B535" t="s">
        <v>160</v>
      </c>
      <c r="C535" t="s">
        <v>161</v>
      </c>
      <c r="D535" t="s">
        <v>78</v>
      </c>
      <c r="E535" t="s">
        <v>72</v>
      </c>
      <c r="F535" s="41" t="s">
        <v>79</v>
      </c>
      <c r="G535" s="41" t="s">
        <v>79</v>
      </c>
      <c r="H535" s="41" t="s">
        <v>79</v>
      </c>
      <c r="I535" s="41" t="s">
        <v>79</v>
      </c>
      <c r="J535" s="41" t="s">
        <v>79</v>
      </c>
      <c r="K535" s="41" t="s">
        <v>79</v>
      </c>
      <c r="L535" s="41" t="s">
        <v>79</v>
      </c>
      <c r="M535" s="57">
        <f t="shared" si="8"/>
        <v>0</v>
      </c>
    </row>
    <row r="536" spans="1:13" ht="15">
      <c r="A536" t="s">
        <v>219</v>
      </c>
      <c r="B536" t="s">
        <v>162</v>
      </c>
      <c r="C536" t="s">
        <v>163</v>
      </c>
      <c r="D536" t="s">
        <v>78</v>
      </c>
      <c r="E536" t="s">
        <v>72</v>
      </c>
      <c r="F536" s="41" t="s">
        <v>79</v>
      </c>
      <c r="G536" s="41" t="s">
        <v>79</v>
      </c>
      <c r="H536" s="41" t="s">
        <v>79</v>
      </c>
      <c r="I536" s="41" t="s">
        <v>79</v>
      </c>
      <c r="J536" s="41" t="s">
        <v>79</v>
      </c>
      <c r="K536" s="41" t="s">
        <v>79</v>
      </c>
      <c r="L536" s="41" t="s">
        <v>79</v>
      </c>
      <c r="M536" s="57">
        <f t="shared" si="8"/>
        <v>0</v>
      </c>
    </row>
    <row r="537" spans="1:13" ht="15">
      <c r="A537" t="s">
        <v>219</v>
      </c>
      <c r="B537" t="s">
        <v>164</v>
      </c>
      <c r="C537" t="s">
        <v>165</v>
      </c>
      <c r="D537" t="s">
        <v>78</v>
      </c>
      <c r="E537" t="s">
        <v>72</v>
      </c>
      <c r="F537" s="41" t="s">
        <v>79</v>
      </c>
      <c r="G537" s="41" t="s">
        <v>79</v>
      </c>
      <c r="H537" s="41" t="s">
        <v>79</v>
      </c>
      <c r="I537" s="41" t="s">
        <v>79</v>
      </c>
      <c r="J537" s="41" t="s">
        <v>79</v>
      </c>
      <c r="K537" s="41" t="s">
        <v>79</v>
      </c>
      <c r="L537" s="41" t="s">
        <v>79</v>
      </c>
      <c r="M537" s="57">
        <f t="shared" si="8"/>
        <v>0</v>
      </c>
    </row>
    <row r="538" spans="1:13" ht="15">
      <c r="A538" t="s">
        <v>219</v>
      </c>
      <c r="B538" t="s">
        <v>166</v>
      </c>
      <c r="C538" t="s">
        <v>167</v>
      </c>
      <c r="D538" t="s">
        <v>78</v>
      </c>
      <c r="E538" t="s">
        <v>72</v>
      </c>
      <c r="F538" s="41" t="s">
        <v>79</v>
      </c>
      <c r="G538" s="41" t="s">
        <v>79</v>
      </c>
      <c r="H538" s="41" t="s">
        <v>79</v>
      </c>
      <c r="I538" s="41" t="s">
        <v>79</v>
      </c>
      <c r="J538" s="41" t="s">
        <v>79</v>
      </c>
      <c r="K538" s="41" t="s">
        <v>79</v>
      </c>
      <c r="L538" s="41" t="s">
        <v>79</v>
      </c>
      <c r="M538" s="57">
        <f t="shared" si="8"/>
        <v>0</v>
      </c>
    </row>
    <row r="539" spans="1:13" ht="15">
      <c r="A539" t="s">
        <v>219</v>
      </c>
      <c r="B539" t="s">
        <v>168</v>
      </c>
      <c r="C539" t="s">
        <v>169</v>
      </c>
      <c r="D539" t="s">
        <v>78</v>
      </c>
      <c r="E539" t="s">
        <v>72</v>
      </c>
      <c r="F539" s="41" t="s">
        <v>79</v>
      </c>
      <c r="G539" s="41" t="s">
        <v>79</v>
      </c>
      <c r="H539" s="41" t="s">
        <v>79</v>
      </c>
      <c r="I539" s="41" t="s">
        <v>79</v>
      </c>
      <c r="J539" s="41" t="s">
        <v>79</v>
      </c>
      <c r="K539" s="41" t="s">
        <v>79</v>
      </c>
      <c r="L539" s="41" t="s">
        <v>79</v>
      </c>
      <c r="M539" s="57">
        <f t="shared" si="8"/>
        <v>0</v>
      </c>
    </row>
    <row r="540" spans="1:13" ht="15">
      <c r="A540" t="s">
        <v>219</v>
      </c>
      <c r="B540" t="s">
        <v>170</v>
      </c>
      <c r="C540" t="s">
        <v>171</v>
      </c>
      <c r="D540" t="s">
        <v>78</v>
      </c>
      <c r="E540" t="s">
        <v>72</v>
      </c>
      <c r="F540" s="41" t="s">
        <v>79</v>
      </c>
      <c r="G540" s="41" t="s">
        <v>79</v>
      </c>
      <c r="H540" s="41" t="s">
        <v>79</v>
      </c>
      <c r="I540" s="41" t="s">
        <v>79</v>
      </c>
      <c r="J540" s="41" t="s">
        <v>79</v>
      </c>
      <c r="K540" s="41" t="s">
        <v>79</v>
      </c>
      <c r="L540" s="41" t="s">
        <v>79</v>
      </c>
      <c r="M540" s="57">
        <f t="shared" si="8"/>
        <v>0</v>
      </c>
    </row>
    <row r="541" spans="1:13" ht="15">
      <c r="A541" t="s">
        <v>219</v>
      </c>
      <c r="B541" t="s">
        <v>172</v>
      </c>
      <c r="C541" t="s">
        <v>173</v>
      </c>
      <c r="D541" t="s">
        <v>78</v>
      </c>
      <c r="E541" t="s">
        <v>72</v>
      </c>
      <c r="F541" s="41" t="s">
        <v>79</v>
      </c>
      <c r="G541" s="41" t="s">
        <v>79</v>
      </c>
      <c r="H541" s="41" t="s">
        <v>79</v>
      </c>
      <c r="I541" s="41" t="s">
        <v>79</v>
      </c>
      <c r="J541" s="41" t="s">
        <v>79</v>
      </c>
      <c r="K541" s="41" t="s">
        <v>79</v>
      </c>
      <c r="L541" s="41" t="s">
        <v>79</v>
      </c>
      <c r="M541" s="57">
        <f t="shared" si="8"/>
        <v>0</v>
      </c>
    </row>
    <row r="542" spans="1:13" ht="15">
      <c r="A542" t="s">
        <v>219</v>
      </c>
      <c r="B542" t="s">
        <v>174</v>
      </c>
      <c r="C542" t="s">
        <v>175</v>
      </c>
      <c r="D542" t="s">
        <v>78</v>
      </c>
      <c r="E542" t="s">
        <v>72</v>
      </c>
      <c r="F542" s="41" t="s">
        <v>79</v>
      </c>
      <c r="G542" s="41" t="s">
        <v>79</v>
      </c>
      <c r="H542" s="41" t="s">
        <v>79</v>
      </c>
      <c r="I542" s="41" t="s">
        <v>79</v>
      </c>
      <c r="J542" s="41" t="s">
        <v>79</v>
      </c>
      <c r="K542" s="41" t="s">
        <v>79</v>
      </c>
      <c r="L542" s="41" t="s">
        <v>79</v>
      </c>
      <c r="M542" s="57">
        <f t="shared" si="8"/>
        <v>0</v>
      </c>
    </row>
    <row r="543" spans="1:13" ht="15">
      <c r="A543" t="s">
        <v>219</v>
      </c>
      <c r="B543" t="s">
        <v>176</v>
      </c>
      <c r="C543" t="s">
        <v>177</v>
      </c>
      <c r="D543" t="s">
        <v>78</v>
      </c>
      <c r="E543" t="s">
        <v>72</v>
      </c>
      <c r="F543" s="41" t="s">
        <v>79</v>
      </c>
      <c r="G543" s="41" t="s">
        <v>79</v>
      </c>
      <c r="H543" s="41" t="s">
        <v>79</v>
      </c>
      <c r="I543" s="41" t="s">
        <v>79</v>
      </c>
      <c r="J543" s="41" t="s">
        <v>79</v>
      </c>
      <c r="K543" s="41" t="s">
        <v>79</v>
      </c>
      <c r="L543" s="41" t="s">
        <v>79</v>
      </c>
      <c r="M543" s="57">
        <f t="shared" si="8"/>
        <v>0</v>
      </c>
    </row>
    <row r="544" spans="1:13" ht="15">
      <c r="A544" t="s">
        <v>219</v>
      </c>
      <c r="B544" t="s">
        <v>178</v>
      </c>
      <c r="C544" t="s">
        <v>179</v>
      </c>
      <c r="D544" t="s">
        <v>78</v>
      </c>
      <c r="E544" t="s">
        <v>72</v>
      </c>
      <c r="F544" s="41" t="s">
        <v>79</v>
      </c>
      <c r="G544" s="41" t="s">
        <v>79</v>
      </c>
      <c r="H544" s="41" t="s">
        <v>79</v>
      </c>
      <c r="I544" s="41" t="s">
        <v>79</v>
      </c>
      <c r="J544" s="41" t="s">
        <v>79</v>
      </c>
      <c r="K544" s="41" t="s">
        <v>79</v>
      </c>
      <c r="L544" s="41" t="s">
        <v>79</v>
      </c>
      <c r="M544" s="57">
        <f t="shared" si="8"/>
        <v>0</v>
      </c>
    </row>
    <row r="545" spans="1:13" ht="15">
      <c r="A545" t="s">
        <v>219</v>
      </c>
      <c r="B545" t="s">
        <v>180</v>
      </c>
      <c r="C545" t="s">
        <v>181</v>
      </c>
      <c r="D545" t="s">
        <v>78</v>
      </c>
      <c r="E545" t="s">
        <v>72</v>
      </c>
      <c r="F545" s="41" t="s">
        <v>79</v>
      </c>
      <c r="G545" s="41" t="s">
        <v>79</v>
      </c>
      <c r="H545" s="41" t="s">
        <v>79</v>
      </c>
      <c r="I545" s="41" t="s">
        <v>79</v>
      </c>
      <c r="J545" s="41" t="s">
        <v>79</v>
      </c>
      <c r="K545" s="41" t="s">
        <v>79</v>
      </c>
      <c r="L545" s="41" t="s">
        <v>79</v>
      </c>
      <c r="M545" s="57">
        <f t="shared" si="8"/>
        <v>0</v>
      </c>
    </row>
    <row r="546" spans="1:13" ht="15">
      <c r="A546" t="s">
        <v>219</v>
      </c>
      <c r="B546" t="s">
        <v>182</v>
      </c>
      <c r="C546" t="s">
        <v>183</v>
      </c>
      <c r="D546" t="s">
        <v>78</v>
      </c>
      <c r="E546" t="s">
        <v>72</v>
      </c>
      <c r="F546" s="41" t="s">
        <v>79</v>
      </c>
      <c r="G546" s="41" t="s">
        <v>79</v>
      </c>
      <c r="H546" s="41" t="s">
        <v>79</v>
      </c>
      <c r="I546" s="41" t="s">
        <v>79</v>
      </c>
      <c r="J546" s="41" t="s">
        <v>79</v>
      </c>
      <c r="K546" s="41" t="s">
        <v>79</v>
      </c>
      <c r="L546" s="41" t="s">
        <v>79</v>
      </c>
      <c r="M546" s="57">
        <f t="shared" si="8"/>
        <v>0</v>
      </c>
    </row>
    <row r="547" spans="1:13" ht="15">
      <c r="A547" t="s">
        <v>219</v>
      </c>
      <c r="B547" t="s">
        <v>184</v>
      </c>
      <c r="C547" t="s">
        <v>185</v>
      </c>
      <c r="D547" t="s">
        <v>78</v>
      </c>
      <c r="E547" t="s">
        <v>72</v>
      </c>
      <c r="F547" s="41" t="s">
        <v>79</v>
      </c>
      <c r="G547" s="41" t="s">
        <v>79</v>
      </c>
      <c r="H547" s="41" t="s">
        <v>79</v>
      </c>
      <c r="I547" s="41" t="s">
        <v>79</v>
      </c>
      <c r="J547" s="41" t="s">
        <v>79</v>
      </c>
      <c r="K547" s="41" t="s">
        <v>79</v>
      </c>
      <c r="L547" s="41" t="s">
        <v>79</v>
      </c>
      <c r="M547" s="57">
        <f t="shared" si="8"/>
        <v>0</v>
      </c>
    </row>
    <row r="548" spans="1:13" ht="15">
      <c r="A548" t="s">
        <v>219</v>
      </c>
      <c r="B548" t="s">
        <v>186</v>
      </c>
      <c r="C548" t="s">
        <v>187</v>
      </c>
      <c r="D548" t="s">
        <v>78</v>
      </c>
      <c r="E548" t="s">
        <v>72</v>
      </c>
      <c r="F548" s="41" t="s">
        <v>79</v>
      </c>
      <c r="G548" s="41" t="s">
        <v>79</v>
      </c>
      <c r="H548" s="41" t="s">
        <v>79</v>
      </c>
      <c r="I548" s="41" t="s">
        <v>79</v>
      </c>
      <c r="J548" s="41" t="s">
        <v>79</v>
      </c>
      <c r="K548" s="41" t="s">
        <v>79</v>
      </c>
      <c r="L548" s="41" t="s">
        <v>79</v>
      </c>
      <c r="M548" s="57">
        <f t="shared" si="8"/>
        <v>0</v>
      </c>
    </row>
    <row r="549" spans="1:13" ht="15">
      <c r="A549" t="s">
        <v>219</v>
      </c>
      <c r="B549" t="s">
        <v>188</v>
      </c>
      <c r="C549" t="s">
        <v>189</v>
      </c>
      <c r="D549" t="s">
        <v>78</v>
      </c>
      <c r="E549" t="s">
        <v>72</v>
      </c>
      <c r="F549" s="41" t="s">
        <v>79</v>
      </c>
      <c r="G549" s="41" t="s">
        <v>79</v>
      </c>
      <c r="H549" s="41" t="s">
        <v>79</v>
      </c>
      <c r="I549" s="41" t="s">
        <v>79</v>
      </c>
      <c r="J549" s="41" t="s">
        <v>79</v>
      </c>
      <c r="K549" s="41" t="s">
        <v>79</v>
      </c>
      <c r="L549" s="41" t="s">
        <v>79</v>
      </c>
      <c r="M549" s="57">
        <f t="shared" si="8"/>
        <v>0</v>
      </c>
    </row>
    <row r="550" spans="1:13" ht="15">
      <c r="A550" t="s">
        <v>219</v>
      </c>
      <c r="B550" t="s">
        <v>190</v>
      </c>
      <c r="C550" t="s">
        <v>191</v>
      </c>
      <c r="D550" t="s">
        <v>78</v>
      </c>
      <c r="E550" t="s">
        <v>72</v>
      </c>
      <c r="F550" s="41" t="s">
        <v>79</v>
      </c>
      <c r="G550" s="41" t="s">
        <v>79</v>
      </c>
      <c r="H550" s="41" t="s">
        <v>79</v>
      </c>
      <c r="I550" s="41" t="s">
        <v>79</v>
      </c>
      <c r="J550" s="41" t="s">
        <v>79</v>
      </c>
      <c r="K550" s="41" t="s">
        <v>79</v>
      </c>
      <c r="L550" s="41" t="s">
        <v>79</v>
      </c>
      <c r="M550" s="57">
        <f t="shared" si="8"/>
        <v>0</v>
      </c>
    </row>
    <row r="551" spans="1:13" ht="15">
      <c r="A551" t="s">
        <v>219</v>
      </c>
      <c r="B551" t="s">
        <v>192</v>
      </c>
      <c r="C551" t="s">
        <v>193</v>
      </c>
      <c r="D551" t="s">
        <v>78</v>
      </c>
      <c r="E551" t="s">
        <v>72</v>
      </c>
      <c r="F551" s="41" t="s">
        <v>79</v>
      </c>
      <c r="G551" s="41" t="s">
        <v>79</v>
      </c>
      <c r="H551" s="41" t="s">
        <v>79</v>
      </c>
      <c r="I551" s="41" t="s">
        <v>79</v>
      </c>
      <c r="J551" s="41" t="s">
        <v>79</v>
      </c>
      <c r="K551" s="41" t="s">
        <v>79</v>
      </c>
      <c r="L551" s="41" t="s">
        <v>79</v>
      </c>
      <c r="M551" s="57">
        <f t="shared" si="8"/>
        <v>0</v>
      </c>
    </row>
    <row r="552" spans="1:13" ht="15">
      <c r="A552" t="s">
        <v>219</v>
      </c>
      <c r="B552" t="s">
        <v>194</v>
      </c>
      <c r="C552" t="s">
        <v>195</v>
      </c>
      <c r="D552" t="s">
        <v>78</v>
      </c>
      <c r="E552" t="s">
        <v>72</v>
      </c>
      <c r="F552" s="41" t="s">
        <v>79</v>
      </c>
      <c r="G552" s="41" t="s">
        <v>79</v>
      </c>
      <c r="H552" s="41" t="s">
        <v>79</v>
      </c>
      <c r="I552" s="41" t="s">
        <v>79</v>
      </c>
      <c r="J552" s="41" t="s">
        <v>79</v>
      </c>
      <c r="K552" s="41" t="s">
        <v>79</v>
      </c>
      <c r="L552" s="41" t="s">
        <v>79</v>
      </c>
      <c r="M552" s="57">
        <f t="shared" si="8"/>
        <v>0</v>
      </c>
    </row>
    <row r="553" spans="1:13" ht="15">
      <c r="A553" t="s">
        <v>219</v>
      </c>
      <c r="B553" t="s">
        <v>196</v>
      </c>
      <c r="C553" t="s">
        <v>197</v>
      </c>
      <c r="D553" t="s">
        <v>78</v>
      </c>
      <c r="E553" t="s">
        <v>72</v>
      </c>
      <c r="F553" s="41" t="s">
        <v>79</v>
      </c>
      <c r="G553" s="41" t="s">
        <v>79</v>
      </c>
      <c r="H553" s="41" t="s">
        <v>79</v>
      </c>
      <c r="I553" s="41" t="s">
        <v>79</v>
      </c>
      <c r="J553" s="41" t="s">
        <v>79</v>
      </c>
      <c r="K553" s="41" t="s">
        <v>79</v>
      </c>
      <c r="L553" s="41" t="s">
        <v>79</v>
      </c>
      <c r="M553" s="57">
        <f t="shared" si="8"/>
        <v>0</v>
      </c>
    </row>
    <row r="554" spans="1:13" ht="15">
      <c r="A554" t="s">
        <v>219</v>
      </c>
      <c r="B554" t="s">
        <v>198</v>
      </c>
      <c r="C554" t="s">
        <v>199</v>
      </c>
      <c r="D554" t="s">
        <v>78</v>
      </c>
      <c r="E554" t="s">
        <v>72</v>
      </c>
      <c r="F554" s="41" t="s">
        <v>79</v>
      </c>
      <c r="G554" s="41" t="s">
        <v>79</v>
      </c>
      <c r="H554" s="41" t="s">
        <v>79</v>
      </c>
      <c r="I554" s="41" t="s">
        <v>79</v>
      </c>
      <c r="J554" s="41" t="s">
        <v>79</v>
      </c>
      <c r="K554" s="41" t="s">
        <v>79</v>
      </c>
      <c r="L554" s="41" t="s">
        <v>79</v>
      </c>
      <c r="M554" s="57">
        <f t="shared" si="8"/>
        <v>0</v>
      </c>
    </row>
    <row r="555" spans="1:13" ht="15">
      <c r="A555" t="s">
        <v>219</v>
      </c>
      <c r="B555" t="s">
        <v>200</v>
      </c>
      <c r="C555" t="s">
        <v>201</v>
      </c>
      <c r="D555" t="s">
        <v>78</v>
      </c>
      <c r="E555" t="s">
        <v>72</v>
      </c>
      <c r="F555" s="41" t="s">
        <v>79</v>
      </c>
      <c r="G555" s="41" t="s">
        <v>79</v>
      </c>
      <c r="H555" s="41" t="s">
        <v>79</v>
      </c>
      <c r="I555" s="41" t="s">
        <v>79</v>
      </c>
      <c r="J555" s="41" t="s">
        <v>79</v>
      </c>
      <c r="K555" s="41" t="s">
        <v>79</v>
      </c>
      <c r="L555" s="41" t="s">
        <v>79</v>
      </c>
      <c r="M555" s="57">
        <f t="shared" si="8"/>
        <v>0</v>
      </c>
    </row>
    <row r="556" spans="1:13" ht="15">
      <c r="A556" t="s">
        <v>219</v>
      </c>
      <c r="B556" t="s">
        <v>202</v>
      </c>
      <c r="C556" t="s">
        <v>203</v>
      </c>
      <c r="D556" t="s">
        <v>78</v>
      </c>
      <c r="E556" t="s">
        <v>72</v>
      </c>
      <c r="F556" s="41" t="s">
        <v>79</v>
      </c>
      <c r="G556" s="41" t="s">
        <v>79</v>
      </c>
      <c r="H556" s="41" t="s">
        <v>79</v>
      </c>
      <c r="I556" s="41" t="s">
        <v>79</v>
      </c>
      <c r="J556" s="41" t="s">
        <v>79</v>
      </c>
      <c r="K556" s="41" t="s">
        <v>79</v>
      </c>
      <c r="L556" s="41" t="s">
        <v>79</v>
      </c>
      <c r="M556" s="57">
        <f t="shared" si="8"/>
        <v>0</v>
      </c>
    </row>
    <row r="557" spans="1:13" ht="15">
      <c r="A557" t="s">
        <v>219</v>
      </c>
      <c r="B557" t="s">
        <v>204</v>
      </c>
      <c r="C557" t="s">
        <v>205</v>
      </c>
      <c r="D557" t="s">
        <v>78</v>
      </c>
      <c r="E557" t="s">
        <v>72</v>
      </c>
      <c r="F557" s="41" t="s">
        <v>79</v>
      </c>
      <c r="G557" s="41" t="s">
        <v>79</v>
      </c>
      <c r="H557" s="41" t="s">
        <v>79</v>
      </c>
      <c r="I557" s="41" t="s">
        <v>79</v>
      </c>
      <c r="J557" s="41" t="s">
        <v>79</v>
      </c>
      <c r="K557" s="41" t="s">
        <v>79</v>
      </c>
      <c r="L557" s="41" t="s">
        <v>79</v>
      </c>
      <c r="M557" s="57">
        <f t="shared" si="8"/>
        <v>0</v>
      </c>
    </row>
    <row r="558" spans="1:13" ht="15">
      <c r="A558" t="s">
        <v>219</v>
      </c>
      <c r="B558" t="s">
        <v>206</v>
      </c>
      <c r="C558" t="s">
        <v>207</v>
      </c>
      <c r="D558" t="s">
        <v>78</v>
      </c>
      <c r="E558" t="s">
        <v>72</v>
      </c>
      <c r="F558" s="41" t="s">
        <v>79</v>
      </c>
      <c r="G558" s="41" t="s">
        <v>79</v>
      </c>
      <c r="H558" s="41" t="s">
        <v>79</v>
      </c>
      <c r="I558" s="41" t="s">
        <v>79</v>
      </c>
      <c r="J558" s="41" t="s">
        <v>79</v>
      </c>
      <c r="K558" s="41" t="s">
        <v>79</v>
      </c>
      <c r="L558" s="41" t="s">
        <v>79</v>
      </c>
      <c r="M558" s="57">
        <f t="shared" si="8"/>
        <v>0</v>
      </c>
    </row>
    <row r="559" spans="1:13" ht="15">
      <c r="A559" t="s">
        <v>219</v>
      </c>
      <c r="B559" t="s">
        <v>208</v>
      </c>
      <c r="C559" t="s">
        <v>209</v>
      </c>
      <c r="D559" t="s">
        <v>78</v>
      </c>
      <c r="E559" t="s">
        <v>72</v>
      </c>
      <c r="F559" s="41" t="s">
        <v>79</v>
      </c>
      <c r="G559" s="41" t="s">
        <v>79</v>
      </c>
      <c r="H559" s="41" t="s">
        <v>79</v>
      </c>
      <c r="I559" s="41" t="s">
        <v>79</v>
      </c>
      <c r="J559" s="41" t="s">
        <v>79</v>
      </c>
      <c r="K559" s="41" t="s">
        <v>79</v>
      </c>
      <c r="L559" s="41" t="s">
        <v>79</v>
      </c>
      <c r="M559" s="57">
        <f t="shared" si="8"/>
        <v>0</v>
      </c>
    </row>
    <row r="560" spans="1:13" ht="15">
      <c r="A560" t="s">
        <v>219</v>
      </c>
      <c r="B560" t="s">
        <v>210</v>
      </c>
      <c r="C560" t="s">
        <v>211</v>
      </c>
      <c r="D560" t="s">
        <v>78</v>
      </c>
      <c r="E560" t="s">
        <v>72</v>
      </c>
      <c r="F560" s="41" t="s">
        <v>79</v>
      </c>
      <c r="G560" s="41" t="s">
        <v>79</v>
      </c>
      <c r="H560" s="41" t="s">
        <v>79</v>
      </c>
      <c r="I560" s="41" t="s">
        <v>79</v>
      </c>
      <c r="J560" s="41" t="s">
        <v>79</v>
      </c>
      <c r="K560" s="41" t="s">
        <v>79</v>
      </c>
      <c r="L560" s="41" t="s">
        <v>79</v>
      </c>
      <c r="M560" s="57">
        <f t="shared" si="8"/>
        <v>0</v>
      </c>
    </row>
    <row r="561" spans="1:13" ht="15">
      <c r="A561" t="s">
        <v>219</v>
      </c>
      <c r="B561" t="s">
        <v>212</v>
      </c>
      <c r="C561" t="s">
        <v>213</v>
      </c>
      <c r="D561" t="s">
        <v>78</v>
      </c>
      <c r="E561" t="s">
        <v>72</v>
      </c>
      <c r="F561" s="41" t="s">
        <v>79</v>
      </c>
      <c r="G561" s="41" t="s">
        <v>79</v>
      </c>
      <c r="H561" s="41" t="s">
        <v>79</v>
      </c>
      <c r="I561" s="41" t="s">
        <v>79</v>
      </c>
      <c r="J561" s="41" t="s">
        <v>79</v>
      </c>
      <c r="K561" s="41" t="s">
        <v>79</v>
      </c>
      <c r="L561" s="41" t="s">
        <v>79</v>
      </c>
      <c r="M561" s="57">
        <f t="shared" si="8"/>
        <v>0</v>
      </c>
    </row>
    <row r="562" spans="1:13" ht="15">
      <c r="A562" t="s">
        <v>219</v>
      </c>
      <c r="B562" t="s">
        <v>214</v>
      </c>
      <c r="C562" t="s">
        <v>215</v>
      </c>
      <c r="D562" t="s">
        <v>78</v>
      </c>
      <c r="E562" t="s">
        <v>72</v>
      </c>
      <c r="F562" s="41" t="s">
        <v>79</v>
      </c>
      <c r="G562" s="41" t="s">
        <v>79</v>
      </c>
      <c r="H562" s="41" t="s">
        <v>79</v>
      </c>
      <c r="I562" s="41" t="s">
        <v>79</v>
      </c>
      <c r="J562" s="41" t="s">
        <v>79</v>
      </c>
      <c r="K562" s="41" t="s">
        <v>79</v>
      </c>
      <c r="L562" s="41" t="s">
        <v>79</v>
      </c>
      <c r="M562" s="57">
        <f t="shared" si="8"/>
        <v>0</v>
      </c>
    </row>
    <row r="563" spans="1:13" ht="15">
      <c r="A563" t="s">
        <v>219</v>
      </c>
      <c r="B563" t="s">
        <v>216</v>
      </c>
      <c r="C563" t="s">
        <v>217</v>
      </c>
      <c r="D563" t="s">
        <v>78</v>
      </c>
      <c r="E563" t="s">
        <v>72</v>
      </c>
      <c r="F563" s="41" t="s">
        <v>79</v>
      </c>
      <c r="G563" s="41" t="s">
        <v>79</v>
      </c>
      <c r="H563" s="41" t="s">
        <v>79</v>
      </c>
      <c r="I563" s="41" t="s">
        <v>79</v>
      </c>
      <c r="J563" s="41" t="s">
        <v>79</v>
      </c>
      <c r="K563" s="41" t="s">
        <v>79</v>
      </c>
      <c r="L563" s="41" t="s">
        <v>79</v>
      </c>
      <c r="M563" s="57">
        <f t="shared" si="8"/>
        <v>0</v>
      </c>
    </row>
    <row r="564" spans="1:13" ht="15">
      <c r="A564" t="s">
        <v>220</v>
      </c>
      <c r="B564" t="s">
        <v>132</v>
      </c>
      <c r="C564" t="s">
        <v>133</v>
      </c>
      <c r="D564" t="s">
        <v>78</v>
      </c>
      <c r="E564" t="s">
        <v>72</v>
      </c>
      <c r="F564" s="41" t="s">
        <v>79</v>
      </c>
      <c r="G564" s="41" t="s">
        <v>79</v>
      </c>
      <c r="H564" s="41" t="s">
        <v>79</v>
      </c>
      <c r="I564" s="41" t="s">
        <v>79</v>
      </c>
      <c r="J564" s="41" t="s">
        <v>79</v>
      </c>
      <c r="K564" s="41" t="s">
        <v>79</v>
      </c>
      <c r="L564" s="41" t="s">
        <v>79</v>
      </c>
      <c r="M564" s="57">
        <f t="shared" si="8"/>
        <v>0</v>
      </c>
    </row>
    <row r="565" spans="1:13" ht="15">
      <c r="A565" t="s">
        <v>220</v>
      </c>
      <c r="B565" t="s">
        <v>134</v>
      </c>
      <c r="C565" t="s">
        <v>135</v>
      </c>
      <c r="D565" t="s">
        <v>78</v>
      </c>
      <c r="E565" t="s">
        <v>72</v>
      </c>
      <c r="F565" s="41" t="s">
        <v>79</v>
      </c>
      <c r="G565" s="41" t="s">
        <v>79</v>
      </c>
      <c r="H565" s="41" t="s">
        <v>79</v>
      </c>
      <c r="I565" s="41" t="s">
        <v>79</v>
      </c>
      <c r="J565" s="41" t="s">
        <v>79</v>
      </c>
      <c r="K565" s="41" t="s">
        <v>79</v>
      </c>
      <c r="L565" s="41" t="s">
        <v>79</v>
      </c>
      <c r="M565" s="57">
        <f t="shared" si="8"/>
        <v>0</v>
      </c>
    </row>
    <row r="566" spans="1:13" ht="15">
      <c r="A566" t="s">
        <v>220</v>
      </c>
      <c r="B566" t="s">
        <v>136</v>
      </c>
      <c r="C566" t="s">
        <v>137</v>
      </c>
      <c r="D566" t="s">
        <v>78</v>
      </c>
      <c r="E566" t="s">
        <v>72</v>
      </c>
      <c r="F566" s="41" t="s">
        <v>79</v>
      </c>
      <c r="G566" s="41" t="s">
        <v>79</v>
      </c>
      <c r="H566" s="41" t="s">
        <v>79</v>
      </c>
      <c r="I566" s="41" t="s">
        <v>79</v>
      </c>
      <c r="J566" s="41" t="s">
        <v>79</v>
      </c>
      <c r="K566" s="41" t="s">
        <v>79</v>
      </c>
      <c r="L566" s="41" t="s">
        <v>79</v>
      </c>
      <c r="M566" s="57">
        <f t="shared" si="8"/>
        <v>0</v>
      </c>
    </row>
    <row r="567" spans="1:13" ht="15">
      <c r="A567" t="s">
        <v>220</v>
      </c>
      <c r="B567" t="s">
        <v>138</v>
      </c>
      <c r="C567" t="s">
        <v>139</v>
      </c>
      <c r="D567" t="s">
        <v>78</v>
      </c>
      <c r="E567" t="s">
        <v>72</v>
      </c>
      <c r="F567" s="41" t="s">
        <v>79</v>
      </c>
      <c r="G567" s="41" t="s">
        <v>79</v>
      </c>
      <c r="H567" s="41" t="s">
        <v>79</v>
      </c>
      <c r="I567" s="41" t="s">
        <v>79</v>
      </c>
      <c r="J567" s="41" t="s">
        <v>79</v>
      </c>
      <c r="K567" s="41" t="s">
        <v>79</v>
      </c>
      <c r="L567" s="41" t="s">
        <v>79</v>
      </c>
      <c r="M567" s="57">
        <f t="shared" si="8"/>
        <v>0</v>
      </c>
    </row>
    <row r="568" spans="1:13" ht="15">
      <c r="A568" t="s">
        <v>220</v>
      </c>
      <c r="B568" t="s">
        <v>140</v>
      </c>
      <c r="C568" t="s">
        <v>141</v>
      </c>
      <c r="D568" t="s">
        <v>78</v>
      </c>
      <c r="E568" t="s">
        <v>72</v>
      </c>
      <c r="F568" s="41" t="s">
        <v>79</v>
      </c>
      <c r="G568" s="41" t="s">
        <v>79</v>
      </c>
      <c r="H568" s="41" t="s">
        <v>79</v>
      </c>
      <c r="I568" s="41" t="s">
        <v>79</v>
      </c>
      <c r="J568" s="41" t="s">
        <v>79</v>
      </c>
      <c r="K568" s="41" t="s">
        <v>79</v>
      </c>
      <c r="L568" s="41" t="s">
        <v>79</v>
      </c>
      <c r="M568" s="57">
        <f t="shared" si="8"/>
        <v>0</v>
      </c>
    </row>
    <row r="569" spans="1:13" ht="15">
      <c r="A569" t="s">
        <v>220</v>
      </c>
      <c r="B569" t="s">
        <v>142</v>
      </c>
      <c r="C569" t="s">
        <v>143</v>
      </c>
      <c r="D569" t="s">
        <v>78</v>
      </c>
      <c r="E569" t="s">
        <v>72</v>
      </c>
      <c r="F569" s="41" t="s">
        <v>79</v>
      </c>
      <c r="G569" s="41" t="s">
        <v>79</v>
      </c>
      <c r="H569" s="41" t="s">
        <v>79</v>
      </c>
      <c r="I569" s="41" t="s">
        <v>79</v>
      </c>
      <c r="J569" s="41" t="s">
        <v>79</v>
      </c>
      <c r="K569" s="41" t="s">
        <v>79</v>
      </c>
      <c r="L569" s="41" t="s">
        <v>79</v>
      </c>
      <c r="M569" s="57">
        <f t="shared" si="8"/>
        <v>0</v>
      </c>
    </row>
    <row r="570" spans="1:13" ht="15">
      <c r="A570" t="s">
        <v>220</v>
      </c>
      <c r="B570" t="s">
        <v>144</v>
      </c>
      <c r="C570" t="s">
        <v>145</v>
      </c>
      <c r="D570" t="s">
        <v>78</v>
      </c>
      <c r="E570" t="s">
        <v>72</v>
      </c>
      <c r="F570" s="41" t="s">
        <v>79</v>
      </c>
      <c r="G570" s="41" t="s">
        <v>79</v>
      </c>
      <c r="H570" s="41" t="s">
        <v>79</v>
      </c>
      <c r="I570" s="41" t="s">
        <v>79</v>
      </c>
      <c r="J570" s="41" t="s">
        <v>79</v>
      </c>
      <c r="K570" s="41" t="s">
        <v>79</v>
      </c>
      <c r="L570" s="41" t="s">
        <v>79</v>
      </c>
      <c r="M570" s="57">
        <f t="shared" si="8"/>
        <v>0</v>
      </c>
    </row>
    <row r="571" spans="1:13" ht="15">
      <c r="A571" t="s">
        <v>220</v>
      </c>
      <c r="B571" t="s">
        <v>146</v>
      </c>
      <c r="C571" t="s">
        <v>147</v>
      </c>
      <c r="D571" t="s">
        <v>78</v>
      </c>
      <c r="E571" t="s">
        <v>72</v>
      </c>
      <c r="F571" s="41" t="s">
        <v>79</v>
      </c>
      <c r="G571" s="41" t="s">
        <v>79</v>
      </c>
      <c r="H571" s="41" t="s">
        <v>79</v>
      </c>
      <c r="I571" s="41" t="s">
        <v>79</v>
      </c>
      <c r="J571" s="41" t="s">
        <v>79</v>
      </c>
      <c r="K571" s="41" t="s">
        <v>79</v>
      </c>
      <c r="L571" s="41" t="s">
        <v>79</v>
      </c>
      <c r="M571" s="57">
        <f t="shared" si="8"/>
        <v>0</v>
      </c>
    </row>
    <row r="572" spans="1:13" ht="15">
      <c r="A572" t="s">
        <v>220</v>
      </c>
      <c r="B572" t="s">
        <v>148</v>
      </c>
      <c r="C572" t="s">
        <v>149</v>
      </c>
      <c r="D572" t="s">
        <v>78</v>
      </c>
      <c r="E572" t="s">
        <v>72</v>
      </c>
      <c r="F572" s="41" t="s">
        <v>79</v>
      </c>
      <c r="G572" s="41" t="s">
        <v>79</v>
      </c>
      <c r="H572" s="41" t="s">
        <v>79</v>
      </c>
      <c r="I572" s="41" t="s">
        <v>79</v>
      </c>
      <c r="J572" s="41" t="s">
        <v>79</v>
      </c>
      <c r="K572" s="41" t="s">
        <v>79</v>
      </c>
      <c r="L572" s="41" t="s">
        <v>79</v>
      </c>
      <c r="M572" s="57">
        <f t="shared" si="8"/>
        <v>0</v>
      </c>
    </row>
    <row r="573" spans="1:13" ht="15">
      <c r="A573" t="s">
        <v>220</v>
      </c>
      <c r="B573" t="s">
        <v>150</v>
      </c>
      <c r="C573" t="s">
        <v>151</v>
      </c>
      <c r="D573" t="s">
        <v>78</v>
      </c>
      <c r="E573" t="s">
        <v>72</v>
      </c>
      <c r="F573" s="41" t="s">
        <v>79</v>
      </c>
      <c r="G573" s="41" t="s">
        <v>79</v>
      </c>
      <c r="H573" s="41" t="s">
        <v>79</v>
      </c>
      <c r="I573" s="41" t="s">
        <v>79</v>
      </c>
      <c r="J573" s="41" t="s">
        <v>79</v>
      </c>
      <c r="K573" s="41" t="s">
        <v>79</v>
      </c>
      <c r="L573" s="41" t="s">
        <v>79</v>
      </c>
      <c r="M573" s="57">
        <f t="shared" si="8"/>
        <v>0</v>
      </c>
    </row>
    <row r="574" spans="1:13" ht="15">
      <c r="A574" t="s">
        <v>220</v>
      </c>
      <c r="B574" t="s">
        <v>152</v>
      </c>
      <c r="C574" t="s">
        <v>153</v>
      </c>
      <c r="D574" t="s">
        <v>78</v>
      </c>
      <c r="E574" t="s">
        <v>72</v>
      </c>
      <c r="F574" s="41" t="s">
        <v>79</v>
      </c>
      <c r="G574" s="41" t="s">
        <v>79</v>
      </c>
      <c r="H574" s="41" t="s">
        <v>79</v>
      </c>
      <c r="I574" s="41" t="s">
        <v>79</v>
      </c>
      <c r="J574" s="41" t="s">
        <v>79</v>
      </c>
      <c r="K574" s="41" t="s">
        <v>79</v>
      </c>
      <c r="L574" s="41" t="s">
        <v>79</v>
      </c>
      <c r="M574" s="57">
        <f t="shared" si="8"/>
        <v>0</v>
      </c>
    </row>
    <row r="575" spans="1:13" ht="15">
      <c r="A575" t="s">
        <v>220</v>
      </c>
      <c r="B575" t="s">
        <v>154</v>
      </c>
      <c r="C575" t="s">
        <v>155</v>
      </c>
      <c r="D575" t="s">
        <v>78</v>
      </c>
      <c r="E575" t="s">
        <v>72</v>
      </c>
      <c r="F575" s="41" t="s">
        <v>79</v>
      </c>
      <c r="G575" s="41" t="s">
        <v>79</v>
      </c>
      <c r="H575" s="41" t="s">
        <v>79</v>
      </c>
      <c r="I575" s="41" t="s">
        <v>79</v>
      </c>
      <c r="J575" s="41" t="s">
        <v>79</v>
      </c>
      <c r="K575" s="41" t="s">
        <v>79</v>
      </c>
      <c r="L575" s="41" t="s">
        <v>79</v>
      </c>
      <c r="M575" s="57">
        <f t="shared" si="8"/>
        <v>0</v>
      </c>
    </row>
    <row r="576" spans="1:13" ht="15">
      <c r="A576" t="s">
        <v>220</v>
      </c>
      <c r="B576" t="s">
        <v>156</v>
      </c>
      <c r="C576" t="s">
        <v>157</v>
      </c>
      <c r="D576" t="s">
        <v>78</v>
      </c>
      <c r="E576" t="s">
        <v>72</v>
      </c>
      <c r="F576" s="41" t="s">
        <v>79</v>
      </c>
      <c r="G576" s="41" t="s">
        <v>79</v>
      </c>
      <c r="H576" s="41" t="s">
        <v>79</v>
      </c>
      <c r="I576" s="41" t="s">
        <v>79</v>
      </c>
      <c r="J576" s="41" t="s">
        <v>79</v>
      </c>
      <c r="K576" s="41" t="s">
        <v>79</v>
      </c>
      <c r="L576" s="41" t="s">
        <v>79</v>
      </c>
      <c r="M576" s="57">
        <f t="shared" si="8"/>
        <v>0</v>
      </c>
    </row>
    <row r="577" spans="1:13" ht="15">
      <c r="A577" t="s">
        <v>220</v>
      </c>
      <c r="B577" t="s">
        <v>158</v>
      </c>
      <c r="C577" t="s">
        <v>159</v>
      </c>
      <c r="D577" t="s">
        <v>78</v>
      </c>
      <c r="E577" t="s">
        <v>72</v>
      </c>
      <c r="F577" s="41" t="s">
        <v>79</v>
      </c>
      <c r="G577" s="41" t="s">
        <v>79</v>
      </c>
      <c r="H577" s="41" t="s">
        <v>79</v>
      </c>
      <c r="I577" s="41" t="s">
        <v>79</v>
      </c>
      <c r="J577" s="41" t="s">
        <v>79</v>
      </c>
      <c r="K577" s="41" t="s">
        <v>79</v>
      </c>
      <c r="L577" s="41" t="s">
        <v>79</v>
      </c>
      <c r="M577" s="57">
        <f t="shared" si="8"/>
        <v>0</v>
      </c>
    </row>
    <row r="578" spans="1:13" ht="15">
      <c r="A578" t="s">
        <v>220</v>
      </c>
      <c r="B578" t="s">
        <v>160</v>
      </c>
      <c r="C578" t="s">
        <v>161</v>
      </c>
      <c r="D578" t="s">
        <v>78</v>
      </c>
      <c r="E578" t="s">
        <v>72</v>
      </c>
      <c r="F578" s="41" t="s">
        <v>79</v>
      </c>
      <c r="G578" s="41" t="s">
        <v>79</v>
      </c>
      <c r="H578" s="41" t="s">
        <v>79</v>
      </c>
      <c r="I578" s="41" t="s">
        <v>79</v>
      </c>
      <c r="J578" s="41" t="s">
        <v>79</v>
      </c>
      <c r="K578" s="41" t="s">
        <v>79</v>
      </c>
      <c r="L578" s="41" t="s">
        <v>79</v>
      </c>
      <c r="M578" s="57">
        <f t="shared" si="8"/>
        <v>0</v>
      </c>
    </row>
    <row r="579" spans="1:13" ht="15">
      <c r="A579" t="s">
        <v>220</v>
      </c>
      <c r="B579" t="s">
        <v>162</v>
      </c>
      <c r="C579" t="s">
        <v>163</v>
      </c>
      <c r="D579" t="s">
        <v>78</v>
      </c>
      <c r="E579" t="s">
        <v>72</v>
      </c>
      <c r="F579" s="41" t="s">
        <v>79</v>
      </c>
      <c r="G579" s="41" t="s">
        <v>79</v>
      </c>
      <c r="H579" s="41" t="s">
        <v>79</v>
      </c>
      <c r="I579" s="41" t="s">
        <v>79</v>
      </c>
      <c r="J579" s="41" t="s">
        <v>79</v>
      </c>
      <c r="K579" s="41" t="s">
        <v>79</v>
      </c>
      <c r="L579" s="41" t="s">
        <v>79</v>
      </c>
      <c r="M579" s="57">
        <f t="shared" si="8"/>
        <v>0</v>
      </c>
    </row>
    <row r="580" spans="1:13" ht="15">
      <c r="A580" t="s">
        <v>220</v>
      </c>
      <c r="B580" t="s">
        <v>164</v>
      </c>
      <c r="C580" t="s">
        <v>165</v>
      </c>
      <c r="D580" t="s">
        <v>78</v>
      </c>
      <c r="E580" t="s">
        <v>72</v>
      </c>
      <c r="F580" s="41" t="s">
        <v>79</v>
      </c>
      <c r="G580" s="41" t="s">
        <v>79</v>
      </c>
      <c r="H580" s="41" t="s">
        <v>79</v>
      </c>
      <c r="I580" s="41" t="s">
        <v>79</v>
      </c>
      <c r="J580" s="41" t="s">
        <v>79</v>
      </c>
      <c r="K580" s="41" t="s">
        <v>79</v>
      </c>
      <c r="L580" s="41" t="s">
        <v>79</v>
      </c>
      <c r="M580" s="57">
        <f t="shared" si="8"/>
        <v>0</v>
      </c>
    </row>
    <row r="581" spans="1:13" ht="15">
      <c r="A581" t="s">
        <v>220</v>
      </c>
      <c r="B581" t="s">
        <v>166</v>
      </c>
      <c r="C581" t="s">
        <v>167</v>
      </c>
      <c r="D581" t="s">
        <v>78</v>
      </c>
      <c r="E581" t="s">
        <v>72</v>
      </c>
      <c r="F581" s="41" t="s">
        <v>79</v>
      </c>
      <c r="G581" s="41" t="s">
        <v>79</v>
      </c>
      <c r="H581" s="41" t="s">
        <v>79</v>
      </c>
      <c r="I581" s="41" t="s">
        <v>79</v>
      </c>
      <c r="J581" s="41" t="s">
        <v>79</v>
      </c>
      <c r="K581" s="41" t="s">
        <v>79</v>
      </c>
      <c r="L581" s="41" t="s">
        <v>79</v>
      </c>
      <c r="M581" s="57">
        <f t="shared" si="8"/>
        <v>0</v>
      </c>
    </row>
    <row r="582" spans="1:13" ht="15">
      <c r="A582" t="s">
        <v>220</v>
      </c>
      <c r="B582" t="s">
        <v>168</v>
      </c>
      <c r="C582" t="s">
        <v>169</v>
      </c>
      <c r="D582" t="s">
        <v>78</v>
      </c>
      <c r="E582" t="s">
        <v>72</v>
      </c>
      <c r="F582" s="41" t="s">
        <v>79</v>
      </c>
      <c r="G582" s="41" t="s">
        <v>79</v>
      </c>
      <c r="H582" s="41" t="s">
        <v>79</v>
      </c>
      <c r="I582" s="41" t="s">
        <v>79</v>
      </c>
      <c r="J582" s="41" t="s">
        <v>79</v>
      </c>
      <c r="K582" s="41" t="s">
        <v>79</v>
      </c>
      <c r="L582" s="41" t="s">
        <v>79</v>
      </c>
      <c r="M582" s="57">
        <f t="shared" ref="M582:M645" si="9">SUM(F582:L582)</f>
        <v>0</v>
      </c>
    </row>
    <row r="583" spans="1:13" ht="15">
      <c r="A583" t="s">
        <v>220</v>
      </c>
      <c r="B583" t="s">
        <v>170</v>
      </c>
      <c r="C583" t="s">
        <v>171</v>
      </c>
      <c r="D583" t="s">
        <v>78</v>
      </c>
      <c r="E583" t="s">
        <v>72</v>
      </c>
      <c r="F583" s="41" t="s">
        <v>79</v>
      </c>
      <c r="G583" s="41" t="s">
        <v>79</v>
      </c>
      <c r="H583" s="41" t="s">
        <v>79</v>
      </c>
      <c r="I583" s="41" t="s">
        <v>79</v>
      </c>
      <c r="J583" s="41" t="s">
        <v>79</v>
      </c>
      <c r="K583" s="41" t="s">
        <v>79</v>
      </c>
      <c r="L583" s="41" t="s">
        <v>79</v>
      </c>
      <c r="M583" s="57">
        <f t="shared" si="9"/>
        <v>0</v>
      </c>
    </row>
    <row r="584" spans="1:13" ht="15">
      <c r="A584" t="s">
        <v>220</v>
      </c>
      <c r="B584" t="s">
        <v>172</v>
      </c>
      <c r="C584" t="s">
        <v>173</v>
      </c>
      <c r="D584" t="s">
        <v>78</v>
      </c>
      <c r="E584" t="s">
        <v>72</v>
      </c>
      <c r="F584" s="41" t="s">
        <v>79</v>
      </c>
      <c r="G584" s="41" t="s">
        <v>79</v>
      </c>
      <c r="H584" s="41" t="s">
        <v>79</v>
      </c>
      <c r="I584" s="41" t="s">
        <v>79</v>
      </c>
      <c r="J584" s="41" t="s">
        <v>79</v>
      </c>
      <c r="K584" s="41" t="s">
        <v>79</v>
      </c>
      <c r="L584" s="41" t="s">
        <v>79</v>
      </c>
      <c r="M584" s="57">
        <f t="shared" si="9"/>
        <v>0</v>
      </c>
    </row>
    <row r="585" spans="1:13" ht="15">
      <c r="A585" t="s">
        <v>220</v>
      </c>
      <c r="B585" t="s">
        <v>174</v>
      </c>
      <c r="C585" t="s">
        <v>175</v>
      </c>
      <c r="D585" t="s">
        <v>78</v>
      </c>
      <c r="E585" t="s">
        <v>72</v>
      </c>
      <c r="F585" s="41" t="s">
        <v>79</v>
      </c>
      <c r="G585" s="41" t="s">
        <v>79</v>
      </c>
      <c r="H585" s="41" t="s">
        <v>79</v>
      </c>
      <c r="I585" s="41" t="s">
        <v>79</v>
      </c>
      <c r="J585" s="41" t="s">
        <v>79</v>
      </c>
      <c r="K585" s="41" t="s">
        <v>79</v>
      </c>
      <c r="L585" s="41" t="s">
        <v>79</v>
      </c>
      <c r="M585" s="57">
        <f t="shared" si="9"/>
        <v>0</v>
      </c>
    </row>
    <row r="586" spans="1:13" ht="15">
      <c r="A586" t="s">
        <v>220</v>
      </c>
      <c r="B586" t="s">
        <v>176</v>
      </c>
      <c r="C586" t="s">
        <v>177</v>
      </c>
      <c r="D586" t="s">
        <v>78</v>
      </c>
      <c r="E586" t="s">
        <v>72</v>
      </c>
      <c r="F586" s="41" t="s">
        <v>79</v>
      </c>
      <c r="G586" s="41" t="s">
        <v>79</v>
      </c>
      <c r="H586" s="41" t="s">
        <v>79</v>
      </c>
      <c r="I586" s="41" t="s">
        <v>79</v>
      </c>
      <c r="J586" s="41" t="s">
        <v>79</v>
      </c>
      <c r="K586" s="41" t="s">
        <v>79</v>
      </c>
      <c r="L586" s="41" t="s">
        <v>79</v>
      </c>
      <c r="M586" s="57">
        <f t="shared" si="9"/>
        <v>0</v>
      </c>
    </row>
    <row r="587" spans="1:13" ht="15">
      <c r="A587" t="s">
        <v>220</v>
      </c>
      <c r="B587" t="s">
        <v>178</v>
      </c>
      <c r="C587" t="s">
        <v>179</v>
      </c>
      <c r="D587" t="s">
        <v>78</v>
      </c>
      <c r="E587" t="s">
        <v>72</v>
      </c>
      <c r="F587" s="41" t="s">
        <v>79</v>
      </c>
      <c r="G587" s="41" t="s">
        <v>79</v>
      </c>
      <c r="H587" s="41" t="s">
        <v>79</v>
      </c>
      <c r="I587" s="41" t="s">
        <v>79</v>
      </c>
      <c r="J587" s="41" t="s">
        <v>79</v>
      </c>
      <c r="K587" s="41" t="s">
        <v>79</v>
      </c>
      <c r="L587" s="41" t="s">
        <v>79</v>
      </c>
      <c r="M587" s="57">
        <f t="shared" si="9"/>
        <v>0</v>
      </c>
    </row>
    <row r="588" spans="1:13" ht="15">
      <c r="A588" t="s">
        <v>220</v>
      </c>
      <c r="B588" t="s">
        <v>180</v>
      </c>
      <c r="C588" t="s">
        <v>181</v>
      </c>
      <c r="D588" t="s">
        <v>78</v>
      </c>
      <c r="E588" t="s">
        <v>72</v>
      </c>
      <c r="F588" s="41" t="s">
        <v>79</v>
      </c>
      <c r="G588" s="41" t="s">
        <v>79</v>
      </c>
      <c r="H588" s="41" t="s">
        <v>79</v>
      </c>
      <c r="I588" s="41" t="s">
        <v>79</v>
      </c>
      <c r="J588" s="41" t="s">
        <v>79</v>
      </c>
      <c r="K588" s="41" t="s">
        <v>79</v>
      </c>
      <c r="L588" s="41" t="s">
        <v>79</v>
      </c>
      <c r="M588" s="57">
        <f t="shared" si="9"/>
        <v>0</v>
      </c>
    </row>
    <row r="589" spans="1:13" ht="15">
      <c r="A589" t="s">
        <v>220</v>
      </c>
      <c r="B589" t="s">
        <v>182</v>
      </c>
      <c r="C589" t="s">
        <v>183</v>
      </c>
      <c r="D589" t="s">
        <v>78</v>
      </c>
      <c r="E589" t="s">
        <v>72</v>
      </c>
      <c r="F589" s="41" t="s">
        <v>79</v>
      </c>
      <c r="G589" s="41" t="s">
        <v>79</v>
      </c>
      <c r="H589" s="41" t="s">
        <v>79</v>
      </c>
      <c r="I589" s="41" t="s">
        <v>79</v>
      </c>
      <c r="J589" s="41" t="s">
        <v>79</v>
      </c>
      <c r="K589" s="41" t="s">
        <v>79</v>
      </c>
      <c r="L589" s="41" t="s">
        <v>79</v>
      </c>
      <c r="M589" s="57">
        <f t="shared" si="9"/>
        <v>0</v>
      </c>
    </row>
    <row r="590" spans="1:13" ht="15">
      <c r="A590" t="s">
        <v>220</v>
      </c>
      <c r="B590" t="s">
        <v>184</v>
      </c>
      <c r="C590" t="s">
        <v>185</v>
      </c>
      <c r="D590" t="s">
        <v>78</v>
      </c>
      <c r="E590" t="s">
        <v>72</v>
      </c>
      <c r="F590" s="41" t="s">
        <v>79</v>
      </c>
      <c r="G590" s="41" t="s">
        <v>79</v>
      </c>
      <c r="H590" s="41" t="s">
        <v>79</v>
      </c>
      <c r="I590" s="41" t="s">
        <v>79</v>
      </c>
      <c r="J590" s="41" t="s">
        <v>79</v>
      </c>
      <c r="K590" s="41" t="s">
        <v>79</v>
      </c>
      <c r="L590" s="41" t="s">
        <v>79</v>
      </c>
      <c r="M590" s="57">
        <f t="shared" si="9"/>
        <v>0</v>
      </c>
    </row>
    <row r="591" spans="1:13" ht="15">
      <c r="A591" t="s">
        <v>220</v>
      </c>
      <c r="B591" t="s">
        <v>186</v>
      </c>
      <c r="C591" t="s">
        <v>187</v>
      </c>
      <c r="D591" t="s">
        <v>78</v>
      </c>
      <c r="E591" t="s">
        <v>72</v>
      </c>
      <c r="F591" s="41" t="s">
        <v>79</v>
      </c>
      <c r="G591" s="41" t="s">
        <v>79</v>
      </c>
      <c r="H591" s="41" t="s">
        <v>79</v>
      </c>
      <c r="I591" s="41" t="s">
        <v>79</v>
      </c>
      <c r="J591" s="41" t="s">
        <v>79</v>
      </c>
      <c r="K591" s="41" t="s">
        <v>79</v>
      </c>
      <c r="L591" s="41" t="s">
        <v>79</v>
      </c>
      <c r="M591" s="57">
        <f t="shared" si="9"/>
        <v>0</v>
      </c>
    </row>
    <row r="592" spans="1:13" ht="15">
      <c r="A592" t="s">
        <v>220</v>
      </c>
      <c r="B592" t="s">
        <v>188</v>
      </c>
      <c r="C592" t="s">
        <v>189</v>
      </c>
      <c r="D592" t="s">
        <v>78</v>
      </c>
      <c r="E592" t="s">
        <v>72</v>
      </c>
      <c r="F592" s="41" t="s">
        <v>79</v>
      </c>
      <c r="G592" s="41" t="s">
        <v>79</v>
      </c>
      <c r="H592" s="41" t="s">
        <v>79</v>
      </c>
      <c r="I592" s="41" t="s">
        <v>79</v>
      </c>
      <c r="J592" s="41" t="s">
        <v>79</v>
      </c>
      <c r="K592" s="41" t="s">
        <v>79</v>
      </c>
      <c r="L592" s="41" t="s">
        <v>79</v>
      </c>
      <c r="M592" s="57">
        <f t="shared" si="9"/>
        <v>0</v>
      </c>
    </row>
    <row r="593" spans="1:13" ht="15">
      <c r="A593" t="s">
        <v>220</v>
      </c>
      <c r="B593" t="s">
        <v>190</v>
      </c>
      <c r="C593" t="s">
        <v>191</v>
      </c>
      <c r="D593" t="s">
        <v>78</v>
      </c>
      <c r="E593" t="s">
        <v>72</v>
      </c>
      <c r="F593" s="41" t="s">
        <v>79</v>
      </c>
      <c r="G593" s="41" t="s">
        <v>79</v>
      </c>
      <c r="H593" s="41" t="s">
        <v>79</v>
      </c>
      <c r="I593" s="41" t="s">
        <v>79</v>
      </c>
      <c r="J593" s="41" t="s">
        <v>79</v>
      </c>
      <c r="K593" s="41" t="s">
        <v>79</v>
      </c>
      <c r="L593" s="41" t="s">
        <v>79</v>
      </c>
      <c r="M593" s="57">
        <f t="shared" si="9"/>
        <v>0</v>
      </c>
    </row>
    <row r="594" spans="1:13" ht="15">
      <c r="A594" t="s">
        <v>220</v>
      </c>
      <c r="B594" t="s">
        <v>192</v>
      </c>
      <c r="C594" t="s">
        <v>193</v>
      </c>
      <c r="D594" t="s">
        <v>78</v>
      </c>
      <c r="E594" t="s">
        <v>72</v>
      </c>
      <c r="F594" s="41" t="s">
        <v>79</v>
      </c>
      <c r="G594" s="41" t="s">
        <v>79</v>
      </c>
      <c r="H594" s="41" t="s">
        <v>79</v>
      </c>
      <c r="I594" s="41" t="s">
        <v>79</v>
      </c>
      <c r="J594" s="41" t="s">
        <v>79</v>
      </c>
      <c r="K594" s="41" t="s">
        <v>79</v>
      </c>
      <c r="L594" s="41" t="s">
        <v>79</v>
      </c>
      <c r="M594" s="57">
        <f t="shared" si="9"/>
        <v>0</v>
      </c>
    </row>
    <row r="595" spans="1:13" ht="15">
      <c r="A595" t="s">
        <v>220</v>
      </c>
      <c r="B595" t="s">
        <v>194</v>
      </c>
      <c r="C595" t="s">
        <v>195</v>
      </c>
      <c r="D595" t="s">
        <v>78</v>
      </c>
      <c r="E595" t="s">
        <v>72</v>
      </c>
      <c r="F595" s="41" t="s">
        <v>79</v>
      </c>
      <c r="G595" s="41" t="s">
        <v>79</v>
      </c>
      <c r="H595" s="41" t="s">
        <v>79</v>
      </c>
      <c r="I595" s="41" t="s">
        <v>79</v>
      </c>
      <c r="J595" s="41" t="s">
        <v>79</v>
      </c>
      <c r="K595" s="41" t="s">
        <v>79</v>
      </c>
      <c r="L595" s="41" t="s">
        <v>79</v>
      </c>
      <c r="M595" s="57">
        <f t="shared" si="9"/>
        <v>0</v>
      </c>
    </row>
    <row r="596" spans="1:13" ht="15">
      <c r="A596" t="s">
        <v>220</v>
      </c>
      <c r="B596" t="s">
        <v>196</v>
      </c>
      <c r="C596" t="s">
        <v>197</v>
      </c>
      <c r="D596" t="s">
        <v>78</v>
      </c>
      <c r="E596" t="s">
        <v>72</v>
      </c>
      <c r="F596" s="41" t="s">
        <v>79</v>
      </c>
      <c r="G596" s="41" t="s">
        <v>79</v>
      </c>
      <c r="H596" s="41" t="s">
        <v>79</v>
      </c>
      <c r="I596" s="41" t="s">
        <v>79</v>
      </c>
      <c r="J596" s="41" t="s">
        <v>79</v>
      </c>
      <c r="K596" s="41" t="s">
        <v>79</v>
      </c>
      <c r="L596" s="41" t="s">
        <v>79</v>
      </c>
      <c r="M596" s="57">
        <f t="shared" si="9"/>
        <v>0</v>
      </c>
    </row>
    <row r="597" spans="1:13" ht="15">
      <c r="A597" t="s">
        <v>220</v>
      </c>
      <c r="B597" t="s">
        <v>198</v>
      </c>
      <c r="C597" t="s">
        <v>199</v>
      </c>
      <c r="D597" t="s">
        <v>78</v>
      </c>
      <c r="E597" t="s">
        <v>72</v>
      </c>
      <c r="F597" s="41" t="s">
        <v>79</v>
      </c>
      <c r="G597" s="41" t="s">
        <v>79</v>
      </c>
      <c r="H597" s="41" t="s">
        <v>79</v>
      </c>
      <c r="I597" s="41" t="s">
        <v>79</v>
      </c>
      <c r="J597" s="41" t="s">
        <v>79</v>
      </c>
      <c r="K597" s="41" t="s">
        <v>79</v>
      </c>
      <c r="L597" s="41" t="s">
        <v>79</v>
      </c>
      <c r="M597" s="57">
        <f t="shared" si="9"/>
        <v>0</v>
      </c>
    </row>
    <row r="598" spans="1:13" ht="15">
      <c r="A598" t="s">
        <v>220</v>
      </c>
      <c r="B598" t="s">
        <v>200</v>
      </c>
      <c r="C598" t="s">
        <v>201</v>
      </c>
      <c r="D598" t="s">
        <v>78</v>
      </c>
      <c r="E598" t="s">
        <v>72</v>
      </c>
      <c r="F598" s="41" t="s">
        <v>79</v>
      </c>
      <c r="G598" s="41" t="s">
        <v>79</v>
      </c>
      <c r="H598" s="41" t="s">
        <v>79</v>
      </c>
      <c r="I598" s="41" t="s">
        <v>79</v>
      </c>
      <c r="J598" s="41" t="s">
        <v>79</v>
      </c>
      <c r="K598" s="41" t="s">
        <v>79</v>
      </c>
      <c r="L598" s="41" t="s">
        <v>79</v>
      </c>
      <c r="M598" s="57">
        <f t="shared" si="9"/>
        <v>0</v>
      </c>
    </row>
    <row r="599" spans="1:13" ht="15">
      <c r="A599" t="s">
        <v>220</v>
      </c>
      <c r="B599" t="s">
        <v>202</v>
      </c>
      <c r="C599" t="s">
        <v>203</v>
      </c>
      <c r="D599" t="s">
        <v>78</v>
      </c>
      <c r="E599" t="s">
        <v>72</v>
      </c>
      <c r="F599" s="41" t="s">
        <v>79</v>
      </c>
      <c r="G599" s="41" t="s">
        <v>79</v>
      </c>
      <c r="H599" s="41" t="s">
        <v>79</v>
      </c>
      <c r="I599" s="41" t="s">
        <v>79</v>
      </c>
      <c r="J599" s="41" t="s">
        <v>79</v>
      </c>
      <c r="K599" s="41" t="s">
        <v>79</v>
      </c>
      <c r="L599" s="41" t="s">
        <v>79</v>
      </c>
      <c r="M599" s="57">
        <f t="shared" si="9"/>
        <v>0</v>
      </c>
    </row>
    <row r="600" spans="1:13" ht="15">
      <c r="A600" t="s">
        <v>220</v>
      </c>
      <c r="B600" t="s">
        <v>204</v>
      </c>
      <c r="C600" t="s">
        <v>205</v>
      </c>
      <c r="D600" t="s">
        <v>78</v>
      </c>
      <c r="E600" t="s">
        <v>72</v>
      </c>
      <c r="F600" s="41" t="s">
        <v>79</v>
      </c>
      <c r="G600" s="41" t="s">
        <v>79</v>
      </c>
      <c r="H600" s="41" t="s">
        <v>79</v>
      </c>
      <c r="I600" s="41" t="s">
        <v>79</v>
      </c>
      <c r="J600" s="41" t="s">
        <v>79</v>
      </c>
      <c r="K600" s="41" t="s">
        <v>79</v>
      </c>
      <c r="L600" s="41" t="s">
        <v>79</v>
      </c>
      <c r="M600" s="57">
        <f t="shared" si="9"/>
        <v>0</v>
      </c>
    </row>
    <row r="601" spans="1:13" ht="15">
      <c r="A601" t="s">
        <v>220</v>
      </c>
      <c r="B601" t="s">
        <v>206</v>
      </c>
      <c r="C601" t="s">
        <v>207</v>
      </c>
      <c r="D601" t="s">
        <v>78</v>
      </c>
      <c r="E601" t="s">
        <v>72</v>
      </c>
      <c r="F601" s="41" t="s">
        <v>79</v>
      </c>
      <c r="G601" s="41" t="s">
        <v>79</v>
      </c>
      <c r="H601" s="41" t="s">
        <v>79</v>
      </c>
      <c r="I601" s="41" t="s">
        <v>79</v>
      </c>
      <c r="J601" s="41" t="s">
        <v>79</v>
      </c>
      <c r="K601" s="41" t="s">
        <v>79</v>
      </c>
      <c r="L601" s="41" t="s">
        <v>79</v>
      </c>
      <c r="M601" s="57">
        <f t="shared" si="9"/>
        <v>0</v>
      </c>
    </row>
    <row r="602" spans="1:13" ht="15">
      <c r="A602" t="s">
        <v>220</v>
      </c>
      <c r="B602" t="s">
        <v>208</v>
      </c>
      <c r="C602" t="s">
        <v>209</v>
      </c>
      <c r="D602" t="s">
        <v>78</v>
      </c>
      <c r="E602" t="s">
        <v>72</v>
      </c>
      <c r="F602" s="41" t="s">
        <v>79</v>
      </c>
      <c r="G602" s="41" t="s">
        <v>79</v>
      </c>
      <c r="H602" s="41" t="s">
        <v>79</v>
      </c>
      <c r="I602" s="41" t="s">
        <v>79</v>
      </c>
      <c r="J602" s="41" t="s">
        <v>79</v>
      </c>
      <c r="K602" s="41" t="s">
        <v>79</v>
      </c>
      <c r="L602" s="41" t="s">
        <v>79</v>
      </c>
      <c r="M602" s="57">
        <f t="shared" si="9"/>
        <v>0</v>
      </c>
    </row>
    <row r="603" spans="1:13" ht="15">
      <c r="A603" t="s">
        <v>220</v>
      </c>
      <c r="B603" t="s">
        <v>210</v>
      </c>
      <c r="C603" t="s">
        <v>211</v>
      </c>
      <c r="D603" t="s">
        <v>78</v>
      </c>
      <c r="E603" t="s">
        <v>72</v>
      </c>
      <c r="F603" s="41" t="s">
        <v>79</v>
      </c>
      <c r="G603" s="41" t="s">
        <v>79</v>
      </c>
      <c r="H603" s="41" t="s">
        <v>79</v>
      </c>
      <c r="I603" s="41" t="s">
        <v>79</v>
      </c>
      <c r="J603" s="41" t="s">
        <v>79</v>
      </c>
      <c r="K603" s="41" t="s">
        <v>79</v>
      </c>
      <c r="L603" s="41" t="s">
        <v>79</v>
      </c>
      <c r="M603" s="57">
        <f t="shared" si="9"/>
        <v>0</v>
      </c>
    </row>
    <row r="604" spans="1:13" ht="15">
      <c r="A604" t="s">
        <v>220</v>
      </c>
      <c r="B604" t="s">
        <v>212</v>
      </c>
      <c r="C604" t="s">
        <v>213</v>
      </c>
      <c r="D604" t="s">
        <v>78</v>
      </c>
      <c r="E604" t="s">
        <v>72</v>
      </c>
      <c r="F604" s="41" t="s">
        <v>79</v>
      </c>
      <c r="G604" s="41" t="s">
        <v>79</v>
      </c>
      <c r="H604" s="41" t="s">
        <v>79</v>
      </c>
      <c r="I604" s="41" t="s">
        <v>79</v>
      </c>
      <c r="J604" s="41" t="s">
        <v>79</v>
      </c>
      <c r="K604" s="41" t="s">
        <v>79</v>
      </c>
      <c r="L604" s="41" t="s">
        <v>79</v>
      </c>
      <c r="M604" s="57">
        <f t="shared" si="9"/>
        <v>0</v>
      </c>
    </row>
    <row r="605" spans="1:13" ht="15">
      <c r="A605" t="s">
        <v>220</v>
      </c>
      <c r="B605" t="s">
        <v>214</v>
      </c>
      <c r="C605" t="s">
        <v>215</v>
      </c>
      <c r="D605" t="s">
        <v>78</v>
      </c>
      <c r="E605" t="s">
        <v>72</v>
      </c>
      <c r="F605" s="41" t="s">
        <v>79</v>
      </c>
      <c r="G605" s="41" t="s">
        <v>79</v>
      </c>
      <c r="H605" s="41" t="s">
        <v>79</v>
      </c>
      <c r="I605" s="41" t="s">
        <v>79</v>
      </c>
      <c r="J605" s="41" t="s">
        <v>79</v>
      </c>
      <c r="K605" s="41" t="s">
        <v>79</v>
      </c>
      <c r="L605" s="41" t="s">
        <v>79</v>
      </c>
      <c r="M605" s="57">
        <f t="shared" si="9"/>
        <v>0</v>
      </c>
    </row>
    <row r="606" spans="1:13" ht="15">
      <c r="A606" t="s">
        <v>220</v>
      </c>
      <c r="B606" t="s">
        <v>216</v>
      </c>
      <c r="C606" t="s">
        <v>217</v>
      </c>
      <c r="D606" t="s">
        <v>78</v>
      </c>
      <c r="E606" t="s">
        <v>72</v>
      </c>
      <c r="F606" s="41" t="s">
        <v>79</v>
      </c>
      <c r="G606" s="41" t="s">
        <v>79</v>
      </c>
      <c r="H606" s="41" t="s">
        <v>79</v>
      </c>
      <c r="I606" s="41" t="s">
        <v>79</v>
      </c>
      <c r="J606" s="41" t="s">
        <v>79</v>
      </c>
      <c r="K606" s="41" t="s">
        <v>79</v>
      </c>
      <c r="L606" s="41" t="s">
        <v>79</v>
      </c>
      <c r="M606" s="57">
        <f t="shared" si="9"/>
        <v>0</v>
      </c>
    </row>
    <row r="607" spans="1:13" ht="15">
      <c r="A607" t="s">
        <v>221</v>
      </c>
      <c r="B607" t="s">
        <v>132</v>
      </c>
      <c r="C607" t="s">
        <v>133</v>
      </c>
      <c r="D607" t="s">
        <v>78</v>
      </c>
      <c r="E607" t="s">
        <v>72</v>
      </c>
      <c r="F607" s="41" t="s">
        <v>79</v>
      </c>
      <c r="G607" s="41" t="s">
        <v>79</v>
      </c>
      <c r="H607" s="41" t="s">
        <v>79</v>
      </c>
      <c r="I607" s="41" t="s">
        <v>79</v>
      </c>
      <c r="J607" s="41" t="s">
        <v>79</v>
      </c>
      <c r="K607" s="41" t="s">
        <v>79</v>
      </c>
      <c r="L607" s="41" t="s">
        <v>79</v>
      </c>
      <c r="M607" s="57">
        <f t="shared" si="9"/>
        <v>0</v>
      </c>
    </row>
    <row r="608" spans="1:13" ht="15">
      <c r="A608" t="s">
        <v>221</v>
      </c>
      <c r="B608" t="s">
        <v>134</v>
      </c>
      <c r="C608" t="s">
        <v>135</v>
      </c>
      <c r="D608" t="s">
        <v>78</v>
      </c>
      <c r="E608" t="s">
        <v>72</v>
      </c>
      <c r="F608" s="41" t="s">
        <v>79</v>
      </c>
      <c r="G608" s="41" t="s">
        <v>79</v>
      </c>
      <c r="H608" s="41" t="s">
        <v>79</v>
      </c>
      <c r="I608" s="41" t="s">
        <v>79</v>
      </c>
      <c r="J608" s="41" t="s">
        <v>79</v>
      </c>
      <c r="K608" s="41" t="s">
        <v>79</v>
      </c>
      <c r="L608" s="41" t="s">
        <v>79</v>
      </c>
      <c r="M608" s="57">
        <f t="shared" si="9"/>
        <v>0</v>
      </c>
    </row>
    <row r="609" spans="1:13" ht="15">
      <c r="A609" t="s">
        <v>221</v>
      </c>
      <c r="B609" t="s">
        <v>136</v>
      </c>
      <c r="C609" t="s">
        <v>137</v>
      </c>
      <c r="D609" t="s">
        <v>78</v>
      </c>
      <c r="E609" t="s">
        <v>72</v>
      </c>
      <c r="F609" s="41" t="s">
        <v>79</v>
      </c>
      <c r="G609" s="41" t="s">
        <v>79</v>
      </c>
      <c r="H609" s="41" t="s">
        <v>79</v>
      </c>
      <c r="I609" s="41" t="s">
        <v>79</v>
      </c>
      <c r="J609" s="41" t="s">
        <v>79</v>
      </c>
      <c r="K609" s="41" t="s">
        <v>79</v>
      </c>
      <c r="L609" s="41" t="s">
        <v>79</v>
      </c>
      <c r="M609" s="57">
        <f t="shared" si="9"/>
        <v>0</v>
      </c>
    </row>
    <row r="610" spans="1:13" ht="15">
      <c r="A610" t="s">
        <v>221</v>
      </c>
      <c r="B610" t="s">
        <v>138</v>
      </c>
      <c r="C610" t="s">
        <v>139</v>
      </c>
      <c r="D610" t="s">
        <v>78</v>
      </c>
      <c r="E610" t="s">
        <v>72</v>
      </c>
      <c r="F610" s="41" t="s">
        <v>79</v>
      </c>
      <c r="G610" s="41" t="s">
        <v>79</v>
      </c>
      <c r="H610" s="41" t="s">
        <v>79</v>
      </c>
      <c r="I610" s="41" t="s">
        <v>79</v>
      </c>
      <c r="J610" s="41" t="s">
        <v>79</v>
      </c>
      <c r="K610" s="41" t="s">
        <v>79</v>
      </c>
      <c r="L610" s="41" t="s">
        <v>79</v>
      </c>
      <c r="M610" s="57">
        <f t="shared" si="9"/>
        <v>0</v>
      </c>
    </row>
    <row r="611" spans="1:13" ht="15">
      <c r="A611" t="s">
        <v>221</v>
      </c>
      <c r="B611" t="s">
        <v>140</v>
      </c>
      <c r="C611" t="s">
        <v>141</v>
      </c>
      <c r="D611" t="s">
        <v>78</v>
      </c>
      <c r="E611" t="s">
        <v>72</v>
      </c>
      <c r="F611" s="41" t="s">
        <v>79</v>
      </c>
      <c r="G611" s="41" t="s">
        <v>79</v>
      </c>
      <c r="H611" s="41" t="s">
        <v>79</v>
      </c>
      <c r="I611" s="41" t="s">
        <v>79</v>
      </c>
      <c r="J611" s="41" t="s">
        <v>79</v>
      </c>
      <c r="K611" s="41" t="s">
        <v>79</v>
      </c>
      <c r="L611" s="41" t="s">
        <v>79</v>
      </c>
      <c r="M611" s="57">
        <f t="shared" si="9"/>
        <v>0</v>
      </c>
    </row>
    <row r="612" spans="1:13" ht="15">
      <c r="A612" t="s">
        <v>221</v>
      </c>
      <c r="B612" t="s">
        <v>142</v>
      </c>
      <c r="C612" t="s">
        <v>143</v>
      </c>
      <c r="D612" t="s">
        <v>78</v>
      </c>
      <c r="E612" t="s">
        <v>72</v>
      </c>
      <c r="F612" s="41" t="s">
        <v>79</v>
      </c>
      <c r="G612" s="41" t="s">
        <v>79</v>
      </c>
      <c r="H612" s="41" t="s">
        <v>79</v>
      </c>
      <c r="I612" s="41" t="s">
        <v>79</v>
      </c>
      <c r="J612" s="41" t="s">
        <v>79</v>
      </c>
      <c r="K612" s="41" t="s">
        <v>79</v>
      </c>
      <c r="L612" s="41" t="s">
        <v>79</v>
      </c>
      <c r="M612" s="57">
        <f t="shared" si="9"/>
        <v>0</v>
      </c>
    </row>
    <row r="613" spans="1:13" ht="15">
      <c r="A613" t="s">
        <v>221</v>
      </c>
      <c r="B613" t="s">
        <v>144</v>
      </c>
      <c r="C613" t="s">
        <v>145</v>
      </c>
      <c r="D613" t="s">
        <v>78</v>
      </c>
      <c r="E613" t="s">
        <v>72</v>
      </c>
      <c r="F613" s="41" t="s">
        <v>79</v>
      </c>
      <c r="G613" s="41" t="s">
        <v>79</v>
      </c>
      <c r="H613" s="41" t="s">
        <v>79</v>
      </c>
      <c r="I613" s="41" t="s">
        <v>79</v>
      </c>
      <c r="J613" s="41" t="s">
        <v>79</v>
      </c>
      <c r="K613" s="41" t="s">
        <v>79</v>
      </c>
      <c r="L613" s="41" t="s">
        <v>79</v>
      </c>
      <c r="M613" s="57">
        <f t="shared" si="9"/>
        <v>0</v>
      </c>
    </row>
    <row r="614" spans="1:13" ht="15">
      <c r="A614" t="s">
        <v>221</v>
      </c>
      <c r="B614" t="s">
        <v>146</v>
      </c>
      <c r="C614" t="s">
        <v>147</v>
      </c>
      <c r="D614" t="s">
        <v>78</v>
      </c>
      <c r="E614" t="s">
        <v>72</v>
      </c>
      <c r="F614" s="41" t="s">
        <v>79</v>
      </c>
      <c r="G614" s="41" t="s">
        <v>79</v>
      </c>
      <c r="H614" s="41" t="s">
        <v>79</v>
      </c>
      <c r="I614" s="41" t="s">
        <v>79</v>
      </c>
      <c r="J614" s="41" t="s">
        <v>79</v>
      </c>
      <c r="K614" s="41" t="s">
        <v>79</v>
      </c>
      <c r="L614" s="41" t="s">
        <v>79</v>
      </c>
      <c r="M614" s="57">
        <f t="shared" si="9"/>
        <v>0</v>
      </c>
    </row>
    <row r="615" spans="1:13" ht="15">
      <c r="A615" t="s">
        <v>221</v>
      </c>
      <c r="B615" t="s">
        <v>148</v>
      </c>
      <c r="C615" t="s">
        <v>149</v>
      </c>
      <c r="D615" t="s">
        <v>78</v>
      </c>
      <c r="E615" t="s">
        <v>72</v>
      </c>
      <c r="F615" s="41" t="s">
        <v>79</v>
      </c>
      <c r="G615" s="41" t="s">
        <v>79</v>
      </c>
      <c r="H615" s="41" t="s">
        <v>79</v>
      </c>
      <c r="I615" s="41" t="s">
        <v>79</v>
      </c>
      <c r="J615" s="41" t="s">
        <v>79</v>
      </c>
      <c r="K615" s="41" t="s">
        <v>79</v>
      </c>
      <c r="L615" s="41" t="s">
        <v>79</v>
      </c>
      <c r="M615" s="57">
        <f t="shared" si="9"/>
        <v>0</v>
      </c>
    </row>
    <row r="616" spans="1:13" ht="15">
      <c r="A616" t="s">
        <v>221</v>
      </c>
      <c r="B616" t="s">
        <v>150</v>
      </c>
      <c r="C616" t="s">
        <v>151</v>
      </c>
      <c r="D616" t="s">
        <v>78</v>
      </c>
      <c r="E616" t="s">
        <v>72</v>
      </c>
      <c r="F616" s="41" t="s">
        <v>79</v>
      </c>
      <c r="G616" s="41" t="s">
        <v>79</v>
      </c>
      <c r="H616" s="41" t="s">
        <v>79</v>
      </c>
      <c r="I616" s="41" t="s">
        <v>79</v>
      </c>
      <c r="J616" s="41" t="s">
        <v>79</v>
      </c>
      <c r="K616" s="41" t="s">
        <v>79</v>
      </c>
      <c r="L616" s="41" t="s">
        <v>79</v>
      </c>
      <c r="M616" s="57">
        <f t="shared" si="9"/>
        <v>0</v>
      </c>
    </row>
    <row r="617" spans="1:13" ht="15">
      <c r="A617" t="s">
        <v>221</v>
      </c>
      <c r="B617" t="s">
        <v>152</v>
      </c>
      <c r="C617" t="s">
        <v>153</v>
      </c>
      <c r="D617" t="s">
        <v>78</v>
      </c>
      <c r="E617" t="s">
        <v>72</v>
      </c>
      <c r="F617" s="41" t="s">
        <v>79</v>
      </c>
      <c r="G617" s="41" t="s">
        <v>79</v>
      </c>
      <c r="H617" s="41" t="s">
        <v>79</v>
      </c>
      <c r="I617" s="41" t="s">
        <v>79</v>
      </c>
      <c r="J617" s="41" t="s">
        <v>79</v>
      </c>
      <c r="K617" s="41" t="s">
        <v>79</v>
      </c>
      <c r="L617" s="41" t="s">
        <v>79</v>
      </c>
      <c r="M617" s="57">
        <f t="shared" si="9"/>
        <v>0</v>
      </c>
    </row>
    <row r="618" spans="1:13" ht="15">
      <c r="A618" t="s">
        <v>221</v>
      </c>
      <c r="B618" t="s">
        <v>154</v>
      </c>
      <c r="C618" t="s">
        <v>155</v>
      </c>
      <c r="D618" t="s">
        <v>78</v>
      </c>
      <c r="E618" t="s">
        <v>72</v>
      </c>
      <c r="F618" s="41" t="s">
        <v>79</v>
      </c>
      <c r="G618" s="41" t="s">
        <v>79</v>
      </c>
      <c r="H618" s="41" t="s">
        <v>79</v>
      </c>
      <c r="I618" s="41" t="s">
        <v>79</v>
      </c>
      <c r="J618" s="41" t="s">
        <v>79</v>
      </c>
      <c r="K618" s="41" t="s">
        <v>79</v>
      </c>
      <c r="L618" s="41" t="s">
        <v>79</v>
      </c>
      <c r="M618" s="57">
        <f t="shared" si="9"/>
        <v>0</v>
      </c>
    </row>
    <row r="619" spans="1:13" ht="15">
      <c r="A619" t="s">
        <v>221</v>
      </c>
      <c r="B619" t="s">
        <v>156</v>
      </c>
      <c r="C619" t="s">
        <v>157</v>
      </c>
      <c r="D619" t="s">
        <v>78</v>
      </c>
      <c r="E619" t="s">
        <v>72</v>
      </c>
      <c r="F619" s="41" t="s">
        <v>79</v>
      </c>
      <c r="G619" s="41" t="s">
        <v>79</v>
      </c>
      <c r="H619" s="41" t="s">
        <v>79</v>
      </c>
      <c r="I619" s="41" t="s">
        <v>79</v>
      </c>
      <c r="J619" s="41" t="s">
        <v>79</v>
      </c>
      <c r="K619" s="41" t="s">
        <v>79</v>
      </c>
      <c r="L619" s="41" t="s">
        <v>79</v>
      </c>
      <c r="M619" s="57">
        <f t="shared" si="9"/>
        <v>0</v>
      </c>
    </row>
    <row r="620" spans="1:13" ht="15">
      <c r="A620" t="s">
        <v>221</v>
      </c>
      <c r="B620" t="s">
        <v>158</v>
      </c>
      <c r="C620" t="s">
        <v>159</v>
      </c>
      <c r="D620" t="s">
        <v>78</v>
      </c>
      <c r="E620" t="s">
        <v>72</v>
      </c>
      <c r="F620" s="41" t="s">
        <v>79</v>
      </c>
      <c r="G620" s="41" t="s">
        <v>79</v>
      </c>
      <c r="H620" s="41" t="s">
        <v>79</v>
      </c>
      <c r="I620" s="41" t="s">
        <v>79</v>
      </c>
      <c r="J620" s="41" t="s">
        <v>79</v>
      </c>
      <c r="K620" s="41" t="s">
        <v>79</v>
      </c>
      <c r="L620" s="41" t="s">
        <v>79</v>
      </c>
      <c r="M620" s="57">
        <f t="shared" si="9"/>
        <v>0</v>
      </c>
    </row>
    <row r="621" spans="1:13" ht="15">
      <c r="A621" t="s">
        <v>221</v>
      </c>
      <c r="B621" t="s">
        <v>160</v>
      </c>
      <c r="C621" t="s">
        <v>161</v>
      </c>
      <c r="D621" t="s">
        <v>78</v>
      </c>
      <c r="E621" t="s">
        <v>72</v>
      </c>
      <c r="F621" s="41" t="s">
        <v>79</v>
      </c>
      <c r="G621" s="41" t="s">
        <v>79</v>
      </c>
      <c r="H621" s="41" t="s">
        <v>79</v>
      </c>
      <c r="I621" s="41" t="s">
        <v>79</v>
      </c>
      <c r="J621" s="41" t="s">
        <v>79</v>
      </c>
      <c r="K621" s="41" t="s">
        <v>79</v>
      </c>
      <c r="L621" s="41" t="s">
        <v>79</v>
      </c>
      <c r="M621" s="57">
        <f t="shared" si="9"/>
        <v>0</v>
      </c>
    </row>
    <row r="622" spans="1:13" ht="15">
      <c r="A622" t="s">
        <v>221</v>
      </c>
      <c r="B622" t="s">
        <v>162</v>
      </c>
      <c r="C622" t="s">
        <v>163</v>
      </c>
      <c r="D622" t="s">
        <v>78</v>
      </c>
      <c r="E622" t="s">
        <v>72</v>
      </c>
      <c r="F622" s="41" t="s">
        <v>79</v>
      </c>
      <c r="G622" s="41" t="s">
        <v>79</v>
      </c>
      <c r="H622" s="41" t="s">
        <v>79</v>
      </c>
      <c r="I622" s="41" t="s">
        <v>79</v>
      </c>
      <c r="J622" s="41" t="s">
        <v>79</v>
      </c>
      <c r="K622" s="41" t="s">
        <v>79</v>
      </c>
      <c r="L622" s="41" t="s">
        <v>79</v>
      </c>
      <c r="M622" s="57">
        <f t="shared" si="9"/>
        <v>0</v>
      </c>
    </row>
    <row r="623" spans="1:13" ht="15">
      <c r="A623" t="s">
        <v>221</v>
      </c>
      <c r="B623" t="s">
        <v>164</v>
      </c>
      <c r="C623" t="s">
        <v>165</v>
      </c>
      <c r="D623" t="s">
        <v>78</v>
      </c>
      <c r="E623" t="s">
        <v>72</v>
      </c>
      <c r="F623" s="41" t="s">
        <v>79</v>
      </c>
      <c r="G623" s="41" t="s">
        <v>79</v>
      </c>
      <c r="H623" s="41" t="s">
        <v>79</v>
      </c>
      <c r="I623" s="41" t="s">
        <v>79</v>
      </c>
      <c r="J623" s="41" t="s">
        <v>79</v>
      </c>
      <c r="K623" s="41" t="s">
        <v>79</v>
      </c>
      <c r="L623" s="41" t="s">
        <v>79</v>
      </c>
      <c r="M623" s="57">
        <f t="shared" si="9"/>
        <v>0</v>
      </c>
    </row>
    <row r="624" spans="1:13" ht="15">
      <c r="A624" t="s">
        <v>221</v>
      </c>
      <c r="B624" t="s">
        <v>166</v>
      </c>
      <c r="C624" t="s">
        <v>167</v>
      </c>
      <c r="D624" t="s">
        <v>78</v>
      </c>
      <c r="E624" t="s">
        <v>72</v>
      </c>
      <c r="F624" s="41" t="s">
        <v>79</v>
      </c>
      <c r="G624" s="41" t="s">
        <v>79</v>
      </c>
      <c r="H624" s="41" t="s">
        <v>79</v>
      </c>
      <c r="I624" s="41" t="s">
        <v>79</v>
      </c>
      <c r="J624" s="41" t="s">
        <v>79</v>
      </c>
      <c r="K624" s="41" t="s">
        <v>79</v>
      </c>
      <c r="L624" s="41" t="s">
        <v>79</v>
      </c>
      <c r="M624" s="57">
        <f t="shared" si="9"/>
        <v>0</v>
      </c>
    </row>
    <row r="625" spans="1:13" ht="15">
      <c r="A625" t="s">
        <v>221</v>
      </c>
      <c r="B625" t="s">
        <v>168</v>
      </c>
      <c r="C625" t="s">
        <v>169</v>
      </c>
      <c r="D625" t="s">
        <v>78</v>
      </c>
      <c r="E625" t="s">
        <v>72</v>
      </c>
      <c r="F625" s="41" t="s">
        <v>79</v>
      </c>
      <c r="G625" s="41" t="s">
        <v>79</v>
      </c>
      <c r="H625" s="41" t="s">
        <v>79</v>
      </c>
      <c r="I625" s="41" t="s">
        <v>79</v>
      </c>
      <c r="J625" s="41" t="s">
        <v>79</v>
      </c>
      <c r="K625" s="41" t="s">
        <v>79</v>
      </c>
      <c r="L625" s="41" t="s">
        <v>79</v>
      </c>
      <c r="M625" s="57">
        <f t="shared" si="9"/>
        <v>0</v>
      </c>
    </row>
    <row r="626" spans="1:13" ht="15">
      <c r="A626" t="s">
        <v>221</v>
      </c>
      <c r="B626" t="s">
        <v>170</v>
      </c>
      <c r="C626" t="s">
        <v>171</v>
      </c>
      <c r="D626" t="s">
        <v>78</v>
      </c>
      <c r="E626" t="s">
        <v>72</v>
      </c>
      <c r="F626" s="41" t="s">
        <v>79</v>
      </c>
      <c r="G626" s="41" t="s">
        <v>79</v>
      </c>
      <c r="H626" s="41" t="s">
        <v>79</v>
      </c>
      <c r="I626" s="41" t="s">
        <v>79</v>
      </c>
      <c r="J626" s="41" t="s">
        <v>79</v>
      </c>
      <c r="K626" s="41" t="s">
        <v>79</v>
      </c>
      <c r="L626" s="41" t="s">
        <v>79</v>
      </c>
      <c r="M626" s="57">
        <f t="shared" si="9"/>
        <v>0</v>
      </c>
    </row>
    <row r="627" spans="1:13" ht="15">
      <c r="A627" t="s">
        <v>221</v>
      </c>
      <c r="B627" t="s">
        <v>172</v>
      </c>
      <c r="C627" t="s">
        <v>173</v>
      </c>
      <c r="D627" t="s">
        <v>78</v>
      </c>
      <c r="E627" t="s">
        <v>72</v>
      </c>
      <c r="F627" s="41" t="s">
        <v>79</v>
      </c>
      <c r="G627" s="41" t="s">
        <v>79</v>
      </c>
      <c r="H627" s="41" t="s">
        <v>79</v>
      </c>
      <c r="I627" s="41" t="s">
        <v>79</v>
      </c>
      <c r="J627" s="41" t="s">
        <v>79</v>
      </c>
      <c r="K627" s="41" t="s">
        <v>79</v>
      </c>
      <c r="L627" s="41" t="s">
        <v>79</v>
      </c>
      <c r="M627" s="57">
        <f t="shared" si="9"/>
        <v>0</v>
      </c>
    </row>
    <row r="628" spans="1:13" ht="15">
      <c r="A628" t="s">
        <v>221</v>
      </c>
      <c r="B628" t="s">
        <v>174</v>
      </c>
      <c r="C628" t="s">
        <v>175</v>
      </c>
      <c r="D628" t="s">
        <v>78</v>
      </c>
      <c r="E628" t="s">
        <v>72</v>
      </c>
      <c r="F628" s="41" t="s">
        <v>79</v>
      </c>
      <c r="G628" s="41" t="s">
        <v>79</v>
      </c>
      <c r="H628" s="41" t="s">
        <v>79</v>
      </c>
      <c r="I628" s="41" t="s">
        <v>79</v>
      </c>
      <c r="J628" s="41" t="s">
        <v>79</v>
      </c>
      <c r="K628" s="41" t="s">
        <v>79</v>
      </c>
      <c r="L628" s="41" t="s">
        <v>79</v>
      </c>
      <c r="M628" s="57">
        <f t="shared" si="9"/>
        <v>0</v>
      </c>
    </row>
    <row r="629" spans="1:13" ht="15">
      <c r="A629" t="s">
        <v>221</v>
      </c>
      <c r="B629" t="s">
        <v>176</v>
      </c>
      <c r="C629" t="s">
        <v>177</v>
      </c>
      <c r="D629" t="s">
        <v>78</v>
      </c>
      <c r="E629" t="s">
        <v>72</v>
      </c>
      <c r="F629" s="41" t="s">
        <v>79</v>
      </c>
      <c r="G629" s="41" t="s">
        <v>79</v>
      </c>
      <c r="H629" s="41" t="s">
        <v>79</v>
      </c>
      <c r="I629" s="41" t="s">
        <v>79</v>
      </c>
      <c r="J629" s="41" t="s">
        <v>79</v>
      </c>
      <c r="K629" s="41" t="s">
        <v>79</v>
      </c>
      <c r="L629" s="41" t="s">
        <v>79</v>
      </c>
      <c r="M629" s="57">
        <f t="shared" si="9"/>
        <v>0</v>
      </c>
    </row>
    <row r="630" spans="1:13" ht="15">
      <c r="A630" t="s">
        <v>221</v>
      </c>
      <c r="B630" t="s">
        <v>178</v>
      </c>
      <c r="C630" t="s">
        <v>179</v>
      </c>
      <c r="D630" t="s">
        <v>78</v>
      </c>
      <c r="E630" t="s">
        <v>72</v>
      </c>
      <c r="F630" s="41" t="s">
        <v>79</v>
      </c>
      <c r="G630" s="41" t="s">
        <v>79</v>
      </c>
      <c r="H630" s="41" t="s">
        <v>79</v>
      </c>
      <c r="I630" s="41" t="s">
        <v>79</v>
      </c>
      <c r="J630" s="41" t="s">
        <v>79</v>
      </c>
      <c r="K630" s="41" t="s">
        <v>79</v>
      </c>
      <c r="L630" s="41" t="s">
        <v>79</v>
      </c>
      <c r="M630" s="57">
        <f t="shared" si="9"/>
        <v>0</v>
      </c>
    </row>
    <row r="631" spans="1:13" ht="15">
      <c r="A631" t="s">
        <v>221</v>
      </c>
      <c r="B631" t="s">
        <v>180</v>
      </c>
      <c r="C631" t="s">
        <v>181</v>
      </c>
      <c r="D631" t="s">
        <v>78</v>
      </c>
      <c r="E631" t="s">
        <v>72</v>
      </c>
      <c r="F631" s="41" t="s">
        <v>79</v>
      </c>
      <c r="G631" s="41" t="s">
        <v>79</v>
      </c>
      <c r="H631" s="41" t="s">
        <v>79</v>
      </c>
      <c r="I631" s="41" t="s">
        <v>79</v>
      </c>
      <c r="J631" s="41" t="s">
        <v>79</v>
      </c>
      <c r="K631" s="41" t="s">
        <v>79</v>
      </c>
      <c r="L631" s="41" t="s">
        <v>79</v>
      </c>
      <c r="M631" s="57">
        <f t="shared" si="9"/>
        <v>0</v>
      </c>
    </row>
    <row r="632" spans="1:13" ht="15">
      <c r="A632" t="s">
        <v>221</v>
      </c>
      <c r="B632" t="s">
        <v>182</v>
      </c>
      <c r="C632" t="s">
        <v>183</v>
      </c>
      <c r="D632" t="s">
        <v>78</v>
      </c>
      <c r="E632" t="s">
        <v>72</v>
      </c>
      <c r="F632" s="41" t="s">
        <v>79</v>
      </c>
      <c r="G632" s="41" t="s">
        <v>79</v>
      </c>
      <c r="H632" s="41" t="s">
        <v>79</v>
      </c>
      <c r="I632" s="41" t="s">
        <v>79</v>
      </c>
      <c r="J632" s="41" t="s">
        <v>79</v>
      </c>
      <c r="K632" s="41" t="s">
        <v>79</v>
      </c>
      <c r="L632" s="41" t="s">
        <v>79</v>
      </c>
      <c r="M632" s="57">
        <f t="shared" si="9"/>
        <v>0</v>
      </c>
    </row>
    <row r="633" spans="1:13" ht="15">
      <c r="A633" t="s">
        <v>221</v>
      </c>
      <c r="B633" t="s">
        <v>184</v>
      </c>
      <c r="C633" t="s">
        <v>185</v>
      </c>
      <c r="D633" t="s">
        <v>78</v>
      </c>
      <c r="E633" t="s">
        <v>72</v>
      </c>
      <c r="F633" s="41" t="s">
        <v>79</v>
      </c>
      <c r="G633" s="41" t="s">
        <v>79</v>
      </c>
      <c r="H633" s="41" t="s">
        <v>79</v>
      </c>
      <c r="I633" s="41" t="s">
        <v>79</v>
      </c>
      <c r="J633" s="41" t="s">
        <v>79</v>
      </c>
      <c r="K633" s="41" t="s">
        <v>79</v>
      </c>
      <c r="L633" s="41" t="s">
        <v>79</v>
      </c>
      <c r="M633" s="57">
        <f t="shared" si="9"/>
        <v>0</v>
      </c>
    </row>
    <row r="634" spans="1:13" ht="15">
      <c r="A634" t="s">
        <v>221</v>
      </c>
      <c r="B634" t="s">
        <v>186</v>
      </c>
      <c r="C634" t="s">
        <v>187</v>
      </c>
      <c r="D634" t="s">
        <v>78</v>
      </c>
      <c r="E634" t="s">
        <v>72</v>
      </c>
      <c r="F634" s="41" t="s">
        <v>79</v>
      </c>
      <c r="G634" s="41" t="s">
        <v>79</v>
      </c>
      <c r="H634" s="41" t="s">
        <v>79</v>
      </c>
      <c r="I634" s="41" t="s">
        <v>79</v>
      </c>
      <c r="J634" s="41" t="s">
        <v>79</v>
      </c>
      <c r="K634" s="41" t="s">
        <v>79</v>
      </c>
      <c r="L634" s="41" t="s">
        <v>79</v>
      </c>
      <c r="M634" s="57">
        <f t="shared" si="9"/>
        <v>0</v>
      </c>
    </row>
    <row r="635" spans="1:13" ht="15">
      <c r="A635" t="s">
        <v>221</v>
      </c>
      <c r="B635" t="s">
        <v>188</v>
      </c>
      <c r="C635" t="s">
        <v>189</v>
      </c>
      <c r="D635" t="s">
        <v>78</v>
      </c>
      <c r="E635" t="s">
        <v>72</v>
      </c>
      <c r="F635" s="41" t="s">
        <v>79</v>
      </c>
      <c r="G635" s="41" t="s">
        <v>79</v>
      </c>
      <c r="H635" s="41" t="s">
        <v>79</v>
      </c>
      <c r="I635" s="41" t="s">
        <v>79</v>
      </c>
      <c r="J635" s="41" t="s">
        <v>79</v>
      </c>
      <c r="K635" s="41" t="s">
        <v>79</v>
      </c>
      <c r="L635" s="41" t="s">
        <v>79</v>
      </c>
      <c r="M635" s="57">
        <f t="shared" si="9"/>
        <v>0</v>
      </c>
    </row>
    <row r="636" spans="1:13" ht="15">
      <c r="A636" t="s">
        <v>221</v>
      </c>
      <c r="B636" t="s">
        <v>190</v>
      </c>
      <c r="C636" t="s">
        <v>191</v>
      </c>
      <c r="D636" t="s">
        <v>78</v>
      </c>
      <c r="E636" t="s">
        <v>72</v>
      </c>
      <c r="F636" s="41" t="s">
        <v>79</v>
      </c>
      <c r="G636" s="41" t="s">
        <v>79</v>
      </c>
      <c r="H636" s="41" t="s">
        <v>79</v>
      </c>
      <c r="I636" s="41" t="s">
        <v>79</v>
      </c>
      <c r="J636" s="41" t="s">
        <v>79</v>
      </c>
      <c r="K636" s="41" t="s">
        <v>79</v>
      </c>
      <c r="L636" s="41" t="s">
        <v>79</v>
      </c>
      <c r="M636" s="57">
        <f t="shared" si="9"/>
        <v>0</v>
      </c>
    </row>
    <row r="637" spans="1:13" ht="15">
      <c r="A637" t="s">
        <v>221</v>
      </c>
      <c r="B637" t="s">
        <v>192</v>
      </c>
      <c r="C637" t="s">
        <v>193</v>
      </c>
      <c r="D637" t="s">
        <v>78</v>
      </c>
      <c r="E637" t="s">
        <v>72</v>
      </c>
      <c r="F637" s="41" t="s">
        <v>79</v>
      </c>
      <c r="G637" s="41" t="s">
        <v>79</v>
      </c>
      <c r="H637" s="41" t="s">
        <v>79</v>
      </c>
      <c r="I637" s="41" t="s">
        <v>79</v>
      </c>
      <c r="J637" s="41" t="s">
        <v>79</v>
      </c>
      <c r="K637" s="41" t="s">
        <v>79</v>
      </c>
      <c r="L637" s="41" t="s">
        <v>79</v>
      </c>
      <c r="M637" s="57">
        <f t="shared" si="9"/>
        <v>0</v>
      </c>
    </row>
    <row r="638" spans="1:13" ht="15">
      <c r="A638" t="s">
        <v>221</v>
      </c>
      <c r="B638" t="s">
        <v>194</v>
      </c>
      <c r="C638" t="s">
        <v>195</v>
      </c>
      <c r="D638" t="s">
        <v>78</v>
      </c>
      <c r="E638" t="s">
        <v>72</v>
      </c>
      <c r="F638" s="41" t="s">
        <v>79</v>
      </c>
      <c r="G638" s="41" t="s">
        <v>79</v>
      </c>
      <c r="H638" s="41" t="s">
        <v>79</v>
      </c>
      <c r="I638" s="41" t="s">
        <v>79</v>
      </c>
      <c r="J638" s="41" t="s">
        <v>79</v>
      </c>
      <c r="K638" s="41" t="s">
        <v>79</v>
      </c>
      <c r="L638" s="41" t="s">
        <v>79</v>
      </c>
      <c r="M638" s="57">
        <f t="shared" si="9"/>
        <v>0</v>
      </c>
    </row>
    <row r="639" spans="1:13" ht="15">
      <c r="A639" t="s">
        <v>221</v>
      </c>
      <c r="B639" t="s">
        <v>196</v>
      </c>
      <c r="C639" t="s">
        <v>197</v>
      </c>
      <c r="D639" t="s">
        <v>78</v>
      </c>
      <c r="E639" t="s">
        <v>72</v>
      </c>
      <c r="F639" s="41" t="s">
        <v>79</v>
      </c>
      <c r="G639" s="41" t="s">
        <v>79</v>
      </c>
      <c r="H639" s="41" t="s">
        <v>79</v>
      </c>
      <c r="I639" s="41" t="s">
        <v>79</v>
      </c>
      <c r="J639" s="41" t="s">
        <v>79</v>
      </c>
      <c r="K639" s="41" t="s">
        <v>79</v>
      </c>
      <c r="L639" s="41" t="s">
        <v>79</v>
      </c>
      <c r="M639" s="57">
        <f t="shared" si="9"/>
        <v>0</v>
      </c>
    </row>
    <row r="640" spans="1:13" ht="15">
      <c r="A640" t="s">
        <v>221</v>
      </c>
      <c r="B640" t="s">
        <v>198</v>
      </c>
      <c r="C640" t="s">
        <v>199</v>
      </c>
      <c r="D640" t="s">
        <v>78</v>
      </c>
      <c r="E640" t="s">
        <v>72</v>
      </c>
      <c r="F640" s="41" t="s">
        <v>79</v>
      </c>
      <c r="G640" s="41" t="s">
        <v>79</v>
      </c>
      <c r="H640" s="41" t="s">
        <v>79</v>
      </c>
      <c r="I640" s="41" t="s">
        <v>79</v>
      </c>
      <c r="J640" s="41" t="s">
        <v>79</v>
      </c>
      <c r="K640" s="41" t="s">
        <v>79</v>
      </c>
      <c r="L640" s="41" t="s">
        <v>79</v>
      </c>
      <c r="M640" s="57">
        <f t="shared" si="9"/>
        <v>0</v>
      </c>
    </row>
    <row r="641" spans="1:13" ht="15">
      <c r="A641" t="s">
        <v>221</v>
      </c>
      <c r="B641" t="s">
        <v>200</v>
      </c>
      <c r="C641" t="s">
        <v>201</v>
      </c>
      <c r="D641" t="s">
        <v>78</v>
      </c>
      <c r="E641" t="s">
        <v>72</v>
      </c>
      <c r="F641" s="41" t="s">
        <v>79</v>
      </c>
      <c r="G641" s="41" t="s">
        <v>79</v>
      </c>
      <c r="H641" s="41" t="s">
        <v>79</v>
      </c>
      <c r="I641" s="41" t="s">
        <v>79</v>
      </c>
      <c r="J641" s="41" t="s">
        <v>79</v>
      </c>
      <c r="K641" s="41" t="s">
        <v>79</v>
      </c>
      <c r="L641" s="41" t="s">
        <v>79</v>
      </c>
      <c r="M641" s="57">
        <f t="shared" si="9"/>
        <v>0</v>
      </c>
    </row>
    <row r="642" spans="1:13" ht="15">
      <c r="A642" t="s">
        <v>221</v>
      </c>
      <c r="B642" t="s">
        <v>202</v>
      </c>
      <c r="C642" t="s">
        <v>203</v>
      </c>
      <c r="D642" t="s">
        <v>78</v>
      </c>
      <c r="E642" t="s">
        <v>72</v>
      </c>
      <c r="F642" s="41" t="s">
        <v>79</v>
      </c>
      <c r="G642" s="41" t="s">
        <v>79</v>
      </c>
      <c r="H642" s="41" t="s">
        <v>79</v>
      </c>
      <c r="I642" s="41" t="s">
        <v>79</v>
      </c>
      <c r="J642" s="41" t="s">
        <v>79</v>
      </c>
      <c r="K642" s="41" t="s">
        <v>79</v>
      </c>
      <c r="L642" s="41" t="s">
        <v>79</v>
      </c>
      <c r="M642" s="57">
        <f t="shared" si="9"/>
        <v>0</v>
      </c>
    </row>
    <row r="643" spans="1:13" ht="15">
      <c r="A643" t="s">
        <v>221</v>
      </c>
      <c r="B643" t="s">
        <v>204</v>
      </c>
      <c r="C643" t="s">
        <v>205</v>
      </c>
      <c r="D643" t="s">
        <v>78</v>
      </c>
      <c r="E643" t="s">
        <v>72</v>
      </c>
      <c r="F643" s="41" t="s">
        <v>79</v>
      </c>
      <c r="G643" s="41" t="s">
        <v>79</v>
      </c>
      <c r="H643" s="41" t="s">
        <v>79</v>
      </c>
      <c r="I643" s="41" t="s">
        <v>79</v>
      </c>
      <c r="J643" s="41" t="s">
        <v>79</v>
      </c>
      <c r="K643" s="41" t="s">
        <v>79</v>
      </c>
      <c r="L643" s="41" t="s">
        <v>79</v>
      </c>
      <c r="M643" s="57">
        <f t="shared" si="9"/>
        <v>0</v>
      </c>
    </row>
    <row r="644" spans="1:13" ht="15">
      <c r="A644" t="s">
        <v>221</v>
      </c>
      <c r="B644" t="s">
        <v>206</v>
      </c>
      <c r="C644" t="s">
        <v>207</v>
      </c>
      <c r="D644" t="s">
        <v>78</v>
      </c>
      <c r="E644" t="s">
        <v>72</v>
      </c>
      <c r="F644" s="41" t="s">
        <v>79</v>
      </c>
      <c r="G644" s="41" t="s">
        <v>79</v>
      </c>
      <c r="H644" s="41" t="s">
        <v>79</v>
      </c>
      <c r="I644" s="41" t="s">
        <v>79</v>
      </c>
      <c r="J644" s="41" t="s">
        <v>79</v>
      </c>
      <c r="K644" s="41" t="s">
        <v>79</v>
      </c>
      <c r="L644" s="41" t="s">
        <v>79</v>
      </c>
      <c r="M644" s="57">
        <f t="shared" si="9"/>
        <v>0</v>
      </c>
    </row>
    <row r="645" spans="1:13" ht="15">
      <c r="A645" t="s">
        <v>221</v>
      </c>
      <c r="B645" t="s">
        <v>208</v>
      </c>
      <c r="C645" t="s">
        <v>209</v>
      </c>
      <c r="D645" t="s">
        <v>78</v>
      </c>
      <c r="E645" t="s">
        <v>72</v>
      </c>
      <c r="F645" s="41" t="s">
        <v>79</v>
      </c>
      <c r="G645" s="41" t="s">
        <v>79</v>
      </c>
      <c r="H645" s="41" t="s">
        <v>79</v>
      </c>
      <c r="I645" s="41" t="s">
        <v>79</v>
      </c>
      <c r="J645" s="41" t="s">
        <v>79</v>
      </c>
      <c r="K645" s="41" t="s">
        <v>79</v>
      </c>
      <c r="L645" s="41" t="s">
        <v>79</v>
      </c>
      <c r="M645" s="57">
        <f t="shared" si="9"/>
        <v>0</v>
      </c>
    </row>
    <row r="646" spans="1:13" ht="15">
      <c r="A646" t="s">
        <v>221</v>
      </c>
      <c r="B646" t="s">
        <v>210</v>
      </c>
      <c r="C646" t="s">
        <v>211</v>
      </c>
      <c r="D646" t="s">
        <v>78</v>
      </c>
      <c r="E646" t="s">
        <v>72</v>
      </c>
      <c r="F646" s="41" t="s">
        <v>79</v>
      </c>
      <c r="G646" s="41" t="s">
        <v>79</v>
      </c>
      <c r="H646" s="41" t="s">
        <v>79</v>
      </c>
      <c r="I646" s="41" t="s">
        <v>79</v>
      </c>
      <c r="J646" s="41" t="s">
        <v>79</v>
      </c>
      <c r="K646" s="41" t="s">
        <v>79</v>
      </c>
      <c r="L646" s="41" t="s">
        <v>79</v>
      </c>
      <c r="M646" s="57">
        <f t="shared" ref="M646:M709" si="10">SUM(F646:L646)</f>
        <v>0</v>
      </c>
    </row>
    <row r="647" spans="1:13" ht="15">
      <c r="A647" t="s">
        <v>221</v>
      </c>
      <c r="B647" t="s">
        <v>212</v>
      </c>
      <c r="C647" t="s">
        <v>213</v>
      </c>
      <c r="D647" t="s">
        <v>78</v>
      </c>
      <c r="E647" t="s">
        <v>72</v>
      </c>
      <c r="F647" s="41" t="s">
        <v>79</v>
      </c>
      <c r="G647" s="41" t="s">
        <v>79</v>
      </c>
      <c r="H647" s="41" t="s">
        <v>79</v>
      </c>
      <c r="I647" s="41" t="s">
        <v>79</v>
      </c>
      <c r="J647" s="41" t="s">
        <v>79</v>
      </c>
      <c r="K647" s="41" t="s">
        <v>79</v>
      </c>
      <c r="L647" s="41" t="s">
        <v>79</v>
      </c>
      <c r="M647" s="57">
        <f t="shared" si="10"/>
        <v>0</v>
      </c>
    </row>
    <row r="648" spans="1:13" ht="15">
      <c r="A648" t="s">
        <v>221</v>
      </c>
      <c r="B648" t="s">
        <v>214</v>
      </c>
      <c r="C648" t="s">
        <v>215</v>
      </c>
      <c r="D648" t="s">
        <v>78</v>
      </c>
      <c r="E648" t="s">
        <v>72</v>
      </c>
      <c r="F648" s="41" t="s">
        <v>79</v>
      </c>
      <c r="G648" s="41" t="s">
        <v>79</v>
      </c>
      <c r="H648" s="41" t="s">
        <v>79</v>
      </c>
      <c r="I648" s="41" t="s">
        <v>79</v>
      </c>
      <c r="J648" s="41" t="s">
        <v>79</v>
      </c>
      <c r="K648" s="41" t="s">
        <v>79</v>
      </c>
      <c r="L648" s="41" t="s">
        <v>79</v>
      </c>
      <c r="M648" s="57">
        <f t="shared" si="10"/>
        <v>0</v>
      </c>
    </row>
    <row r="649" spans="1:13" ht="15">
      <c r="A649" t="s">
        <v>221</v>
      </c>
      <c r="B649" t="s">
        <v>216</v>
      </c>
      <c r="C649" t="s">
        <v>217</v>
      </c>
      <c r="D649" t="s">
        <v>78</v>
      </c>
      <c r="E649" t="s">
        <v>72</v>
      </c>
      <c r="F649" s="41" t="s">
        <v>79</v>
      </c>
      <c r="G649" s="41" t="s">
        <v>79</v>
      </c>
      <c r="H649" s="41" t="s">
        <v>79</v>
      </c>
      <c r="I649" s="41" t="s">
        <v>79</v>
      </c>
      <c r="J649" s="41" t="s">
        <v>79</v>
      </c>
      <c r="K649" s="41" t="s">
        <v>79</v>
      </c>
      <c r="L649" s="41" t="s">
        <v>79</v>
      </c>
      <c r="M649" s="57">
        <f t="shared" si="10"/>
        <v>0</v>
      </c>
    </row>
    <row r="650" spans="1:13" ht="15">
      <c r="A650" t="s">
        <v>222</v>
      </c>
      <c r="B650" t="s">
        <v>132</v>
      </c>
      <c r="C650" t="s">
        <v>133</v>
      </c>
      <c r="D650" t="s">
        <v>78</v>
      </c>
      <c r="E650" t="s">
        <v>72</v>
      </c>
      <c r="F650" s="41" t="s">
        <v>79</v>
      </c>
      <c r="G650" s="41" t="s">
        <v>79</v>
      </c>
      <c r="H650" s="41" t="s">
        <v>79</v>
      </c>
      <c r="I650" s="41" t="s">
        <v>79</v>
      </c>
      <c r="J650" s="41" t="s">
        <v>79</v>
      </c>
      <c r="K650" s="41" t="s">
        <v>79</v>
      </c>
      <c r="L650" s="41" t="s">
        <v>79</v>
      </c>
      <c r="M650" s="57">
        <f t="shared" si="10"/>
        <v>0</v>
      </c>
    </row>
    <row r="651" spans="1:13" ht="15">
      <c r="A651" t="s">
        <v>222</v>
      </c>
      <c r="B651" t="s">
        <v>134</v>
      </c>
      <c r="C651" t="s">
        <v>135</v>
      </c>
      <c r="D651" t="s">
        <v>78</v>
      </c>
      <c r="E651" t="s">
        <v>72</v>
      </c>
      <c r="F651" s="41" t="s">
        <v>79</v>
      </c>
      <c r="G651" s="41" t="s">
        <v>79</v>
      </c>
      <c r="H651" s="41" t="s">
        <v>79</v>
      </c>
      <c r="I651" s="41" t="s">
        <v>79</v>
      </c>
      <c r="J651" s="41" t="s">
        <v>79</v>
      </c>
      <c r="K651" s="41" t="s">
        <v>79</v>
      </c>
      <c r="L651" s="41" t="s">
        <v>79</v>
      </c>
      <c r="M651" s="57">
        <f t="shared" si="10"/>
        <v>0</v>
      </c>
    </row>
    <row r="652" spans="1:13" ht="15">
      <c r="A652" t="s">
        <v>222</v>
      </c>
      <c r="B652" t="s">
        <v>136</v>
      </c>
      <c r="C652" t="s">
        <v>137</v>
      </c>
      <c r="D652" t="s">
        <v>78</v>
      </c>
      <c r="E652" t="s">
        <v>72</v>
      </c>
      <c r="F652" s="41" t="s">
        <v>79</v>
      </c>
      <c r="G652" s="41" t="s">
        <v>79</v>
      </c>
      <c r="H652" s="41" t="s">
        <v>79</v>
      </c>
      <c r="I652" s="41" t="s">
        <v>79</v>
      </c>
      <c r="J652" s="41" t="s">
        <v>79</v>
      </c>
      <c r="K652" s="41" t="s">
        <v>79</v>
      </c>
      <c r="L652" s="41" t="s">
        <v>79</v>
      </c>
      <c r="M652" s="57">
        <f t="shared" si="10"/>
        <v>0</v>
      </c>
    </row>
    <row r="653" spans="1:13" ht="15">
      <c r="A653" t="s">
        <v>222</v>
      </c>
      <c r="B653" t="s">
        <v>138</v>
      </c>
      <c r="C653" t="s">
        <v>139</v>
      </c>
      <c r="D653" t="s">
        <v>78</v>
      </c>
      <c r="E653" t="s">
        <v>72</v>
      </c>
      <c r="F653" s="41" t="s">
        <v>79</v>
      </c>
      <c r="G653" s="41" t="s">
        <v>79</v>
      </c>
      <c r="H653" s="41" t="s">
        <v>79</v>
      </c>
      <c r="I653" s="41" t="s">
        <v>79</v>
      </c>
      <c r="J653" s="41" t="s">
        <v>79</v>
      </c>
      <c r="K653" s="41" t="s">
        <v>79</v>
      </c>
      <c r="L653" s="41" t="s">
        <v>79</v>
      </c>
      <c r="M653" s="57">
        <f t="shared" si="10"/>
        <v>0</v>
      </c>
    </row>
    <row r="654" spans="1:13" ht="15">
      <c r="A654" t="s">
        <v>222</v>
      </c>
      <c r="B654" t="s">
        <v>140</v>
      </c>
      <c r="C654" t="s">
        <v>141</v>
      </c>
      <c r="D654" t="s">
        <v>78</v>
      </c>
      <c r="E654" t="s">
        <v>72</v>
      </c>
      <c r="F654" s="41" t="s">
        <v>79</v>
      </c>
      <c r="G654" s="41" t="s">
        <v>79</v>
      </c>
      <c r="H654" s="41" t="s">
        <v>79</v>
      </c>
      <c r="I654" s="41" t="s">
        <v>79</v>
      </c>
      <c r="J654" s="41" t="s">
        <v>79</v>
      </c>
      <c r="K654" s="41" t="s">
        <v>79</v>
      </c>
      <c r="L654" s="41" t="s">
        <v>79</v>
      </c>
      <c r="M654" s="57">
        <f t="shared" si="10"/>
        <v>0</v>
      </c>
    </row>
    <row r="655" spans="1:13" ht="15">
      <c r="A655" t="s">
        <v>222</v>
      </c>
      <c r="B655" t="s">
        <v>142</v>
      </c>
      <c r="C655" t="s">
        <v>143</v>
      </c>
      <c r="D655" t="s">
        <v>78</v>
      </c>
      <c r="E655" t="s">
        <v>72</v>
      </c>
      <c r="F655" s="41" t="s">
        <v>79</v>
      </c>
      <c r="G655" s="41" t="s">
        <v>79</v>
      </c>
      <c r="H655" s="41" t="s">
        <v>79</v>
      </c>
      <c r="I655" s="41" t="s">
        <v>79</v>
      </c>
      <c r="J655" s="41" t="s">
        <v>79</v>
      </c>
      <c r="K655" s="41" t="s">
        <v>79</v>
      </c>
      <c r="L655" s="41" t="s">
        <v>79</v>
      </c>
      <c r="M655" s="57">
        <f t="shared" si="10"/>
        <v>0</v>
      </c>
    </row>
    <row r="656" spans="1:13" ht="15">
      <c r="A656" t="s">
        <v>222</v>
      </c>
      <c r="B656" t="s">
        <v>144</v>
      </c>
      <c r="C656" t="s">
        <v>145</v>
      </c>
      <c r="D656" t="s">
        <v>78</v>
      </c>
      <c r="E656" t="s">
        <v>72</v>
      </c>
      <c r="F656" s="41" t="s">
        <v>79</v>
      </c>
      <c r="G656" s="41" t="s">
        <v>79</v>
      </c>
      <c r="H656" s="41" t="s">
        <v>79</v>
      </c>
      <c r="I656" s="41" t="s">
        <v>79</v>
      </c>
      <c r="J656" s="41" t="s">
        <v>79</v>
      </c>
      <c r="K656" s="41" t="s">
        <v>79</v>
      </c>
      <c r="L656" s="41" t="s">
        <v>79</v>
      </c>
      <c r="M656" s="57">
        <f t="shared" si="10"/>
        <v>0</v>
      </c>
    </row>
    <row r="657" spans="1:13" ht="15">
      <c r="A657" t="s">
        <v>222</v>
      </c>
      <c r="B657" t="s">
        <v>146</v>
      </c>
      <c r="C657" t="s">
        <v>147</v>
      </c>
      <c r="D657" t="s">
        <v>78</v>
      </c>
      <c r="E657" t="s">
        <v>72</v>
      </c>
      <c r="F657" s="41" t="s">
        <v>79</v>
      </c>
      <c r="G657" s="41" t="s">
        <v>79</v>
      </c>
      <c r="H657" s="41" t="s">
        <v>79</v>
      </c>
      <c r="I657" s="41" t="s">
        <v>79</v>
      </c>
      <c r="J657" s="41" t="s">
        <v>79</v>
      </c>
      <c r="K657" s="41" t="s">
        <v>79</v>
      </c>
      <c r="L657" s="41" t="s">
        <v>79</v>
      </c>
      <c r="M657" s="57">
        <f t="shared" si="10"/>
        <v>0</v>
      </c>
    </row>
    <row r="658" spans="1:13" ht="15">
      <c r="A658" t="s">
        <v>222</v>
      </c>
      <c r="B658" t="s">
        <v>148</v>
      </c>
      <c r="C658" t="s">
        <v>149</v>
      </c>
      <c r="D658" t="s">
        <v>78</v>
      </c>
      <c r="E658" t="s">
        <v>72</v>
      </c>
      <c r="F658" s="41" t="s">
        <v>79</v>
      </c>
      <c r="G658" s="41" t="s">
        <v>79</v>
      </c>
      <c r="H658" s="41" t="s">
        <v>79</v>
      </c>
      <c r="I658" s="41" t="s">
        <v>79</v>
      </c>
      <c r="J658" s="41" t="s">
        <v>79</v>
      </c>
      <c r="K658" s="41" t="s">
        <v>79</v>
      </c>
      <c r="L658" s="41" t="s">
        <v>79</v>
      </c>
      <c r="M658" s="57">
        <f t="shared" si="10"/>
        <v>0</v>
      </c>
    </row>
    <row r="659" spans="1:13" ht="15">
      <c r="A659" t="s">
        <v>222</v>
      </c>
      <c r="B659" t="s">
        <v>150</v>
      </c>
      <c r="C659" t="s">
        <v>151</v>
      </c>
      <c r="D659" t="s">
        <v>78</v>
      </c>
      <c r="E659" t="s">
        <v>72</v>
      </c>
      <c r="F659" s="41" t="s">
        <v>79</v>
      </c>
      <c r="G659" s="41" t="s">
        <v>79</v>
      </c>
      <c r="H659" s="41" t="s">
        <v>79</v>
      </c>
      <c r="I659" s="41" t="s">
        <v>79</v>
      </c>
      <c r="J659" s="41" t="s">
        <v>79</v>
      </c>
      <c r="K659" s="41" t="s">
        <v>79</v>
      </c>
      <c r="L659" s="41" t="s">
        <v>79</v>
      </c>
      <c r="M659" s="57">
        <f t="shared" si="10"/>
        <v>0</v>
      </c>
    </row>
    <row r="660" spans="1:13" ht="15">
      <c r="A660" t="s">
        <v>222</v>
      </c>
      <c r="B660" t="s">
        <v>152</v>
      </c>
      <c r="C660" t="s">
        <v>153</v>
      </c>
      <c r="D660" t="s">
        <v>78</v>
      </c>
      <c r="E660" t="s">
        <v>72</v>
      </c>
      <c r="F660" s="41" t="s">
        <v>79</v>
      </c>
      <c r="G660" s="41" t="s">
        <v>79</v>
      </c>
      <c r="H660" s="41" t="s">
        <v>79</v>
      </c>
      <c r="I660" s="41" t="s">
        <v>79</v>
      </c>
      <c r="J660" s="41" t="s">
        <v>79</v>
      </c>
      <c r="K660" s="41" t="s">
        <v>79</v>
      </c>
      <c r="L660" s="41" t="s">
        <v>79</v>
      </c>
      <c r="M660" s="57">
        <f t="shared" si="10"/>
        <v>0</v>
      </c>
    </row>
    <row r="661" spans="1:13" ht="15">
      <c r="A661" t="s">
        <v>222</v>
      </c>
      <c r="B661" t="s">
        <v>154</v>
      </c>
      <c r="C661" t="s">
        <v>155</v>
      </c>
      <c r="D661" t="s">
        <v>78</v>
      </c>
      <c r="E661" t="s">
        <v>72</v>
      </c>
      <c r="F661" s="41" t="s">
        <v>79</v>
      </c>
      <c r="G661" s="41" t="s">
        <v>79</v>
      </c>
      <c r="H661" s="41" t="s">
        <v>79</v>
      </c>
      <c r="I661" s="41" t="s">
        <v>79</v>
      </c>
      <c r="J661" s="41" t="s">
        <v>79</v>
      </c>
      <c r="K661" s="41" t="s">
        <v>79</v>
      </c>
      <c r="L661" s="41" t="s">
        <v>79</v>
      </c>
      <c r="M661" s="57">
        <f t="shared" si="10"/>
        <v>0</v>
      </c>
    </row>
    <row r="662" spans="1:13" ht="15">
      <c r="A662" t="s">
        <v>222</v>
      </c>
      <c r="B662" t="s">
        <v>156</v>
      </c>
      <c r="C662" t="s">
        <v>157</v>
      </c>
      <c r="D662" t="s">
        <v>78</v>
      </c>
      <c r="E662" t="s">
        <v>72</v>
      </c>
      <c r="F662" s="41" t="s">
        <v>79</v>
      </c>
      <c r="G662" s="41" t="s">
        <v>79</v>
      </c>
      <c r="H662" s="41" t="s">
        <v>79</v>
      </c>
      <c r="I662" s="41" t="s">
        <v>79</v>
      </c>
      <c r="J662" s="41" t="s">
        <v>79</v>
      </c>
      <c r="K662" s="41" t="s">
        <v>79</v>
      </c>
      <c r="L662" s="41" t="s">
        <v>79</v>
      </c>
      <c r="M662" s="57">
        <f t="shared" si="10"/>
        <v>0</v>
      </c>
    </row>
    <row r="663" spans="1:13" ht="15">
      <c r="A663" t="s">
        <v>222</v>
      </c>
      <c r="B663" t="s">
        <v>158</v>
      </c>
      <c r="C663" t="s">
        <v>159</v>
      </c>
      <c r="D663" t="s">
        <v>78</v>
      </c>
      <c r="E663" t="s">
        <v>72</v>
      </c>
      <c r="F663" s="41" t="s">
        <v>79</v>
      </c>
      <c r="G663" s="41" t="s">
        <v>79</v>
      </c>
      <c r="H663" s="41" t="s">
        <v>79</v>
      </c>
      <c r="I663" s="41" t="s">
        <v>79</v>
      </c>
      <c r="J663" s="41" t="s">
        <v>79</v>
      </c>
      <c r="K663" s="41" t="s">
        <v>79</v>
      </c>
      <c r="L663" s="41" t="s">
        <v>79</v>
      </c>
      <c r="M663" s="57">
        <f t="shared" si="10"/>
        <v>0</v>
      </c>
    </row>
    <row r="664" spans="1:13" ht="15">
      <c r="A664" t="s">
        <v>222</v>
      </c>
      <c r="B664" t="s">
        <v>160</v>
      </c>
      <c r="C664" t="s">
        <v>161</v>
      </c>
      <c r="D664" t="s">
        <v>78</v>
      </c>
      <c r="E664" t="s">
        <v>72</v>
      </c>
      <c r="F664" s="41" t="s">
        <v>79</v>
      </c>
      <c r="G664" s="41" t="s">
        <v>79</v>
      </c>
      <c r="H664" s="41" t="s">
        <v>79</v>
      </c>
      <c r="I664" s="41" t="s">
        <v>79</v>
      </c>
      <c r="J664" s="41" t="s">
        <v>79</v>
      </c>
      <c r="K664" s="41" t="s">
        <v>79</v>
      </c>
      <c r="L664" s="41" t="s">
        <v>79</v>
      </c>
      <c r="M664" s="57">
        <f t="shared" si="10"/>
        <v>0</v>
      </c>
    </row>
    <row r="665" spans="1:13" ht="15">
      <c r="A665" t="s">
        <v>222</v>
      </c>
      <c r="B665" t="s">
        <v>162</v>
      </c>
      <c r="C665" t="s">
        <v>163</v>
      </c>
      <c r="D665" t="s">
        <v>78</v>
      </c>
      <c r="E665" t="s">
        <v>72</v>
      </c>
      <c r="F665" s="41" t="s">
        <v>79</v>
      </c>
      <c r="G665" s="41" t="s">
        <v>79</v>
      </c>
      <c r="H665" s="41" t="s">
        <v>79</v>
      </c>
      <c r="I665" s="41" t="s">
        <v>79</v>
      </c>
      <c r="J665" s="41" t="s">
        <v>79</v>
      </c>
      <c r="K665" s="41" t="s">
        <v>79</v>
      </c>
      <c r="L665" s="41" t="s">
        <v>79</v>
      </c>
      <c r="M665" s="57">
        <f t="shared" si="10"/>
        <v>0</v>
      </c>
    </row>
    <row r="666" spans="1:13" ht="15">
      <c r="A666" t="s">
        <v>222</v>
      </c>
      <c r="B666" t="s">
        <v>164</v>
      </c>
      <c r="C666" t="s">
        <v>165</v>
      </c>
      <c r="D666" t="s">
        <v>78</v>
      </c>
      <c r="E666" t="s">
        <v>72</v>
      </c>
      <c r="F666" s="41" t="s">
        <v>79</v>
      </c>
      <c r="G666" s="41" t="s">
        <v>79</v>
      </c>
      <c r="H666" s="41" t="s">
        <v>79</v>
      </c>
      <c r="I666" s="41" t="s">
        <v>79</v>
      </c>
      <c r="J666" s="41" t="s">
        <v>79</v>
      </c>
      <c r="K666" s="41" t="s">
        <v>79</v>
      </c>
      <c r="L666" s="41" t="s">
        <v>79</v>
      </c>
      <c r="M666" s="57">
        <f t="shared" si="10"/>
        <v>0</v>
      </c>
    </row>
    <row r="667" spans="1:13" ht="15">
      <c r="A667" t="s">
        <v>222</v>
      </c>
      <c r="B667" t="s">
        <v>166</v>
      </c>
      <c r="C667" t="s">
        <v>167</v>
      </c>
      <c r="D667" t="s">
        <v>78</v>
      </c>
      <c r="E667" t="s">
        <v>72</v>
      </c>
      <c r="F667" s="41" t="s">
        <v>79</v>
      </c>
      <c r="G667" s="41" t="s">
        <v>79</v>
      </c>
      <c r="H667" s="41" t="s">
        <v>79</v>
      </c>
      <c r="I667" s="41" t="s">
        <v>79</v>
      </c>
      <c r="J667" s="41" t="s">
        <v>79</v>
      </c>
      <c r="K667" s="41" t="s">
        <v>79</v>
      </c>
      <c r="L667" s="41" t="s">
        <v>79</v>
      </c>
      <c r="M667" s="57">
        <f t="shared" si="10"/>
        <v>0</v>
      </c>
    </row>
    <row r="668" spans="1:13" ht="15">
      <c r="A668" t="s">
        <v>222</v>
      </c>
      <c r="B668" t="s">
        <v>168</v>
      </c>
      <c r="C668" t="s">
        <v>169</v>
      </c>
      <c r="D668" t="s">
        <v>78</v>
      </c>
      <c r="E668" t="s">
        <v>72</v>
      </c>
      <c r="F668" s="41" t="s">
        <v>79</v>
      </c>
      <c r="G668" s="41" t="s">
        <v>79</v>
      </c>
      <c r="H668" s="41" t="s">
        <v>79</v>
      </c>
      <c r="I668" s="41" t="s">
        <v>79</v>
      </c>
      <c r="J668" s="41" t="s">
        <v>79</v>
      </c>
      <c r="K668" s="41" t="s">
        <v>79</v>
      </c>
      <c r="L668" s="41" t="s">
        <v>79</v>
      </c>
      <c r="M668" s="57">
        <f t="shared" si="10"/>
        <v>0</v>
      </c>
    </row>
    <row r="669" spans="1:13" ht="15">
      <c r="A669" t="s">
        <v>222</v>
      </c>
      <c r="B669" t="s">
        <v>170</v>
      </c>
      <c r="C669" t="s">
        <v>171</v>
      </c>
      <c r="D669" t="s">
        <v>78</v>
      </c>
      <c r="E669" t="s">
        <v>72</v>
      </c>
      <c r="F669" s="41" t="s">
        <v>79</v>
      </c>
      <c r="G669" s="41" t="s">
        <v>79</v>
      </c>
      <c r="H669" s="41" t="s">
        <v>79</v>
      </c>
      <c r="I669" s="41" t="s">
        <v>79</v>
      </c>
      <c r="J669" s="41" t="s">
        <v>79</v>
      </c>
      <c r="K669" s="41" t="s">
        <v>79</v>
      </c>
      <c r="L669" s="41" t="s">
        <v>79</v>
      </c>
      <c r="M669" s="57">
        <f t="shared" si="10"/>
        <v>0</v>
      </c>
    </row>
    <row r="670" spans="1:13" ht="15">
      <c r="A670" t="s">
        <v>222</v>
      </c>
      <c r="B670" t="s">
        <v>172</v>
      </c>
      <c r="C670" t="s">
        <v>173</v>
      </c>
      <c r="D670" t="s">
        <v>78</v>
      </c>
      <c r="E670" t="s">
        <v>72</v>
      </c>
      <c r="F670" s="41" t="s">
        <v>79</v>
      </c>
      <c r="G670" s="41" t="s">
        <v>79</v>
      </c>
      <c r="H670" s="41" t="s">
        <v>79</v>
      </c>
      <c r="I670" s="41" t="s">
        <v>79</v>
      </c>
      <c r="J670" s="41" t="s">
        <v>79</v>
      </c>
      <c r="K670" s="41" t="s">
        <v>79</v>
      </c>
      <c r="L670" s="41" t="s">
        <v>79</v>
      </c>
      <c r="M670" s="57">
        <f t="shared" si="10"/>
        <v>0</v>
      </c>
    </row>
    <row r="671" spans="1:13" ht="15">
      <c r="A671" t="s">
        <v>222</v>
      </c>
      <c r="B671" t="s">
        <v>174</v>
      </c>
      <c r="C671" t="s">
        <v>175</v>
      </c>
      <c r="D671" t="s">
        <v>78</v>
      </c>
      <c r="E671" t="s">
        <v>72</v>
      </c>
      <c r="F671" s="41" t="s">
        <v>79</v>
      </c>
      <c r="G671" s="41" t="s">
        <v>79</v>
      </c>
      <c r="H671" s="41" t="s">
        <v>79</v>
      </c>
      <c r="I671" s="41" t="s">
        <v>79</v>
      </c>
      <c r="J671" s="41" t="s">
        <v>79</v>
      </c>
      <c r="K671" s="41" t="s">
        <v>79</v>
      </c>
      <c r="L671" s="41" t="s">
        <v>79</v>
      </c>
      <c r="M671" s="57">
        <f t="shared" si="10"/>
        <v>0</v>
      </c>
    </row>
    <row r="672" spans="1:13" ht="15">
      <c r="A672" t="s">
        <v>222</v>
      </c>
      <c r="B672" t="s">
        <v>176</v>
      </c>
      <c r="C672" t="s">
        <v>177</v>
      </c>
      <c r="D672" t="s">
        <v>78</v>
      </c>
      <c r="E672" t="s">
        <v>72</v>
      </c>
      <c r="F672" s="41" t="s">
        <v>79</v>
      </c>
      <c r="G672" s="41" t="s">
        <v>79</v>
      </c>
      <c r="H672" s="41" t="s">
        <v>79</v>
      </c>
      <c r="I672" s="41" t="s">
        <v>79</v>
      </c>
      <c r="J672" s="41" t="s">
        <v>79</v>
      </c>
      <c r="K672" s="41" t="s">
        <v>79</v>
      </c>
      <c r="L672" s="41" t="s">
        <v>79</v>
      </c>
      <c r="M672" s="57">
        <f t="shared" si="10"/>
        <v>0</v>
      </c>
    </row>
    <row r="673" spans="1:13" ht="15">
      <c r="A673" t="s">
        <v>222</v>
      </c>
      <c r="B673" t="s">
        <v>178</v>
      </c>
      <c r="C673" t="s">
        <v>179</v>
      </c>
      <c r="D673" t="s">
        <v>78</v>
      </c>
      <c r="E673" t="s">
        <v>72</v>
      </c>
      <c r="F673" s="41" t="s">
        <v>79</v>
      </c>
      <c r="G673" s="41" t="s">
        <v>79</v>
      </c>
      <c r="H673" s="41" t="s">
        <v>79</v>
      </c>
      <c r="I673" s="41" t="s">
        <v>79</v>
      </c>
      <c r="J673" s="41" t="s">
        <v>79</v>
      </c>
      <c r="K673" s="41" t="s">
        <v>79</v>
      </c>
      <c r="L673" s="41" t="s">
        <v>79</v>
      </c>
      <c r="M673" s="57">
        <f t="shared" si="10"/>
        <v>0</v>
      </c>
    </row>
    <row r="674" spans="1:13" ht="15">
      <c r="A674" t="s">
        <v>222</v>
      </c>
      <c r="B674" t="s">
        <v>180</v>
      </c>
      <c r="C674" t="s">
        <v>181</v>
      </c>
      <c r="D674" t="s">
        <v>78</v>
      </c>
      <c r="E674" t="s">
        <v>72</v>
      </c>
      <c r="F674" s="41" t="s">
        <v>79</v>
      </c>
      <c r="G674" s="41" t="s">
        <v>79</v>
      </c>
      <c r="H674" s="41" t="s">
        <v>79</v>
      </c>
      <c r="I674" s="41" t="s">
        <v>79</v>
      </c>
      <c r="J674" s="41" t="s">
        <v>79</v>
      </c>
      <c r="K674" s="41" t="s">
        <v>79</v>
      </c>
      <c r="L674" s="41" t="s">
        <v>79</v>
      </c>
      <c r="M674" s="57">
        <f t="shared" si="10"/>
        <v>0</v>
      </c>
    </row>
    <row r="675" spans="1:13" ht="15">
      <c r="A675" t="s">
        <v>222</v>
      </c>
      <c r="B675" t="s">
        <v>182</v>
      </c>
      <c r="C675" t="s">
        <v>183</v>
      </c>
      <c r="D675" t="s">
        <v>78</v>
      </c>
      <c r="E675" t="s">
        <v>72</v>
      </c>
      <c r="F675" s="41" t="s">
        <v>79</v>
      </c>
      <c r="G675" s="41" t="s">
        <v>79</v>
      </c>
      <c r="H675" s="41" t="s">
        <v>79</v>
      </c>
      <c r="I675" s="41" t="s">
        <v>79</v>
      </c>
      <c r="J675" s="41" t="s">
        <v>79</v>
      </c>
      <c r="K675" s="41" t="s">
        <v>79</v>
      </c>
      <c r="L675" s="41" t="s">
        <v>79</v>
      </c>
      <c r="M675" s="57">
        <f t="shared" si="10"/>
        <v>0</v>
      </c>
    </row>
    <row r="676" spans="1:13" ht="15">
      <c r="A676" t="s">
        <v>222</v>
      </c>
      <c r="B676" t="s">
        <v>184</v>
      </c>
      <c r="C676" t="s">
        <v>185</v>
      </c>
      <c r="D676" t="s">
        <v>78</v>
      </c>
      <c r="E676" t="s">
        <v>72</v>
      </c>
      <c r="F676" s="41" t="s">
        <v>79</v>
      </c>
      <c r="G676" s="41" t="s">
        <v>79</v>
      </c>
      <c r="H676" s="41" t="s">
        <v>79</v>
      </c>
      <c r="I676" s="41" t="s">
        <v>79</v>
      </c>
      <c r="J676" s="41" t="s">
        <v>79</v>
      </c>
      <c r="K676" s="41" t="s">
        <v>79</v>
      </c>
      <c r="L676" s="41" t="s">
        <v>79</v>
      </c>
      <c r="M676" s="57">
        <f t="shared" si="10"/>
        <v>0</v>
      </c>
    </row>
    <row r="677" spans="1:13" ht="15">
      <c r="A677" t="s">
        <v>222</v>
      </c>
      <c r="B677" t="s">
        <v>186</v>
      </c>
      <c r="C677" t="s">
        <v>187</v>
      </c>
      <c r="D677" t="s">
        <v>78</v>
      </c>
      <c r="E677" t="s">
        <v>72</v>
      </c>
      <c r="F677" s="41" t="s">
        <v>79</v>
      </c>
      <c r="G677" s="41" t="s">
        <v>79</v>
      </c>
      <c r="H677" s="41" t="s">
        <v>79</v>
      </c>
      <c r="I677" s="41" t="s">
        <v>79</v>
      </c>
      <c r="J677" s="41" t="s">
        <v>79</v>
      </c>
      <c r="K677" s="41" t="s">
        <v>79</v>
      </c>
      <c r="L677" s="41" t="s">
        <v>79</v>
      </c>
      <c r="M677" s="57">
        <f t="shared" si="10"/>
        <v>0</v>
      </c>
    </row>
    <row r="678" spans="1:13" ht="15">
      <c r="A678" t="s">
        <v>222</v>
      </c>
      <c r="B678" t="s">
        <v>188</v>
      </c>
      <c r="C678" t="s">
        <v>189</v>
      </c>
      <c r="D678" t="s">
        <v>78</v>
      </c>
      <c r="E678" t="s">
        <v>72</v>
      </c>
      <c r="F678" s="41" t="s">
        <v>79</v>
      </c>
      <c r="G678" s="41" t="s">
        <v>79</v>
      </c>
      <c r="H678" s="41" t="s">
        <v>79</v>
      </c>
      <c r="I678" s="41" t="s">
        <v>79</v>
      </c>
      <c r="J678" s="41" t="s">
        <v>79</v>
      </c>
      <c r="K678" s="41" t="s">
        <v>79</v>
      </c>
      <c r="L678" s="41" t="s">
        <v>79</v>
      </c>
      <c r="M678" s="57">
        <f t="shared" si="10"/>
        <v>0</v>
      </c>
    </row>
    <row r="679" spans="1:13" ht="15">
      <c r="A679" t="s">
        <v>222</v>
      </c>
      <c r="B679" t="s">
        <v>190</v>
      </c>
      <c r="C679" t="s">
        <v>191</v>
      </c>
      <c r="D679" t="s">
        <v>78</v>
      </c>
      <c r="E679" t="s">
        <v>72</v>
      </c>
      <c r="F679" s="41" t="s">
        <v>79</v>
      </c>
      <c r="G679" s="41" t="s">
        <v>79</v>
      </c>
      <c r="H679" s="41" t="s">
        <v>79</v>
      </c>
      <c r="I679" s="41" t="s">
        <v>79</v>
      </c>
      <c r="J679" s="41" t="s">
        <v>79</v>
      </c>
      <c r="K679" s="41" t="s">
        <v>79</v>
      </c>
      <c r="L679" s="41" t="s">
        <v>79</v>
      </c>
      <c r="M679" s="57">
        <f t="shared" si="10"/>
        <v>0</v>
      </c>
    </row>
    <row r="680" spans="1:13" ht="15">
      <c r="A680" t="s">
        <v>222</v>
      </c>
      <c r="B680" t="s">
        <v>192</v>
      </c>
      <c r="C680" t="s">
        <v>193</v>
      </c>
      <c r="D680" t="s">
        <v>78</v>
      </c>
      <c r="E680" t="s">
        <v>72</v>
      </c>
      <c r="F680" s="41" t="s">
        <v>79</v>
      </c>
      <c r="G680" s="41" t="s">
        <v>79</v>
      </c>
      <c r="H680" s="41" t="s">
        <v>79</v>
      </c>
      <c r="I680" s="41" t="s">
        <v>79</v>
      </c>
      <c r="J680" s="41" t="s">
        <v>79</v>
      </c>
      <c r="K680" s="41" t="s">
        <v>79</v>
      </c>
      <c r="L680" s="41" t="s">
        <v>79</v>
      </c>
      <c r="M680" s="57">
        <f t="shared" si="10"/>
        <v>0</v>
      </c>
    </row>
    <row r="681" spans="1:13" ht="15">
      <c r="A681" t="s">
        <v>222</v>
      </c>
      <c r="B681" t="s">
        <v>194</v>
      </c>
      <c r="C681" t="s">
        <v>195</v>
      </c>
      <c r="D681" t="s">
        <v>78</v>
      </c>
      <c r="E681" t="s">
        <v>72</v>
      </c>
      <c r="F681" s="41" t="s">
        <v>79</v>
      </c>
      <c r="G681" s="41" t="s">
        <v>79</v>
      </c>
      <c r="H681" s="41" t="s">
        <v>79</v>
      </c>
      <c r="I681" s="41" t="s">
        <v>79</v>
      </c>
      <c r="J681" s="41" t="s">
        <v>79</v>
      </c>
      <c r="K681" s="41" t="s">
        <v>79</v>
      </c>
      <c r="L681" s="41" t="s">
        <v>79</v>
      </c>
      <c r="M681" s="57">
        <f t="shared" si="10"/>
        <v>0</v>
      </c>
    </row>
    <row r="682" spans="1:13" ht="15">
      <c r="A682" t="s">
        <v>222</v>
      </c>
      <c r="B682" t="s">
        <v>196</v>
      </c>
      <c r="C682" t="s">
        <v>197</v>
      </c>
      <c r="D682" t="s">
        <v>78</v>
      </c>
      <c r="E682" t="s">
        <v>72</v>
      </c>
      <c r="F682" s="41" t="s">
        <v>79</v>
      </c>
      <c r="G682" s="41" t="s">
        <v>79</v>
      </c>
      <c r="H682" s="41" t="s">
        <v>79</v>
      </c>
      <c r="I682" s="41" t="s">
        <v>79</v>
      </c>
      <c r="J682" s="41" t="s">
        <v>79</v>
      </c>
      <c r="K682" s="41" t="s">
        <v>79</v>
      </c>
      <c r="L682" s="41" t="s">
        <v>79</v>
      </c>
      <c r="M682" s="57">
        <f t="shared" si="10"/>
        <v>0</v>
      </c>
    </row>
    <row r="683" spans="1:13" ht="15">
      <c r="A683" t="s">
        <v>222</v>
      </c>
      <c r="B683" t="s">
        <v>198</v>
      </c>
      <c r="C683" t="s">
        <v>199</v>
      </c>
      <c r="D683" t="s">
        <v>78</v>
      </c>
      <c r="E683" t="s">
        <v>72</v>
      </c>
      <c r="F683" s="41" t="s">
        <v>79</v>
      </c>
      <c r="G683" s="41" t="s">
        <v>79</v>
      </c>
      <c r="H683" s="41" t="s">
        <v>79</v>
      </c>
      <c r="I683" s="41" t="s">
        <v>79</v>
      </c>
      <c r="J683" s="41" t="s">
        <v>79</v>
      </c>
      <c r="K683" s="41" t="s">
        <v>79</v>
      </c>
      <c r="L683" s="41" t="s">
        <v>79</v>
      </c>
      <c r="M683" s="57">
        <f t="shared" si="10"/>
        <v>0</v>
      </c>
    </row>
    <row r="684" spans="1:13" ht="15">
      <c r="A684" t="s">
        <v>222</v>
      </c>
      <c r="B684" t="s">
        <v>200</v>
      </c>
      <c r="C684" t="s">
        <v>201</v>
      </c>
      <c r="D684" t="s">
        <v>78</v>
      </c>
      <c r="E684" t="s">
        <v>72</v>
      </c>
      <c r="F684" s="41" t="s">
        <v>79</v>
      </c>
      <c r="G684" s="41" t="s">
        <v>79</v>
      </c>
      <c r="H684" s="41" t="s">
        <v>79</v>
      </c>
      <c r="I684" s="41" t="s">
        <v>79</v>
      </c>
      <c r="J684" s="41" t="s">
        <v>79</v>
      </c>
      <c r="K684" s="41" t="s">
        <v>79</v>
      </c>
      <c r="L684" s="41" t="s">
        <v>79</v>
      </c>
      <c r="M684" s="57">
        <f t="shared" si="10"/>
        <v>0</v>
      </c>
    </row>
    <row r="685" spans="1:13" ht="15">
      <c r="A685" t="s">
        <v>222</v>
      </c>
      <c r="B685" t="s">
        <v>202</v>
      </c>
      <c r="C685" t="s">
        <v>203</v>
      </c>
      <c r="D685" t="s">
        <v>78</v>
      </c>
      <c r="E685" t="s">
        <v>72</v>
      </c>
      <c r="F685" s="41" t="s">
        <v>79</v>
      </c>
      <c r="G685" s="41" t="s">
        <v>79</v>
      </c>
      <c r="H685" s="41" t="s">
        <v>79</v>
      </c>
      <c r="I685" s="41" t="s">
        <v>79</v>
      </c>
      <c r="J685" s="41" t="s">
        <v>79</v>
      </c>
      <c r="K685" s="41" t="s">
        <v>79</v>
      </c>
      <c r="L685" s="41" t="s">
        <v>79</v>
      </c>
      <c r="M685" s="57">
        <f t="shared" si="10"/>
        <v>0</v>
      </c>
    </row>
    <row r="686" spans="1:13" ht="15">
      <c r="A686" t="s">
        <v>222</v>
      </c>
      <c r="B686" t="s">
        <v>204</v>
      </c>
      <c r="C686" t="s">
        <v>205</v>
      </c>
      <c r="D686" t="s">
        <v>78</v>
      </c>
      <c r="E686" t="s">
        <v>72</v>
      </c>
      <c r="F686" s="41" t="s">
        <v>79</v>
      </c>
      <c r="G686" s="41" t="s">
        <v>79</v>
      </c>
      <c r="H686" s="41" t="s">
        <v>79</v>
      </c>
      <c r="I686" s="41" t="s">
        <v>79</v>
      </c>
      <c r="J686" s="41" t="s">
        <v>79</v>
      </c>
      <c r="K686" s="41" t="s">
        <v>79</v>
      </c>
      <c r="L686" s="41" t="s">
        <v>79</v>
      </c>
      <c r="M686" s="57">
        <f t="shared" si="10"/>
        <v>0</v>
      </c>
    </row>
    <row r="687" spans="1:13" ht="15">
      <c r="A687" t="s">
        <v>222</v>
      </c>
      <c r="B687" t="s">
        <v>206</v>
      </c>
      <c r="C687" t="s">
        <v>207</v>
      </c>
      <c r="D687" t="s">
        <v>78</v>
      </c>
      <c r="E687" t="s">
        <v>72</v>
      </c>
      <c r="F687" s="41" t="s">
        <v>79</v>
      </c>
      <c r="G687" s="41" t="s">
        <v>79</v>
      </c>
      <c r="H687" s="41" t="s">
        <v>79</v>
      </c>
      <c r="I687" s="41" t="s">
        <v>79</v>
      </c>
      <c r="J687" s="41" t="s">
        <v>79</v>
      </c>
      <c r="K687" s="41" t="s">
        <v>79</v>
      </c>
      <c r="L687" s="41" t="s">
        <v>79</v>
      </c>
      <c r="M687" s="57">
        <f t="shared" si="10"/>
        <v>0</v>
      </c>
    </row>
    <row r="688" spans="1:13" ht="15">
      <c r="A688" t="s">
        <v>222</v>
      </c>
      <c r="B688" t="s">
        <v>208</v>
      </c>
      <c r="C688" t="s">
        <v>209</v>
      </c>
      <c r="D688" t="s">
        <v>78</v>
      </c>
      <c r="E688" t="s">
        <v>72</v>
      </c>
      <c r="F688" s="41" t="s">
        <v>79</v>
      </c>
      <c r="G688" s="41" t="s">
        <v>79</v>
      </c>
      <c r="H688" s="41" t="s">
        <v>79</v>
      </c>
      <c r="I688" s="41" t="s">
        <v>79</v>
      </c>
      <c r="J688" s="41" t="s">
        <v>79</v>
      </c>
      <c r="K688" s="41" t="s">
        <v>79</v>
      </c>
      <c r="L688" s="41" t="s">
        <v>79</v>
      </c>
      <c r="M688" s="57">
        <f t="shared" si="10"/>
        <v>0</v>
      </c>
    </row>
    <row r="689" spans="1:13" ht="15">
      <c r="A689" t="s">
        <v>222</v>
      </c>
      <c r="B689" t="s">
        <v>210</v>
      </c>
      <c r="C689" t="s">
        <v>211</v>
      </c>
      <c r="D689" t="s">
        <v>78</v>
      </c>
      <c r="E689" t="s">
        <v>72</v>
      </c>
      <c r="F689" s="41" t="s">
        <v>79</v>
      </c>
      <c r="G689" s="41" t="s">
        <v>79</v>
      </c>
      <c r="H689" s="41" t="s">
        <v>79</v>
      </c>
      <c r="I689" s="41" t="s">
        <v>79</v>
      </c>
      <c r="J689" s="41" t="s">
        <v>79</v>
      </c>
      <c r="K689" s="41" t="s">
        <v>79</v>
      </c>
      <c r="L689" s="41" t="s">
        <v>79</v>
      </c>
      <c r="M689" s="57">
        <f t="shared" si="10"/>
        <v>0</v>
      </c>
    </row>
    <row r="690" spans="1:13" ht="15">
      <c r="A690" t="s">
        <v>222</v>
      </c>
      <c r="B690" t="s">
        <v>212</v>
      </c>
      <c r="C690" t="s">
        <v>213</v>
      </c>
      <c r="D690" t="s">
        <v>78</v>
      </c>
      <c r="E690" t="s">
        <v>72</v>
      </c>
      <c r="F690" s="41" t="s">
        <v>79</v>
      </c>
      <c r="G690" s="41" t="s">
        <v>79</v>
      </c>
      <c r="H690" s="41" t="s">
        <v>79</v>
      </c>
      <c r="I690" s="41" t="s">
        <v>79</v>
      </c>
      <c r="J690" s="41" t="s">
        <v>79</v>
      </c>
      <c r="K690" s="41" t="s">
        <v>79</v>
      </c>
      <c r="L690" s="41" t="s">
        <v>79</v>
      </c>
      <c r="M690" s="57">
        <f t="shared" si="10"/>
        <v>0</v>
      </c>
    </row>
    <row r="691" spans="1:13" ht="15">
      <c r="A691" t="s">
        <v>222</v>
      </c>
      <c r="B691" t="s">
        <v>214</v>
      </c>
      <c r="C691" t="s">
        <v>215</v>
      </c>
      <c r="D691" t="s">
        <v>78</v>
      </c>
      <c r="E691" t="s">
        <v>72</v>
      </c>
      <c r="F691" s="41" t="s">
        <v>79</v>
      </c>
      <c r="G691" s="41" t="s">
        <v>79</v>
      </c>
      <c r="H691" s="41" t="s">
        <v>79</v>
      </c>
      <c r="I691" s="41" t="s">
        <v>79</v>
      </c>
      <c r="J691" s="41" t="s">
        <v>79</v>
      </c>
      <c r="K691" s="41" t="s">
        <v>79</v>
      </c>
      <c r="L691" s="41" t="s">
        <v>79</v>
      </c>
      <c r="M691" s="57">
        <f t="shared" si="10"/>
        <v>0</v>
      </c>
    </row>
    <row r="692" spans="1:13" ht="15">
      <c r="A692" t="s">
        <v>222</v>
      </c>
      <c r="B692" t="s">
        <v>216</v>
      </c>
      <c r="C692" t="s">
        <v>217</v>
      </c>
      <c r="D692" t="s">
        <v>78</v>
      </c>
      <c r="E692" t="s">
        <v>72</v>
      </c>
      <c r="F692" s="41" t="s">
        <v>79</v>
      </c>
      <c r="G692" s="41" t="s">
        <v>79</v>
      </c>
      <c r="H692" s="41" t="s">
        <v>79</v>
      </c>
      <c r="I692" s="41" t="s">
        <v>79</v>
      </c>
      <c r="J692" s="41" t="s">
        <v>79</v>
      </c>
      <c r="K692" s="41" t="s">
        <v>79</v>
      </c>
      <c r="L692" s="41" t="s">
        <v>79</v>
      </c>
      <c r="M692" s="57">
        <f t="shared" si="10"/>
        <v>0</v>
      </c>
    </row>
    <row r="693" spans="1:13" ht="15">
      <c r="A693" t="s">
        <v>223</v>
      </c>
      <c r="B693" t="s">
        <v>132</v>
      </c>
      <c r="C693" t="s">
        <v>133</v>
      </c>
      <c r="D693" t="s">
        <v>78</v>
      </c>
      <c r="E693" t="s">
        <v>72</v>
      </c>
      <c r="F693" s="41" t="s">
        <v>79</v>
      </c>
      <c r="G693" s="41" t="s">
        <v>79</v>
      </c>
      <c r="H693" s="41" t="s">
        <v>79</v>
      </c>
      <c r="I693" s="41" t="s">
        <v>79</v>
      </c>
      <c r="J693" s="41" t="s">
        <v>79</v>
      </c>
      <c r="K693" s="41" t="s">
        <v>79</v>
      </c>
      <c r="L693" s="41" t="s">
        <v>79</v>
      </c>
      <c r="M693" s="57">
        <f t="shared" si="10"/>
        <v>0</v>
      </c>
    </row>
    <row r="694" spans="1:13" ht="15">
      <c r="A694" t="s">
        <v>223</v>
      </c>
      <c r="B694" t="s">
        <v>134</v>
      </c>
      <c r="C694" t="s">
        <v>135</v>
      </c>
      <c r="D694" t="s">
        <v>78</v>
      </c>
      <c r="E694" t="s">
        <v>72</v>
      </c>
      <c r="F694" s="41" t="s">
        <v>79</v>
      </c>
      <c r="G694" s="41" t="s">
        <v>79</v>
      </c>
      <c r="H694" s="41" t="s">
        <v>79</v>
      </c>
      <c r="I694" s="41" t="s">
        <v>79</v>
      </c>
      <c r="J694" s="41" t="s">
        <v>79</v>
      </c>
      <c r="K694" s="41" t="s">
        <v>79</v>
      </c>
      <c r="L694" s="41" t="s">
        <v>79</v>
      </c>
      <c r="M694" s="57">
        <f t="shared" si="10"/>
        <v>0</v>
      </c>
    </row>
    <row r="695" spans="1:13" ht="15">
      <c r="A695" t="s">
        <v>223</v>
      </c>
      <c r="B695" t="s">
        <v>136</v>
      </c>
      <c r="C695" t="s">
        <v>137</v>
      </c>
      <c r="D695" t="s">
        <v>78</v>
      </c>
      <c r="E695" t="s">
        <v>72</v>
      </c>
      <c r="F695" s="41" t="s">
        <v>79</v>
      </c>
      <c r="G695" s="41" t="s">
        <v>79</v>
      </c>
      <c r="H695" s="41" t="s">
        <v>79</v>
      </c>
      <c r="I695" s="41" t="s">
        <v>79</v>
      </c>
      <c r="J695" s="41" t="s">
        <v>79</v>
      </c>
      <c r="K695" s="41" t="s">
        <v>79</v>
      </c>
      <c r="L695" s="41" t="s">
        <v>79</v>
      </c>
      <c r="M695" s="57">
        <f t="shared" si="10"/>
        <v>0</v>
      </c>
    </row>
    <row r="696" spans="1:13" ht="15">
      <c r="A696" t="s">
        <v>223</v>
      </c>
      <c r="B696" t="s">
        <v>138</v>
      </c>
      <c r="C696" t="s">
        <v>139</v>
      </c>
      <c r="D696" t="s">
        <v>78</v>
      </c>
      <c r="E696" t="s">
        <v>72</v>
      </c>
      <c r="F696" s="41" t="s">
        <v>79</v>
      </c>
      <c r="G696" s="41" t="s">
        <v>79</v>
      </c>
      <c r="H696" s="41" t="s">
        <v>79</v>
      </c>
      <c r="I696" s="41" t="s">
        <v>79</v>
      </c>
      <c r="J696" s="41" t="s">
        <v>79</v>
      </c>
      <c r="K696" s="41" t="s">
        <v>79</v>
      </c>
      <c r="L696" s="41" t="s">
        <v>79</v>
      </c>
      <c r="M696" s="57">
        <f t="shared" si="10"/>
        <v>0</v>
      </c>
    </row>
    <row r="697" spans="1:13" ht="15">
      <c r="A697" t="s">
        <v>223</v>
      </c>
      <c r="B697" t="s">
        <v>140</v>
      </c>
      <c r="C697" t="s">
        <v>141</v>
      </c>
      <c r="D697" t="s">
        <v>78</v>
      </c>
      <c r="E697" t="s">
        <v>72</v>
      </c>
      <c r="F697" s="41" t="s">
        <v>79</v>
      </c>
      <c r="G697" s="41" t="s">
        <v>79</v>
      </c>
      <c r="H697" s="41" t="s">
        <v>79</v>
      </c>
      <c r="I697" s="41" t="s">
        <v>79</v>
      </c>
      <c r="J697" s="41" t="s">
        <v>79</v>
      </c>
      <c r="K697" s="41" t="s">
        <v>79</v>
      </c>
      <c r="L697" s="41" t="s">
        <v>79</v>
      </c>
      <c r="M697" s="57">
        <f t="shared" si="10"/>
        <v>0</v>
      </c>
    </row>
    <row r="698" spans="1:13" ht="15">
      <c r="A698" t="s">
        <v>223</v>
      </c>
      <c r="B698" t="s">
        <v>142</v>
      </c>
      <c r="C698" t="s">
        <v>143</v>
      </c>
      <c r="D698" t="s">
        <v>78</v>
      </c>
      <c r="E698" t="s">
        <v>72</v>
      </c>
      <c r="F698" s="41" t="s">
        <v>79</v>
      </c>
      <c r="G698" s="41" t="s">
        <v>79</v>
      </c>
      <c r="H698" s="41" t="s">
        <v>79</v>
      </c>
      <c r="I698" s="41" t="s">
        <v>79</v>
      </c>
      <c r="J698" s="41" t="s">
        <v>79</v>
      </c>
      <c r="K698" s="41" t="s">
        <v>79</v>
      </c>
      <c r="L698" s="41" t="s">
        <v>79</v>
      </c>
      <c r="M698" s="57">
        <f t="shared" si="10"/>
        <v>0</v>
      </c>
    </row>
    <row r="699" spans="1:13" ht="15">
      <c r="A699" t="s">
        <v>223</v>
      </c>
      <c r="B699" t="s">
        <v>144</v>
      </c>
      <c r="C699" t="s">
        <v>145</v>
      </c>
      <c r="D699" t="s">
        <v>78</v>
      </c>
      <c r="E699" t="s">
        <v>72</v>
      </c>
      <c r="F699" s="41" t="s">
        <v>79</v>
      </c>
      <c r="G699" s="41" t="s">
        <v>79</v>
      </c>
      <c r="H699" s="41" t="s">
        <v>79</v>
      </c>
      <c r="I699" s="41" t="s">
        <v>79</v>
      </c>
      <c r="J699" s="41" t="s">
        <v>79</v>
      </c>
      <c r="K699" s="41" t="s">
        <v>79</v>
      </c>
      <c r="L699" s="41" t="s">
        <v>79</v>
      </c>
      <c r="M699" s="57">
        <f t="shared" si="10"/>
        <v>0</v>
      </c>
    </row>
    <row r="700" spans="1:13" ht="15">
      <c r="A700" t="s">
        <v>223</v>
      </c>
      <c r="B700" t="s">
        <v>146</v>
      </c>
      <c r="C700" t="s">
        <v>147</v>
      </c>
      <c r="D700" t="s">
        <v>78</v>
      </c>
      <c r="E700" t="s">
        <v>72</v>
      </c>
      <c r="F700" s="41" t="s">
        <v>79</v>
      </c>
      <c r="G700" s="41" t="s">
        <v>79</v>
      </c>
      <c r="H700" s="41" t="s">
        <v>79</v>
      </c>
      <c r="I700" s="41" t="s">
        <v>79</v>
      </c>
      <c r="J700" s="41" t="s">
        <v>79</v>
      </c>
      <c r="K700" s="41" t="s">
        <v>79</v>
      </c>
      <c r="L700" s="41" t="s">
        <v>79</v>
      </c>
      <c r="M700" s="57">
        <f t="shared" si="10"/>
        <v>0</v>
      </c>
    </row>
    <row r="701" spans="1:13" ht="15">
      <c r="A701" t="s">
        <v>223</v>
      </c>
      <c r="B701" t="s">
        <v>148</v>
      </c>
      <c r="C701" t="s">
        <v>149</v>
      </c>
      <c r="D701" t="s">
        <v>78</v>
      </c>
      <c r="E701" t="s">
        <v>72</v>
      </c>
      <c r="F701" s="41" t="s">
        <v>79</v>
      </c>
      <c r="G701" s="41" t="s">
        <v>79</v>
      </c>
      <c r="H701" s="41" t="s">
        <v>79</v>
      </c>
      <c r="I701" s="41" t="s">
        <v>79</v>
      </c>
      <c r="J701" s="41" t="s">
        <v>79</v>
      </c>
      <c r="K701" s="41" t="s">
        <v>79</v>
      </c>
      <c r="L701" s="41" t="s">
        <v>79</v>
      </c>
      <c r="M701" s="57">
        <f t="shared" si="10"/>
        <v>0</v>
      </c>
    </row>
    <row r="702" spans="1:13" ht="15">
      <c r="A702" t="s">
        <v>223</v>
      </c>
      <c r="B702" t="s">
        <v>150</v>
      </c>
      <c r="C702" t="s">
        <v>151</v>
      </c>
      <c r="D702" t="s">
        <v>78</v>
      </c>
      <c r="E702" t="s">
        <v>72</v>
      </c>
      <c r="F702" s="41" t="s">
        <v>79</v>
      </c>
      <c r="G702" s="41" t="s">
        <v>79</v>
      </c>
      <c r="H702" s="41" t="s">
        <v>79</v>
      </c>
      <c r="I702" s="41" t="s">
        <v>79</v>
      </c>
      <c r="J702" s="41" t="s">
        <v>79</v>
      </c>
      <c r="K702" s="41" t="s">
        <v>79</v>
      </c>
      <c r="L702" s="41" t="s">
        <v>79</v>
      </c>
      <c r="M702" s="57">
        <f t="shared" si="10"/>
        <v>0</v>
      </c>
    </row>
    <row r="703" spans="1:13" ht="15">
      <c r="A703" t="s">
        <v>223</v>
      </c>
      <c r="B703" t="s">
        <v>152</v>
      </c>
      <c r="C703" t="s">
        <v>153</v>
      </c>
      <c r="D703" t="s">
        <v>78</v>
      </c>
      <c r="E703" t="s">
        <v>72</v>
      </c>
      <c r="F703" s="41" t="s">
        <v>79</v>
      </c>
      <c r="G703" s="41" t="s">
        <v>79</v>
      </c>
      <c r="H703" s="41" t="s">
        <v>79</v>
      </c>
      <c r="I703" s="41" t="s">
        <v>79</v>
      </c>
      <c r="J703" s="41" t="s">
        <v>79</v>
      </c>
      <c r="K703" s="41" t="s">
        <v>79</v>
      </c>
      <c r="L703" s="41" t="s">
        <v>79</v>
      </c>
      <c r="M703" s="57">
        <f t="shared" si="10"/>
        <v>0</v>
      </c>
    </row>
    <row r="704" spans="1:13" ht="15">
      <c r="A704" t="s">
        <v>223</v>
      </c>
      <c r="B704" t="s">
        <v>154</v>
      </c>
      <c r="C704" t="s">
        <v>155</v>
      </c>
      <c r="D704" t="s">
        <v>78</v>
      </c>
      <c r="E704" t="s">
        <v>72</v>
      </c>
      <c r="F704" s="41" t="s">
        <v>79</v>
      </c>
      <c r="G704" s="41" t="s">
        <v>79</v>
      </c>
      <c r="H704" s="41" t="s">
        <v>79</v>
      </c>
      <c r="I704" s="41" t="s">
        <v>79</v>
      </c>
      <c r="J704" s="41" t="s">
        <v>79</v>
      </c>
      <c r="K704" s="41" t="s">
        <v>79</v>
      </c>
      <c r="L704" s="41" t="s">
        <v>79</v>
      </c>
      <c r="M704" s="57">
        <f t="shared" si="10"/>
        <v>0</v>
      </c>
    </row>
    <row r="705" spans="1:13" ht="15">
      <c r="A705" t="s">
        <v>223</v>
      </c>
      <c r="B705" t="s">
        <v>156</v>
      </c>
      <c r="C705" t="s">
        <v>157</v>
      </c>
      <c r="D705" t="s">
        <v>78</v>
      </c>
      <c r="E705" t="s">
        <v>72</v>
      </c>
      <c r="F705" s="41" t="s">
        <v>79</v>
      </c>
      <c r="G705" s="41" t="s">
        <v>79</v>
      </c>
      <c r="H705" s="41" t="s">
        <v>79</v>
      </c>
      <c r="I705" s="41" t="s">
        <v>79</v>
      </c>
      <c r="J705" s="41" t="s">
        <v>79</v>
      </c>
      <c r="K705" s="41" t="s">
        <v>79</v>
      </c>
      <c r="L705" s="41" t="s">
        <v>79</v>
      </c>
      <c r="M705" s="57">
        <f t="shared" si="10"/>
        <v>0</v>
      </c>
    </row>
    <row r="706" spans="1:13" ht="15">
      <c r="A706" t="s">
        <v>223</v>
      </c>
      <c r="B706" t="s">
        <v>158</v>
      </c>
      <c r="C706" t="s">
        <v>159</v>
      </c>
      <c r="D706" t="s">
        <v>78</v>
      </c>
      <c r="E706" t="s">
        <v>72</v>
      </c>
      <c r="F706" s="41" t="s">
        <v>79</v>
      </c>
      <c r="G706" s="41" t="s">
        <v>79</v>
      </c>
      <c r="H706" s="41" t="s">
        <v>79</v>
      </c>
      <c r="I706" s="41" t="s">
        <v>79</v>
      </c>
      <c r="J706" s="41" t="s">
        <v>79</v>
      </c>
      <c r="K706" s="41" t="s">
        <v>79</v>
      </c>
      <c r="L706" s="41" t="s">
        <v>79</v>
      </c>
      <c r="M706" s="57">
        <f t="shared" si="10"/>
        <v>0</v>
      </c>
    </row>
    <row r="707" spans="1:13" ht="15">
      <c r="A707" t="s">
        <v>223</v>
      </c>
      <c r="B707" t="s">
        <v>160</v>
      </c>
      <c r="C707" t="s">
        <v>161</v>
      </c>
      <c r="D707" t="s">
        <v>78</v>
      </c>
      <c r="E707" t="s">
        <v>72</v>
      </c>
      <c r="F707" s="41" t="s">
        <v>79</v>
      </c>
      <c r="G707" s="41" t="s">
        <v>79</v>
      </c>
      <c r="H707" s="41" t="s">
        <v>79</v>
      </c>
      <c r="I707" s="41" t="s">
        <v>79</v>
      </c>
      <c r="J707" s="41" t="s">
        <v>79</v>
      </c>
      <c r="K707" s="41" t="s">
        <v>79</v>
      </c>
      <c r="L707" s="41" t="s">
        <v>79</v>
      </c>
      <c r="M707" s="57">
        <f t="shared" si="10"/>
        <v>0</v>
      </c>
    </row>
    <row r="708" spans="1:13" ht="15">
      <c r="A708" t="s">
        <v>223</v>
      </c>
      <c r="B708" t="s">
        <v>162</v>
      </c>
      <c r="C708" t="s">
        <v>163</v>
      </c>
      <c r="D708" t="s">
        <v>78</v>
      </c>
      <c r="E708" t="s">
        <v>72</v>
      </c>
      <c r="F708" s="41" t="s">
        <v>79</v>
      </c>
      <c r="G708" s="41" t="s">
        <v>79</v>
      </c>
      <c r="H708" s="41" t="s">
        <v>79</v>
      </c>
      <c r="I708" s="41" t="s">
        <v>79</v>
      </c>
      <c r="J708" s="41" t="s">
        <v>79</v>
      </c>
      <c r="K708" s="41" t="s">
        <v>79</v>
      </c>
      <c r="L708" s="41" t="s">
        <v>79</v>
      </c>
      <c r="M708" s="57">
        <f t="shared" si="10"/>
        <v>0</v>
      </c>
    </row>
    <row r="709" spans="1:13" ht="15">
      <c r="A709" t="s">
        <v>223</v>
      </c>
      <c r="B709" t="s">
        <v>164</v>
      </c>
      <c r="C709" t="s">
        <v>165</v>
      </c>
      <c r="D709" t="s">
        <v>78</v>
      </c>
      <c r="E709" t="s">
        <v>72</v>
      </c>
      <c r="F709" s="41" t="s">
        <v>79</v>
      </c>
      <c r="G709" s="41" t="s">
        <v>79</v>
      </c>
      <c r="H709" s="41" t="s">
        <v>79</v>
      </c>
      <c r="I709" s="41" t="s">
        <v>79</v>
      </c>
      <c r="J709" s="41" t="s">
        <v>79</v>
      </c>
      <c r="K709" s="41" t="s">
        <v>79</v>
      </c>
      <c r="L709" s="41" t="s">
        <v>79</v>
      </c>
      <c r="M709" s="57">
        <f t="shared" si="10"/>
        <v>0</v>
      </c>
    </row>
    <row r="710" spans="1:13" ht="15">
      <c r="A710" t="s">
        <v>223</v>
      </c>
      <c r="B710" t="s">
        <v>166</v>
      </c>
      <c r="C710" t="s">
        <v>167</v>
      </c>
      <c r="D710" t="s">
        <v>78</v>
      </c>
      <c r="E710" t="s">
        <v>72</v>
      </c>
      <c r="F710" s="41" t="s">
        <v>79</v>
      </c>
      <c r="G710" s="41" t="s">
        <v>79</v>
      </c>
      <c r="H710" s="41" t="s">
        <v>79</v>
      </c>
      <c r="I710" s="41" t="s">
        <v>79</v>
      </c>
      <c r="J710" s="41" t="s">
        <v>79</v>
      </c>
      <c r="K710" s="41" t="s">
        <v>79</v>
      </c>
      <c r="L710" s="41" t="s">
        <v>79</v>
      </c>
      <c r="M710" s="57">
        <f t="shared" ref="M710:M735" si="11">SUM(F710:L710)</f>
        <v>0</v>
      </c>
    </row>
    <row r="711" spans="1:13" ht="15">
      <c r="A711" t="s">
        <v>223</v>
      </c>
      <c r="B711" t="s">
        <v>168</v>
      </c>
      <c r="C711" t="s">
        <v>169</v>
      </c>
      <c r="D711" t="s">
        <v>78</v>
      </c>
      <c r="E711" t="s">
        <v>72</v>
      </c>
      <c r="F711" s="41" t="s">
        <v>79</v>
      </c>
      <c r="G711" s="41" t="s">
        <v>79</v>
      </c>
      <c r="H711" s="41" t="s">
        <v>79</v>
      </c>
      <c r="I711" s="41" t="s">
        <v>79</v>
      </c>
      <c r="J711" s="41" t="s">
        <v>79</v>
      </c>
      <c r="K711" s="41" t="s">
        <v>79</v>
      </c>
      <c r="L711" s="41" t="s">
        <v>79</v>
      </c>
      <c r="M711" s="57">
        <f t="shared" si="11"/>
        <v>0</v>
      </c>
    </row>
    <row r="712" spans="1:13" ht="15">
      <c r="A712" t="s">
        <v>223</v>
      </c>
      <c r="B712" t="s">
        <v>170</v>
      </c>
      <c r="C712" t="s">
        <v>171</v>
      </c>
      <c r="D712" t="s">
        <v>78</v>
      </c>
      <c r="E712" t="s">
        <v>72</v>
      </c>
      <c r="F712" s="41" t="s">
        <v>79</v>
      </c>
      <c r="G712" s="41" t="s">
        <v>79</v>
      </c>
      <c r="H712" s="41" t="s">
        <v>79</v>
      </c>
      <c r="I712" s="41" t="s">
        <v>79</v>
      </c>
      <c r="J712" s="41" t="s">
        <v>79</v>
      </c>
      <c r="K712" s="41" t="s">
        <v>79</v>
      </c>
      <c r="L712" s="41" t="s">
        <v>79</v>
      </c>
      <c r="M712" s="57">
        <f t="shared" si="11"/>
        <v>0</v>
      </c>
    </row>
    <row r="713" spans="1:13" ht="15">
      <c r="A713" t="s">
        <v>223</v>
      </c>
      <c r="B713" t="s">
        <v>172</v>
      </c>
      <c r="C713" t="s">
        <v>173</v>
      </c>
      <c r="D713" t="s">
        <v>78</v>
      </c>
      <c r="E713" t="s">
        <v>72</v>
      </c>
      <c r="F713" s="41" t="s">
        <v>79</v>
      </c>
      <c r="G713" s="41" t="s">
        <v>79</v>
      </c>
      <c r="H713" s="41" t="s">
        <v>79</v>
      </c>
      <c r="I713" s="41" t="s">
        <v>79</v>
      </c>
      <c r="J713" s="41" t="s">
        <v>79</v>
      </c>
      <c r="K713" s="41" t="s">
        <v>79</v>
      </c>
      <c r="L713" s="41" t="s">
        <v>79</v>
      </c>
      <c r="M713" s="57">
        <f t="shared" si="11"/>
        <v>0</v>
      </c>
    </row>
    <row r="714" spans="1:13" ht="15">
      <c r="A714" t="s">
        <v>223</v>
      </c>
      <c r="B714" t="s">
        <v>174</v>
      </c>
      <c r="C714" t="s">
        <v>175</v>
      </c>
      <c r="D714" t="s">
        <v>78</v>
      </c>
      <c r="E714" t="s">
        <v>72</v>
      </c>
      <c r="F714" s="41" t="s">
        <v>79</v>
      </c>
      <c r="G714" s="41" t="s">
        <v>79</v>
      </c>
      <c r="H714" s="41" t="s">
        <v>79</v>
      </c>
      <c r="I714" s="41" t="s">
        <v>79</v>
      </c>
      <c r="J714" s="41" t="s">
        <v>79</v>
      </c>
      <c r="K714" s="41" t="s">
        <v>79</v>
      </c>
      <c r="L714" s="41" t="s">
        <v>79</v>
      </c>
      <c r="M714" s="57">
        <f t="shared" si="11"/>
        <v>0</v>
      </c>
    </row>
    <row r="715" spans="1:13" ht="15">
      <c r="A715" t="s">
        <v>223</v>
      </c>
      <c r="B715" t="s">
        <v>176</v>
      </c>
      <c r="C715" t="s">
        <v>177</v>
      </c>
      <c r="D715" t="s">
        <v>78</v>
      </c>
      <c r="E715" t="s">
        <v>72</v>
      </c>
      <c r="F715" s="41" t="s">
        <v>79</v>
      </c>
      <c r="G715" s="41" t="s">
        <v>79</v>
      </c>
      <c r="H715" s="41" t="s">
        <v>79</v>
      </c>
      <c r="I715" s="41" t="s">
        <v>79</v>
      </c>
      <c r="J715" s="41" t="s">
        <v>79</v>
      </c>
      <c r="K715" s="41" t="s">
        <v>79</v>
      </c>
      <c r="L715" s="41" t="s">
        <v>79</v>
      </c>
      <c r="M715" s="57">
        <f t="shared" si="11"/>
        <v>0</v>
      </c>
    </row>
    <row r="716" spans="1:13" ht="15">
      <c r="A716" t="s">
        <v>223</v>
      </c>
      <c r="B716" t="s">
        <v>178</v>
      </c>
      <c r="C716" t="s">
        <v>179</v>
      </c>
      <c r="D716" t="s">
        <v>78</v>
      </c>
      <c r="E716" t="s">
        <v>72</v>
      </c>
      <c r="F716" s="41" t="s">
        <v>79</v>
      </c>
      <c r="G716" s="41" t="s">
        <v>79</v>
      </c>
      <c r="H716" s="41" t="s">
        <v>79</v>
      </c>
      <c r="I716" s="41" t="s">
        <v>79</v>
      </c>
      <c r="J716" s="41" t="s">
        <v>79</v>
      </c>
      <c r="K716" s="41" t="s">
        <v>79</v>
      </c>
      <c r="L716" s="41" t="s">
        <v>79</v>
      </c>
      <c r="M716" s="57">
        <f t="shared" si="11"/>
        <v>0</v>
      </c>
    </row>
    <row r="717" spans="1:13" ht="15">
      <c r="A717" t="s">
        <v>223</v>
      </c>
      <c r="B717" t="s">
        <v>180</v>
      </c>
      <c r="C717" t="s">
        <v>181</v>
      </c>
      <c r="D717" t="s">
        <v>78</v>
      </c>
      <c r="E717" t="s">
        <v>72</v>
      </c>
      <c r="F717" s="41" t="s">
        <v>79</v>
      </c>
      <c r="G717" s="41" t="s">
        <v>79</v>
      </c>
      <c r="H717" s="41" t="s">
        <v>79</v>
      </c>
      <c r="I717" s="41" t="s">
        <v>79</v>
      </c>
      <c r="J717" s="41" t="s">
        <v>79</v>
      </c>
      <c r="K717" s="41" t="s">
        <v>79</v>
      </c>
      <c r="L717" s="41" t="s">
        <v>79</v>
      </c>
      <c r="M717" s="57">
        <f t="shared" si="11"/>
        <v>0</v>
      </c>
    </row>
    <row r="718" spans="1:13" ht="15">
      <c r="A718" t="s">
        <v>223</v>
      </c>
      <c r="B718" t="s">
        <v>182</v>
      </c>
      <c r="C718" t="s">
        <v>183</v>
      </c>
      <c r="D718" t="s">
        <v>78</v>
      </c>
      <c r="E718" t="s">
        <v>72</v>
      </c>
      <c r="F718" s="41" t="s">
        <v>79</v>
      </c>
      <c r="G718" s="41" t="s">
        <v>79</v>
      </c>
      <c r="H718" s="41" t="s">
        <v>79</v>
      </c>
      <c r="I718" s="41" t="s">
        <v>79</v>
      </c>
      <c r="J718" s="41" t="s">
        <v>79</v>
      </c>
      <c r="K718" s="41" t="s">
        <v>79</v>
      </c>
      <c r="L718" s="41" t="s">
        <v>79</v>
      </c>
      <c r="M718" s="57">
        <f t="shared" si="11"/>
        <v>0</v>
      </c>
    </row>
    <row r="719" spans="1:13" ht="15">
      <c r="A719" t="s">
        <v>223</v>
      </c>
      <c r="B719" t="s">
        <v>184</v>
      </c>
      <c r="C719" t="s">
        <v>185</v>
      </c>
      <c r="D719" t="s">
        <v>78</v>
      </c>
      <c r="E719" t="s">
        <v>72</v>
      </c>
      <c r="F719" s="41" t="s">
        <v>79</v>
      </c>
      <c r="G719" s="41" t="s">
        <v>79</v>
      </c>
      <c r="H719" s="41" t="s">
        <v>79</v>
      </c>
      <c r="I719" s="41" t="s">
        <v>79</v>
      </c>
      <c r="J719" s="41" t="s">
        <v>79</v>
      </c>
      <c r="K719" s="41" t="s">
        <v>79</v>
      </c>
      <c r="L719" s="41" t="s">
        <v>79</v>
      </c>
      <c r="M719" s="57">
        <f t="shared" si="11"/>
        <v>0</v>
      </c>
    </row>
    <row r="720" spans="1:13" ht="15">
      <c r="A720" t="s">
        <v>223</v>
      </c>
      <c r="B720" t="s">
        <v>186</v>
      </c>
      <c r="C720" t="s">
        <v>187</v>
      </c>
      <c r="D720" t="s">
        <v>78</v>
      </c>
      <c r="E720" t="s">
        <v>72</v>
      </c>
      <c r="F720" s="41" t="s">
        <v>79</v>
      </c>
      <c r="G720" s="41" t="s">
        <v>79</v>
      </c>
      <c r="H720" s="41" t="s">
        <v>79</v>
      </c>
      <c r="I720" s="41" t="s">
        <v>79</v>
      </c>
      <c r="J720" s="41" t="s">
        <v>79</v>
      </c>
      <c r="K720" s="41" t="s">
        <v>79</v>
      </c>
      <c r="L720" s="41" t="s">
        <v>79</v>
      </c>
      <c r="M720" s="57">
        <f t="shared" si="11"/>
        <v>0</v>
      </c>
    </row>
    <row r="721" spans="1:13" ht="15">
      <c r="A721" t="s">
        <v>223</v>
      </c>
      <c r="B721" t="s">
        <v>188</v>
      </c>
      <c r="C721" t="s">
        <v>189</v>
      </c>
      <c r="D721" t="s">
        <v>78</v>
      </c>
      <c r="E721" t="s">
        <v>72</v>
      </c>
      <c r="F721" s="41" t="s">
        <v>79</v>
      </c>
      <c r="G721" s="41" t="s">
        <v>79</v>
      </c>
      <c r="H721" s="41" t="s">
        <v>79</v>
      </c>
      <c r="I721" s="41" t="s">
        <v>79</v>
      </c>
      <c r="J721" s="41" t="s">
        <v>79</v>
      </c>
      <c r="K721" s="41" t="s">
        <v>79</v>
      </c>
      <c r="L721" s="41" t="s">
        <v>79</v>
      </c>
      <c r="M721" s="57">
        <f t="shared" si="11"/>
        <v>0</v>
      </c>
    </row>
    <row r="722" spans="1:13" ht="15">
      <c r="A722" t="s">
        <v>223</v>
      </c>
      <c r="B722" t="s">
        <v>190</v>
      </c>
      <c r="C722" t="s">
        <v>191</v>
      </c>
      <c r="D722" t="s">
        <v>78</v>
      </c>
      <c r="E722" t="s">
        <v>72</v>
      </c>
      <c r="F722" s="41" t="s">
        <v>79</v>
      </c>
      <c r="G722" s="41" t="s">
        <v>79</v>
      </c>
      <c r="H722" s="41" t="s">
        <v>79</v>
      </c>
      <c r="I722" s="41" t="s">
        <v>79</v>
      </c>
      <c r="J722" s="41" t="s">
        <v>79</v>
      </c>
      <c r="K722" s="41" t="s">
        <v>79</v>
      </c>
      <c r="L722" s="41" t="s">
        <v>79</v>
      </c>
      <c r="M722" s="57">
        <f t="shared" si="11"/>
        <v>0</v>
      </c>
    </row>
    <row r="723" spans="1:13" ht="15">
      <c r="A723" t="s">
        <v>223</v>
      </c>
      <c r="B723" t="s">
        <v>192</v>
      </c>
      <c r="C723" t="s">
        <v>193</v>
      </c>
      <c r="D723" t="s">
        <v>78</v>
      </c>
      <c r="E723" t="s">
        <v>72</v>
      </c>
      <c r="F723" s="41" t="s">
        <v>79</v>
      </c>
      <c r="G723" s="41" t="s">
        <v>79</v>
      </c>
      <c r="H723" s="41" t="s">
        <v>79</v>
      </c>
      <c r="I723" s="41" t="s">
        <v>79</v>
      </c>
      <c r="J723" s="41" t="s">
        <v>79</v>
      </c>
      <c r="K723" s="41" t="s">
        <v>79</v>
      </c>
      <c r="L723" s="41" t="s">
        <v>79</v>
      </c>
      <c r="M723" s="57">
        <f t="shared" si="11"/>
        <v>0</v>
      </c>
    </row>
    <row r="724" spans="1:13" ht="15">
      <c r="A724" t="s">
        <v>223</v>
      </c>
      <c r="B724" t="s">
        <v>194</v>
      </c>
      <c r="C724" t="s">
        <v>195</v>
      </c>
      <c r="D724" t="s">
        <v>78</v>
      </c>
      <c r="E724" t="s">
        <v>72</v>
      </c>
      <c r="F724" s="41" t="s">
        <v>79</v>
      </c>
      <c r="G724" s="41" t="s">
        <v>79</v>
      </c>
      <c r="H724" s="41" t="s">
        <v>79</v>
      </c>
      <c r="I724" s="41" t="s">
        <v>79</v>
      </c>
      <c r="J724" s="41" t="s">
        <v>79</v>
      </c>
      <c r="K724" s="41" t="s">
        <v>79</v>
      </c>
      <c r="L724" s="41" t="s">
        <v>79</v>
      </c>
      <c r="M724" s="57">
        <f t="shared" si="11"/>
        <v>0</v>
      </c>
    </row>
    <row r="725" spans="1:13" ht="15">
      <c r="A725" t="s">
        <v>223</v>
      </c>
      <c r="B725" t="s">
        <v>196</v>
      </c>
      <c r="C725" t="s">
        <v>197</v>
      </c>
      <c r="D725" t="s">
        <v>78</v>
      </c>
      <c r="E725" t="s">
        <v>72</v>
      </c>
      <c r="F725" s="41" t="s">
        <v>79</v>
      </c>
      <c r="G725" s="41" t="s">
        <v>79</v>
      </c>
      <c r="H725" s="41" t="s">
        <v>79</v>
      </c>
      <c r="I725" s="41" t="s">
        <v>79</v>
      </c>
      <c r="J725" s="41" t="s">
        <v>79</v>
      </c>
      <c r="K725" s="41" t="s">
        <v>79</v>
      </c>
      <c r="L725" s="41" t="s">
        <v>79</v>
      </c>
      <c r="M725" s="57">
        <f t="shared" si="11"/>
        <v>0</v>
      </c>
    </row>
    <row r="726" spans="1:13" ht="15">
      <c r="A726" t="s">
        <v>223</v>
      </c>
      <c r="B726" t="s">
        <v>198</v>
      </c>
      <c r="C726" t="s">
        <v>199</v>
      </c>
      <c r="D726" t="s">
        <v>78</v>
      </c>
      <c r="E726" t="s">
        <v>72</v>
      </c>
      <c r="F726" s="41" t="s">
        <v>79</v>
      </c>
      <c r="G726" s="41" t="s">
        <v>79</v>
      </c>
      <c r="H726" s="41" t="s">
        <v>79</v>
      </c>
      <c r="I726" s="41" t="s">
        <v>79</v>
      </c>
      <c r="J726" s="41" t="s">
        <v>79</v>
      </c>
      <c r="K726" s="41" t="s">
        <v>79</v>
      </c>
      <c r="L726" s="41" t="s">
        <v>79</v>
      </c>
      <c r="M726" s="57">
        <f t="shared" si="11"/>
        <v>0</v>
      </c>
    </row>
    <row r="727" spans="1:13" ht="15">
      <c r="A727" t="s">
        <v>223</v>
      </c>
      <c r="B727" t="s">
        <v>200</v>
      </c>
      <c r="C727" t="s">
        <v>201</v>
      </c>
      <c r="D727" t="s">
        <v>78</v>
      </c>
      <c r="E727" t="s">
        <v>72</v>
      </c>
      <c r="F727" s="41" t="s">
        <v>79</v>
      </c>
      <c r="G727" s="41" t="s">
        <v>79</v>
      </c>
      <c r="H727" s="41" t="s">
        <v>79</v>
      </c>
      <c r="I727" s="41" t="s">
        <v>79</v>
      </c>
      <c r="J727" s="41" t="s">
        <v>79</v>
      </c>
      <c r="K727" s="41" t="s">
        <v>79</v>
      </c>
      <c r="L727" s="41" t="s">
        <v>79</v>
      </c>
      <c r="M727" s="57">
        <f t="shared" si="11"/>
        <v>0</v>
      </c>
    </row>
    <row r="728" spans="1:13" ht="15">
      <c r="A728" t="s">
        <v>223</v>
      </c>
      <c r="B728" t="s">
        <v>202</v>
      </c>
      <c r="C728" t="s">
        <v>203</v>
      </c>
      <c r="D728" t="s">
        <v>78</v>
      </c>
      <c r="E728" t="s">
        <v>72</v>
      </c>
      <c r="F728" s="41" t="s">
        <v>79</v>
      </c>
      <c r="G728" s="41" t="s">
        <v>79</v>
      </c>
      <c r="H728" s="41" t="s">
        <v>79</v>
      </c>
      <c r="I728" s="41" t="s">
        <v>79</v>
      </c>
      <c r="J728" s="41" t="s">
        <v>79</v>
      </c>
      <c r="K728" s="41" t="s">
        <v>79</v>
      </c>
      <c r="L728" s="41" t="s">
        <v>79</v>
      </c>
      <c r="M728" s="57">
        <f t="shared" si="11"/>
        <v>0</v>
      </c>
    </row>
    <row r="729" spans="1:13" ht="15">
      <c r="A729" t="s">
        <v>223</v>
      </c>
      <c r="B729" t="s">
        <v>204</v>
      </c>
      <c r="C729" t="s">
        <v>205</v>
      </c>
      <c r="D729" t="s">
        <v>78</v>
      </c>
      <c r="E729" t="s">
        <v>72</v>
      </c>
      <c r="F729" s="41" t="s">
        <v>79</v>
      </c>
      <c r="G729" s="41" t="s">
        <v>79</v>
      </c>
      <c r="H729" s="41" t="s">
        <v>79</v>
      </c>
      <c r="I729" s="41" t="s">
        <v>79</v>
      </c>
      <c r="J729" s="41" t="s">
        <v>79</v>
      </c>
      <c r="K729" s="41" t="s">
        <v>79</v>
      </c>
      <c r="L729" s="41" t="s">
        <v>79</v>
      </c>
      <c r="M729" s="57">
        <f t="shared" si="11"/>
        <v>0</v>
      </c>
    </row>
    <row r="730" spans="1:13" ht="15">
      <c r="A730" t="s">
        <v>223</v>
      </c>
      <c r="B730" t="s">
        <v>206</v>
      </c>
      <c r="C730" t="s">
        <v>207</v>
      </c>
      <c r="D730" t="s">
        <v>78</v>
      </c>
      <c r="E730" t="s">
        <v>72</v>
      </c>
      <c r="F730" s="41" t="s">
        <v>79</v>
      </c>
      <c r="G730" s="41" t="s">
        <v>79</v>
      </c>
      <c r="H730" s="41" t="s">
        <v>79</v>
      </c>
      <c r="I730" s="41" t="s">
        <v>79</v>
      </c>
      <c r="J730" s="41" t="s">
        <v>79</v>
      </c>
      <c r="K730" s="41" t="s">
        <v>79</v>
      </c>
      <c r="L730" s="41" t="s">
        <v>79</v>
      </c>
      <c r="M730" s="57">
        <f t="shared" si="11"/>
        <v>0</v>
      </c>
    </row>
    <row r="731" spans="1:13" ht="15">
      <c r="A731" t="s">
        <v>223</v>
      </c>
      <c r="B731" t="s">
        <v>208</v>
      </c>
      <c r="C731" t="s">
        <v>209</v>
      </c>
      <c r="D731" t="s">
        <v>78</v>
      </c>
      <c r="E731" t="s">
        <v>72</v>
      </c>
      <c r="F731" s="41" t="s">
        <v>79</v>
      </c>
      <c r="G731" s="41" t="s">
        <v>79</v>
      </c>
      <c r="H731" s="41" t="s">
        <v>79</v>
      </c>
      <c r="I731" s="41" t="s">
        <v>79</v>
      </c>
      <c r="J731" s="41" t="s">
        <v>79</v>
      </c>
      <c r="K731" s="41" t="s">
        <v>79</v>
      </c>
      <c r="L731" s="41" t="s">
        <v>79</v>
      </c>
      <c r="M731" s="57">
        <f t="shared" si="11"/>
        <v>0</v>
      </c>
    </row>
    <row r="732" spans="1:13" ht="15">
      <c r="A732" t="s">
        <v>223</v>
      </c>
      <c r="B732" t="s">
        <v>210</v>
      </c>
      <c r="C732" t="s">
        <v>211</v>
      </c>
      <c r="D732" t="s">
        <v>78</v>
      </c>
      <c r="E732" t="s">
        <v>72</v>
      </c>
      <c r="F732" s="41" t="s">
        <v>79</v>
      </c>
      <c r="G732" s="41" t="s">
        <v>79</v>
      </c>
      <c r="H732" s="41" t="s">
        <v>79</v>
      </c>
      <c r="I732" s="41" t="s">
        <v>79</v>
      </c>
      <c r="J732" s="41" t="s">
        <v>79</v>
      </c>
      <c r="K732" s="41" t="s">
        <v>79</v>
      </c>
      <c r="L732" s="41" t="s">
        <v>79</v>
      </c>
      <c r="M732" s="57">
        <f t="shared" si="11"/>
        <v>0</v>
      </c>
    </row>
    <row r="733" spans="1:13" ht="15">
      <c r="A733" t="s">
        <v>223</v>
      </c>
      <c r="B733" t="s">
        <v>212</v>
      </c>
      <c r="C733" t="s">
        <v>213</v>
      </c>
      <c r="D733" t="s">
        <v>78</v>
      </c>
      <c r="E733" t="s">
        <v>72</v>
      </c>
      <c r="F733" s="41" t="s">
        <v>79</v>
      </c>
      <c r="G733" s="41" t="s">
        <v>79</v>
      </c>
      <c r="H733" s="41" t="s">
        <v>79</v>
      </c>
      <c r="I733" s="41" t="s">
        <v>79</v>
      </c>
      <c r="J733" s="41" t="s">
        <v>79</v>
      </c>
      <c r="K733" s="41" t="s">
        <v>79</v>
      </c>
      <c r="L733" s="41" t="s">
        <v>79</v>
      </c>
      <c r="M733" s="57">
        <f t="shared" si="11"/>
        <v>0</v>
      </c>
    </row>
    <row r="734" spans="1:13" ht="15">
      <c r="A734" t="s">
        <v>223</v>
      </c>
      <c r="B734" t="s">
        <v>214</v>
      </c>
      <c r="C734" t="s">
        <v>215</v>
      </c>
      <c r="D734" t="s">
        <v>78</v>
      </c>
      <c r="E734" t="s">
        <v>72</v>
      </c>
      <c r="F734" s="41" t="s">
        <v>79</v>
      </c>
      <c r="G734" s="41" t="s">
        <v>79</v>
      </c>
      <c r="H734" s="41" t="s">
        <v>79</v>
      </c>
      <c r="I734" s="41" t="s">
        <v>79</v>
      </c>
      <c r="J734" s="41" t="s">
        <v>79</v>
      </c>
      <c r="K734" s="41" t="s">
        <v>79</v>
      </c>
      <c r="L734" s="41" t="s">
        <v>79</v>
      </c>
      <c r="M734" s="57">
        <f t="shared" si="11"/>
        <v>0</v>
      </c>
    </row>
    <row r="735" spans="1:13" ht="15">
      <c r="A735" t="s">
        <v>223</v>
      </c>
      <c r="B735" t="s">
        <v>216</v>
      </c>
      <c r="C735" t="s">
        <v>217</v>
      </c>
      <c r="D735" t="s">
        <v>78</v>
      </c>
      <c r="E735" t="s">
        <v>72</v>
      </c>
      <c r="F735" s="41" t="s">
        <v>79</v>
      </c>
      <c r="G735" s="41" t="s">
        <v>79</v>
      </c>
      <c r="H735" s="41" t="s">
        <v>79</v>
      </c>
      <c r="I735" s="41" t="s">
        <v>79</v>
      </c>
      <c r="J735" s="41" t="s">
        <v>79</v>
      </c>
      <c r="K735" s="41" t="s">
        <v>79</v>
      </c>
      <c r="L735" s="41" t="s">
        <v>79</v>
      </c>
      <c r="M735" s="57">
        <f t="shared" si="11"/>
        <v>0</v>
      </c>
    </row>
    <row r="736" spans="1:13" ht="15">
      <c r="A736" s="200"/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</row>
    <row r="737" spans="1:12" ht="15">
      <c r="A737" s="200"/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</row>
    <row r="738" spans="1:12" ht="15">
      <c r="A738" s="200"/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</row>
    <row r="739" spans="1:12" ht="15">
      <c r="A739" s="200"/>
      <c r="B739" s="200"/>
      <c r="C739" s="200"/>
      <c r="D739" s="200"/>
      <c r="E739" s="200"/>
      <c r="F739" s="200"/>
      <c r="G739" s="200"/>
      <c r="H739" s="200"/>
      <c r="I739" s="200"/>
      <c r="J739" s="200"/>
      <c r="K739" s="200"/>
      <c r="L739" s="200"/>
    </row>
    <row r="740" spans="1:12" ht="15">
      <c r="A740" s="200"/>
      <c r="B740" s="200"/>
      <c r="C740" s="200"/>
      <c r="D740" s="200"/>
      <c r="E740" s="200"/>
      <c r="F740" s="200"/>
      <c r="G740" s="200"/>
      <c r="H740" s="200"/>
      <c r="I740" s="200"/>
      <c r="J740" s="200"/>
      <c r="K740" s="200"/>
      <c r="L740" s="200"/>
    </row>
    <row r="741" spans="1:12" ht="15">
      <c r="A741" s="200"/>
      <c r="B741" s="200"/>
      <c r="C741" s="200"/>
      <c r="D741" s="200"/>
      <c r="E741" s="200"/>
      <c r="F741" s="200"/>
      <c r="G741" s="200"/>
      <c r="H741" s="200"/>
      <c r="I741" s="200"/>
      <c r="J741" s="200"/>
      <c r="K741" s="200"/>
      <c r="L741" s="200"/>
    </row>
    <row r="742" spans="1:12" ht="15">
      <c r="A742" s="200"/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</row>
    <row r="743" spans="1:12" ht="15">
      <c r="A743" s="200"/>
      <c r="B743" s="200"/>
      <c r="C743" s="200"/>
      <c r="D743" s="200"/>
      <c r="E743" s="200"/>
      <c r="F743" s="200"/>
      <c r="G743" s="200"/>
      <c r="H743" s="200"/>
      <c r="I743" s="200"/>
      <c r="J743" s="200"/>
      <c r="K743" s="200"/>
      <c r="L743" s="200"/>
    </row>
    <row r="744" spans="1:12" ht="15">
      <c r="A744" s="200"/>
      <c r="B744" s="200"/>
      <c r="C744" s="200"/>
      <c r="D744" s="200"/>
      <c r="E744" s="200"/>
      <c r="F744" s="200"/>
      <c r="G744" s="200"/>
      <c r="H744" s="200"/>
      <c r="I744" s="200"/>
      <c r="J744" s="200"/>
      <c r="K744" s="200"/>
      <c r="L744" s="200"/>
    </row>
    <row r="745" spans="1:12" ht="15">
      <c r="A745" s="200"/>
      <c r="B745" s="200"/>
      <c r="C745" s="200"/>
      <c r="D745" s="200"/>
      <c r="E745" s="200"/>
      <c r="F745" s="200"/>
      <c r="G745" s="200"/>
      <c r="H745" s="200"/>
      <c r="I745" s="200"/>
      <c r="J745" s="200"/>
      <c r="K745" s="200"/>
      <c r="L745" s="200"/>
    </row>
    <row r="746" spans="1:12" ht="15">
      <c r="A746" s="200"/>
      <c r="B746" s="200"/>
      <c r="C746" s="200"/>
      <c r="D746" s="200"/>
      <c r="E746" s="200"/>
      <c r="F746" s="200"/>
      <c r="G746" s="200"/>
      <c r="H746" s="200"/>
      <c r="I746" s="200"/>
      <c r="J746" s="200"/>
      <c r="K746" s="200"/>
      <c r="L746" s="200"/>
    </row>
    <row r="747" spans="1:12" ht="15">
      <c r="A747" s="200"/>
      <c r="B747" s="200"/>
      <c r="C747" s="200"/>
      <c r="D747" s="200"/>
      <c r="E747" s="200"/>
      <c r="F747" s="200"/>
      <c r="G747" s="200"/>
      <c r="H747" s="200"/>
      <c r="I747" s="200"/>
      <c r="J747" s="200"/>
      <c r="K747" s="200"/>
      <c r="L747" s="200"/>
    </row>
    <row r="748" spans="1:12" ht="15">
      <c r="A748" s="200"/>
      <c r="B748" s="200"/>
      <c r="C748" s="200"/>
      <c r="D748" s="200"/>
      <c r="E748" s="200"/>
      <c r="F748" s="200"/>
      <c r="G748" s="200"/>
      <c r="H748" s="200"/>
      <c r="I748" s="200"/>
      <c r="J748" s="200"/>
      <c r="K748" s="200"/>
      <c r="L748" s="200"/>
    </row>
    <row r="749" spans="1:12" ht="15">
      <c r="A749" s="200"/>
      <c r="B749" s="200"/>
      <c r="C749" s="200"/>
      <c r="D749" s="200"/>
      <c r="E749" s="200"/>
      <c r="F749" s="200"/>
      <c r="G749" s="200"/>
      <c r="H749" s="200"/>
      <c r="I749" s="200"/>
      <c r="J749" s="200"/>
      <c r="K749" s="200"/>
      <c r="L749" s="200"/>
    </row>
    <row r="750" spans="1:12" ht="15">
      <c r="A750" s="200"/>
      <c r="B750" s="200"/>
      <c r="C750" s="200"/>
      <c r="D750" s="200"/>
      <c r="E750" s="200"/>
      <c r="F750" s="200"/>
      <c r="G750" s="200"/>
      <c r="H750" s="200"/>
      <c r="I750" s="200"/>
      <c r="J750" s="200"/>
      <c r="K750" s="200"/>
      <c r="L750" s="200"/>
    </row>
    <row r="751" spans="1:12" ht="15">
      <c r="A751" s="200"/>
      <c r="B751" s="200"/>
      <c r="C751" s="200"/>
      <c r="D751" s="200"/>
      <c r="E751" s="200"/>
      <c r="F751" s="200"/>
      <c r="G751" s="200"/>
      <c r="H751" s="200"/>
      <c r="I751" s="200"/>
      <c r="J751" s="200"/>
      <c r="K751" s="200"/>
      <c r="L751" s="200"/>
    </row>
    <row r="752" spans="1:12" ht="15">
      <c r="A752" s="200"/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</row>
    <row r="753" spans="1:12" ht="15">
      <c r="A753" s="200"/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</row>
    <row r="754" spans="1:12" ht="15">
      <c r="A754" s="200"/>
      <c r="B754" s="200"/>
      <c r="C754" s="200"/>
      <c r="D754" s="200"/>
      <c r="E754" s="200"/>
      <c r="F754" s="200"/>
      <c r="G754" s="200"/>
      <c r="H754" s="200"/>
      <c r="I754" s="200"/>
      <c r="J754" s="200"/>
      <c r="K754" s="200"/>
      <c r="L754" s="200"/>
    </row>
    <row r="755" spans="1:12" ht="15">
      <c r="A755" s="200"/>
      <c r="B755" s="200"/>
      <c r="C755" s="200"/>
      <c r="D755" s="200"/>
      <c r="E755" s="200"/>
      <c r="F755" s="200"/>
      <c r="G755" s="200"/>
      <c r="H755" s="200"/>
      <c r="I755" s="200"/>
      <c r="J755" s="200"/>
      <c r="K755" s="200"/>
      <c r="L755" s="200"/>
    </row>
    <row r="756" spans="1:12" ht="15">
      <c r="A756" s="200"/>
      <c r="B756" s="200"/>
      <c r="C756" s="200"/>
      <c r="D756" s="200"/>
      <c r="E756" s="200"/>
      <c r="F756" s="200"/>
      <c r="G756" s="200"/>
      <c r="H756" s="200"/>
      <c r="I756" s="200"/>
      <c r="J756" s="200"/>
      <c r="K756" s="200"/>
      <c r="L756" s="200"/>
    </row>
    <row r="757" spans="1:12" ht="15">
      <c r="A757" s="200"/>
      <c r="B757" s="200"/>
      <c r="C757" s="200"/>
      <c r="D757" s="200"/>
      <c r="E757" s="200"/>
      <c r="F757" s="200"/>
      <c r="G757" s="200"/>
      <c r="H757" s="200"/>
      <c r="I757" s="200"/>
      <c r="J757" s="200"/>
      <c r="K757" s="200"/>
      <c r="L757" s="200"/>
    </row>
    <row r="758" spans="1:12" ht="15">
      <c r="A758" s="200"/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</row>
    <row r="759" spans="1:12" ht="15">
      <c r="A759" s="200"/>
      <c r="B759" s="200"/>
      <c r="C759" s="200"/>
      <c r="D759" s="200"/>
      <c r="E759" s="200"/>
      <c r="F759" s="200"/>
      <c r="G759" s="200"/>
      <c r="H759" s="200"/>
      <c r="I759" s="200"/>
      <c r="J759" s="200"/>
      <c r="K759" s="200"/>
      <c r="L759" s="200"/>
    </row>
    <row r="760" spans="1:12" ht="15">
      <c r="A760" s="200"/>
      <c r="B760" s="200"/>
      <c r="C760" s="200"/>
      <c r="D760" s="200"/>
      <c r="E760" s="200"/>
      <c r="F760" s="200"/>
      <c r="G760" s="200"/>
      <c r="H760" s="200"/>
      <c r="I760" s="200"/>
      <c r="J760" s="200"/>
      <c r="K760" s="200"/>
      <c r="L760" s="200"/>
    </row>
    <row r="761" spans="1:12" ht="15">
      <c r="A761" s="200"/>
      <c r="B761" s="200"/>
      <c r="C761" s="200"/>
      <c r="D761" s="200"/>
      <c r="E761" s="200"/>
      <c r="F761" s="200"/>
      <c r="G761" s="200"/>
      <c r="H761" s="200"/>
      <c r="I761" s="200"/>
      <c r="J761" s="200"/>
      <c r="K761" s="200"/>
      <c r="L761" s="200"/>
    </row>
    <row r="762" spans="1:12" ht="15">
      <c r="A762" s="200"/>
      <c r="B762" s="200"/>
      <c r="C762" s="200"/>
      <c r="D762" s="200"/>
      <c r="E762" s="200"/>
      <c r="F762" s="200"/>
      <c r="G762" s="200"/>
      <c r="H762" s="200"/>
      <c r="I762" s="200"/>
      <c r="J762" s="200"/>
      <c r="K762" s="200"/>
      <c r="L762" s="200"/>
    </row>
    <row r="763" spans="1:12" ht="15">
      <c r="A763" s="200"/>
      <c r="B763" s="200"/>
      <c r="C763" s="200"/>
      <c r="D763" s="200"/>
      <c r="E763" s="200"/>
      <c r="F763" s="200"/>
      <c r="G763" s="200"/>
      <c r="H763" s="200"/>
      <c r="I763" s="200"/>
      <c r="J763" s="200"/>
      <c r="K763" s="200"/>
      <c r="L763" s="200"/>
    </row>
    <row r="764" spans="1:12" ht="15">
      <c r="A764" s="200"/>
      <c r="B764" s="200"/>
      <c r="C764" s="200"/>
      <c r="D764" s="200"/>
      <c r="E764" s="200"/>
      <c r="F764" s="200"/>
      <c r="G764" s="200"/>
      <c r="H764" s="200"/>
      <c r="I764" s="200"/>
      <c r="J764" s="200"/>
      <c r="K764" s="200"/>
      <c r="L764" s="200"/>
    </row>
    <row r="765" spans="1:12" ht="15">
      <c r="A765" s="200"/>
      <c r="B765" s="200"/>
      <c r="C765" s="200"/>
      <c r="D765" s="200"/>
      <c r="E765" s="200"/>
      <c r="F765" s="200"/>
      <c r="G765" s="200"/>
      <c r="H765" s="200"/>
      <c r="I765" s="200"/>
      <c r="J765" s="200"/>
      <c r="K765" s="200"/>
      <c r="L765" s="200"/>
    </row>
    <row r="766" spans="1:12" ht="15">
      <c r="A766" s="200"/>
      <c r="B766" s="200"/>
      <c r="C766" s="200"/>
      <c r="D766" s="200"/>
      <c r="E766" s="200"/>
      <c r="F766" s="200"/>
      <c r="G766" s="200"/>
      <c r="H766" s="200"/>
      <c r="I766" s="200"/>
      <c r="J766" s="200"/>
      <c r="K766" s="200"/>
      <c r="L766" s="200"/>
    </row>
    <row r="767" spans="1:12" ht="15">
      <c r="A767" s="200"/>
      <c r="B767" s="200"/>
      <c r="C767" s="200"/>
      <c r="D767" s="200"/>
      <c r="E767" s="200"/>
      <c r="F767" s="200"/>
      <c r="G767" s="200"/>
      <c r="H767" s="200"/>
      <c r="I767" s="200"/>
      <c r="J767" s="200"/>
      <c r="K767" s="200"/>
      <c r="L767" s="200"/>
    </row>
    <row r="768" spans="1:12" ht="15">
      <c r="A768" s="200"/>
      <c r="B768" s="200"/>
      <c r="C768" s="200"/>
      <c r="D768" s="200"/>
      <c r="E768" s="200"/>
      <c r="F768" s="200"/>
      <c r="G768" s="200"/>
      <c r="H768" s="200"/>
      <c r="I768" s="200"/>
      <c r="J768" s="200"/>
      <c r="K768" s="200"/>
      <c r="L768" s="200"/>
    </row>
    <row r="769" spans="1:12" ht="15">
      <c r="A769" s="200"/>
      <c r="B769" s="200"/>
      <c r="C769" s="200"/>
      <c r="D769" s="200"/>
      <c r="E769" s="200"/>
      <c r="F769" s="200"/>
      <c r="G769" s="200"/>
      <c r="H769" s="200"/>
      <c r="I769" s="200"/>
      <c r="J769" s="200"/>
      <c r="K769" s="200"/>
      <c r="L769" s="20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79992-9C05-46F3-BA2B-022134FEF62B}">
  <sheetPr codeName="Sheet18">
    <tabColor rgb="FFCCCCCE"/>
  </sheetPr>
  <dimension ref="A1"/>
  <sheetViews>
    <sheetView zoomScale="80" zoomScaleNormal="80" workbookViewId="0"/>
  </sheetViews>
  <sheetFormatPr defaultRowHeight="12.7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597EB-17D1-4620-BF1A-7B21A1615E15}">
  <sheetPr codeName="Sheet20">
    <tabColor rgb="FFCCCCCE"/>
  </sheetPr>
  <dimension ref="A1:L32"/>
  <sheetViews>
    <sheetView showGridLines="0" zoomScale="80" zoomScaleNormal="80" workbookViewId="0"/>
  </sheetViews>
  <sheetFormatPr defaultRowHeight="12.75"/>
  <cols>
    <col min="3" max="3" width="21" customWidth="1"/>
    <col min="4" max="5" width="27.7109375" customWidth="1"/>
    <col min="6" max="6" width="18.7109375" customWidth="1"/>
    <col min="7" max="7" width="21.28515625" customWidth="1"/>
    <col min="8" max="8" width="17.140625" customWidth="1"/>
    <col min="9" max="9" width="34.7109375" customWidth="1"/>
    <col min="10" max="10" width="3.140625" customWidth="1"/>
    <col min="11" max="11" width="54.7109375" customWidth="1"/>
  </cols>
  <sheetData>
    <row r="1" spans="1:12" s="2" customFormat="1" ht="31.5">
      <c r="A1" s="1" t="str">
        <f ca="1" xml:space="preserve"> RIGHT(CELL("filename", $A$1), LEN(CELL("filename", $A$1)) - SEARCH("]", CELL("filename", $A$1)))</f>
        <v>Materiality &amp; shallow dive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4" spans="1:12" ht="37.5" customHeight="1">
      <c r="A4" s="221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</row>
    <row r="5" spans="1:12" ht="77.45" customHeight="1">
      <c r="A5" s="2"/>
      <c r="B5" s="2"/>
      <c r="C5" s="21" t="s">
        <v>87</v>
      </c>
      <c r="D5" s="21" t="s">
        <v>83</v>
      </c>
      <c r="E5" s="21"/>
      <c r="F5" s="21"/>
      <c r="G5" s="21"/>
      <c r="H5" s="21"/>
      <c r="I5" s="21" t="s">
        <v>83</v>
      </c>
      <c r="J5" s="2"/>
      <c r="K5" s="2"/>
      <c r="L5" s="2"/>
    </row>
    <row r="6" spans="1:12" ht="38.25">
      <c r="A6" s="3"/>
      <c r="B6" s="21" t="s">
        <v>52</v>
      </c>
      <c r="C6" s="21" t="s">
        <v>114</v>
      </c>
      <c r="D6" s="21" t="s">
        <v>224</v>
      </c>
      <c r="E6" s="21" t="s">
        <v>225</v>
      </c>
      <c r="F6" s="21" t="s">
        <v>226</v>
      </c>
      <c r="G6" s="21" t="s">
        <v>227</v>
      </c>
      <c r="H6" s="21" t="s">
        <v>228</v>
      </c>
      <c r="I6" s="21" t="s">
        <v>229</v>
      </c>
      <c r="J6" s="2"/>
      <c r="K6" s="183" t="s">
        <v>230</v>
      </c>
      <c r="L6" s="2"/>
    </row>
    <row r="7" spans="1:12">
      <c r="A7" s="9">
        <v>1</v>
      </c>
      <c r="B7" s="15" t="s">
        <v>75</v>
      </c>
      <c r="C7" s="93">
        <f>_xlfn.XLOOKUP($B7,PR24_NETTOTEX_WASTE!$B$8:$B$18,PR24_NETTOTEX_WASTE!$G$8:$G$18)</f>
        <v>6050.1790000000001</v>
      </c>
      <c r="D7" s="117">
        <f ca="1">_xlfn.XLOOKUP($B7,'Outputs to aggregator'!$B$7:$B$17,'Outputs to aggregator'!$L$7:$L$17)</f>
        <v>77.820000000000007</v>
      </c>
      <c r="E7" s="123">
        <f ca="1">_xlfn.XLOOKUP($B7,Data_final_model_format!$B$6:$B$16,Data_final_model_format!$L$6:$L$16)</f>
        <v>77.820000000000007</v>
      </c>
      <c r="F7" s="118">
        <f ca="1">E7/C7</f>
        <v>1.2862429359528041E-2</v>
      </c>
      <c r="G7" s="106" t="s">
        <v>231</v>
      </c>
      <c r="H7" s="119">
        <f>_xlfn.XLOOKUP($B8,'Company level efficiencies'!$B$7:$B$17,'Company level efficiencies'!$I$7:$I$17)</f>
        <v>0</v>
      </c>
      <c r="I7" s="106" t="str">
        <f t="shared" ref="I7:I17" ca="1" si="0">IF(G7="Shallow dive",(1-H7)*E7,"")</f>
        <v/>
      </c>
      <c r="J7" s="2"/>
      <c r="K7" s="184" t="s">
        <v>232</v>
      </c>
      <c r="L7" s="2"/>
    </row>
    <row r="8" spans="1:12">
      <c r="A8" s="9">
        <v>2</v>
      </c>
      <c r="B8" s="15" t="s">
        <v>97</v>
      </c>
      <c r="C8" s="93">
        <f>_xlfn.XLOOKUP($B8,PR24_NETTOTEX_WASTE!$B$8:$B$18,PR24_NETTOTEX_WASTE!$G$8:$G$18)</f>
        <v>3318.1689999999999</v>
      </c>
      <c r="D8" s="117">
        <f ca="1">_xlfn.XLOOKUP($B8,'Outputs to aggregator'!$B$7:$B$17,'Outputs to aggregator'!$L$7:$L$17)</f>
        <v>6.0719999999999992</v>
      </c>
      <c r="E8" s="123">
        <f ca="1">_xlfn.XLOOKUP($B8,Data_final_model_format!$B$6:$B$16,Data_final_model_format!$L$6:$L$16)</f>
        <v>6.0719999999999992</v>
      </c>
      <c r="F8" s="118">
        <f t="shared" ref="F8:F17" ca="1" si="1">E8/C8</f>
        <v>1.8299248772440462E-3</v>
      </c>
      <c r="G8" s="106" t="s">
        <v>233</v>
      </c>
      <c r="H8" s="119">
        <f>_xlfn.XLOOKUP($B9,'Company level efficiencies'!$B$7:$B$17,'Company level efficiencies'!$I$7:$I$17)</f>
        <v>0</v>
      </c>
      <c r="I8" s="106">
        <f t="shared" ca="1" si="0"/>
        <v>6.0719999999999992</v>
      </c>
      <c r="J8" s="2"/>
      <c r="K8" s="15" t="s">
        <v>234</v>
      </c>
      <c r="L8" s="2"/>
    </row>
    <row r="9" spans="1:12">
      <c r="A9" s="9">
        <v>3</v>
      </c>
      <c r="B9" s="15" t="s">
        <v>98</v>
      </c>
      <c r="C9" s="93">
        <f>_xlfn.XLOOKUP($B9,PR24_NETTOTEX_WASTE!$B$8:$B$18,PR24_NETTOTEX_WASTE!$G$8:$G$18)</f>
        <v>61.302999999999997</v>
      </c>
      <c r="D9" s="117">
        <f ca="1">_xlfn.XLOOKUP($B9,'Outputs to aggregator'!$B$7:$B$17,'Outputs to aggregator'!$L$7:$L$17)</f>
        <v>0</v>
      </c>
      <c r="E9" s="123">
        <f ca="1">_xlfn.XLOOKUP($B9,Data_final_model_format!$B$6:$B$16,Data_final_model_format!$L$6:$L$16)</f>
        <v>0</v>
      </c>
      <c r="F9" s="118">
        <f t="shared" ca="1" si="1"/>
        <v>0</v>
      </c>
      <c r="G9" s="106" t="s">
        <v>231</v>
      </c>
      <c r="H9" s="119">
        <f>_xlfn.XLOOKUP($B10,'Company level efficiencies'!$B$7:$B$17,'Company level efficiencies'!$I$7:$I$17)</f>
        <v>0.08</v>
      </c>
      <c r="I9" s="106" t="str">
        <f t="shared" ca="1" si="0"/>
        <v/>
      </c>
      <c r="J9" s="2"/>
      <c r="K9" s="15" t="s">
        <v>235</v>
      </c>
      <c r="L9" s="2"/>
    </row>
    <row r="10" spans="1:12">
      <c r="A10" s="9">
        <v>4</v>
      </c>
      <c r="B10" s="15" t="s">
        <v>99</v>
      </c>
      <c r="C10" s="93">
        <f>_xlfn.XLOOKUP($B10,PR24_NETTOTEX_WASTE!$B$8:$B$18,PR24_NETTOTEX_WASTE!$G$8:$G$18)</f>
        <v>3207.9270000000001</v>
      </c>
      <c r="D10" s="117">
        <f ca="1">_xlfn.XLOOKUP($B10,'Outputs to aggregator'!$B$7:$B$17,'Outputs to aggregator'!$L$7:$L$17)</f>
        <v>55.448</v>
      </c>
      <c r="E10" s="123">
        <f ca="1">_xlfn.XLOOKUP($B10,Data_final_model_format!$B$6:$B$16,Data_final_model_format!$L$6:$L$16)</f>
        <v>55.448</v>
      </c>
      <c r="F10" s="118">
        <f t="shared" ca="1" si="1"/>
        <v>1.7284682600321018E-2</v>
      </c>
      <c r="G10" s="106" t="s">
        <v>231</v>
      </c>
      <c r="H10" s="119">
        <f>_xlfn.XLOOKUP($B11,'Company level efficiencies'!$B$7:$B$17,'Company level efficiencies'!$I$7:$I$17)</f>
        <v>0.06</v>
      </c>
      <c r="I10" s="106" t="str">
        <f t="shared" ca="1" si="0"/>
        <v/>
      </c>
      <c r="J10" s="2"/>
      <c r="K10" s="184" t="s">
        <v>232</v>
      </c>
      <c r="L10" s="2"/>
    </row>
    <row r="11" spans="1:12">
      <c r="A11" s="9">
        <v>5</v>
      </c>
      <c r="B11" s="15" t="s">
        <v>101</v>
      </c>
      <c r="C11" s="93">
        <f>_xlfn.XLOOKUP($B11,PR24_NETTOTEX_WASTE!$B$8:$B$18,PR24_NETTOTEX_WASTE!$G$8:$G$18)</f>
        <v>8618.7119999999995</v>
      </c>
      <c r="D11" s="117">
        <f ca="1">_xlfn.XLOOKUP($B11,'Outputs to aggregator'!$B$7:$B$17,'Outputs to aggregator'!$L$7:$L$17)</f>
        <v>134.34716344920167</v>
      </c>
      <c r="E11" s="123">
        <f ca="1">_xlfn.XLOOKUP($B11,Data_final_model_format!$B$6:$B$16,Data_final_model_format!$L$6:$L$16)</f>
        <v>134.34716344920167</v>
      </c>
      <c r="F11" s="118">
        <f t="shared" ca="1" si="1"/>
        <v>1.5587846936897494E-2</v>
      </c>
      <c r="G11" s="106" t="s">
        <v>231</v>
      </c>
      <c r="H11" s="119">
        <f>_xlfn.XLOOKUP($B12,'Company level efficiencies'!$B$7:$B$17,'Company level efficiencies'!$I$7:$I$17)</f>
        <v>0</v>
      </c>
      <c r="I11" s="106" t="str">
        <f t="shared" ca="1" si="0"/>
        <v/>
      </c>
      <c r="J11" s="2"/>
      <c r="K11" s="184" t="s">
        <v>232</v>
      </c>
      <c r="L11" s="2"/>
    </row>
    <row r="12" spans="1:12">
      <c r="A12" s="9">
        <v>6</v>
      </c>
      <c r="B12" s="15" t="s">
        <v>100</v>
      </c>
      <c r="C12" s="93">
        <f>_xlfn.XLOOKUP($B12,PR24_NETTOTEX_WASTE!$B$8:$B$18,PR24_NETTOTEX_WASTE!$G$8:$G$18)</f>
        <v>2220.3789999999999</v>
      </c>
      <c r="D12" s="117">
        <f ca="1">_xlfn.XLOOKUP($B12,'Outputs to aggregator'!$B$7:$B$17,'Outputs to aggregator'!$L$7:$L$17)</f>
        <v>54.433</v>
      </c>
      <c r="E12" s="123">
        <f ca="1">_xlfn.XLOOKUP($B12,Data_final_model_format!$B$6:$B$16,Data_final_model_format!$L$6:$L$16)</f>
        <v>54.433</v>
      </c>
      <c r="F12" s="118">
        <f t="shared" ca="1" si="1"/>
        <v>2.4515184119467893E-2</v>
      </c>
      <c r="G12" s="106" t="s">
        <v>231</v>
      </c>
      <c r="H12" s="119">
        <f>_xlfn.XLOOKUP($B13,'Company level efficiencies'!$B$7:$B$17,'Company level efficiencies'!$I$7:$I$17)</f>
        <v>0.08</v>
      </c>
      <c r="I12" s="106" t="str">
        <f t="shared" ca="1" si="0"/>
        <v/>
      </c>
      <c r="J12" s="2"/>
      <c r="K12" s="184" t="s">
        <v>232</v>
      </c>
      <c r="L12" s="2"/>
    </row>
    <row r="13" spans="1:12">
      <c r="A13" s="9">
        <v>7</v>
      </c>
      <c r="B13" s="15" t="s">
        <v>102</v>
      </c>
      <c r="C13" s="93">
        <f>_xlfn.XLOOKUP($B13,PR24_NETTOTEX_WASTE!$B$8:$B$18,PR24_NETTOTEX_WASTE!$G$8:$G$18)</f>
        <v>5114.1959999999999</v>
      </c>
      <c r="D13" s="117">
        <f ca="1">_xlfn.XLOOKUP($B13,'Outputs to aggregator'!$B$7:$B$17,'Outputs to aggregator'!$L$7:$L$17)</f>
        <v>43.146999999999998</v>
      </c>
      <c r="E13" s="123">
        <f ca="1">_xlfn.XLOOKUP($B13,Data_final_model_format!$B$6:$B$16,Data_final_model_format!$L$6:$L$16)</f>
        <v>43.146999999999998</v>
      </c>
      <c r="F13" s="118">
        <f t="shared" ca="1" si="1"/>
        <v>8.4367122417678166E-3</v>
      </c>
      <c r="G13" s="106" t="s">
        <v>231</v>
      </c>
      <c r="H13" s="119">
        <f>_xlfn.XLOOKUP($B14,'Company level efficiencies'!$B$7:$B$17,'Company level efficiencies'!$I$7:$I$17)</f>
        <v>0.1</v>
      </c>
      <c r="I13" s="106" t="str">
        <f t="shared" ca="1" si="0"/>
        <v/>
      </c>
      <c r="J13" s="2"/>
      <c r="K13" s="184" t="s">
        <v>232</v>
      </c>
      <c r="L13" s="2"/>
    </row>
    <row r="14" spans="1:12">
      <c r="A14" s="9">
        <v>8</v>
      </c>
      <c r="B14" s="15" t="s">
        <v>103</v>
      </c>
      <c r="C14" s="93">
        <f>_xlfn.XLOOKUP($B14,PR24_NETTOTEX_WASTE!$B$8:$B$18,PR24_NETTOTEX_WASTE!$G$8:$G$18)</f>
        <v>12775.474</v>
      </c>
      <c r="D14" s="117">
        <f ca="1">_xlfn.XLOOKUP($B14,'Outputs to aggregator'!$B$7:$B$17,'Outputs to aggregator'!$L$7:$L$17)</f>
        <v>52.985999999999997</v>
      </c>
      <c r="E14" s="123">
        <f ca="1">_xlfn.XLOOKUP($B14,Data_final_model_format!$B$6:$B$16,Data_final_model_format!$L$6:$L$16)</f>
        <v>52.985999999999997</v>
      </c>
      <c r="F14" s="118">
        <f t="shared" ca="1" si="1"/>
        <v>4.1474782070708297E-3</v>
      </c>
      <c r="G14" s="106" t="s">
        <v>231</v>
      </c>
      <c r="H14" s="119">
        <f>_xlfn.XLOOKUP($B15,'Company level efficiencies'!$B$7:$B$17,'Company level efficiencies'!$I$7:$I$17)</f>
        <v>0.1</v>
      </c>
      <c r="I14" s="106" t="str">
        <f t="shared" ca="1" si="0"/>
        <v/>
      </c>
      <c r="J14" s="2"/>
      <c r="K14" s="15" t="s">
        <v>236</v>
      </c>
      <c r="L14" s="2"/>
    </row>
    <row r="15" spans="1:12">
      <c r="A15" s="9">
        <v>9</v>
      </c>
      <c r="B15" s="15" t="s">
        <v>104</v>
      </c>
      <c r="C15" s="93">
        <f>_xlfn.XLOOKUP($B15,PR24_NETTOTEX_WASTE!$B$8:$B$18,PR24_NETTOTEX_WASTE!$G$8:$G$18)</f>
        <v>8993.18</v>
      </c>
      <c r="D15" s="117">
        <f ca="1">_xlfn.XLOOKUP($B15,'Outputs to aggregator'!$B$7:$B$17,'Outputs to aggregator'!$L$7:$L$17)</f>
        <v>84.834619803113227</v>
      </c>
      <c r="E15" s="123">
        <f ca="1">_xlfn.XLOOKUP($B15,Data_final_model_format!$B$6:$B$16,Data_final_model_format!$L$6:$L$16)</f>
        <v>84.326432149260754</v>
      </c>
      <c r="F15" s="118">
        <f t="shared" ca="1" si="1"/>
        <v>9.3767090338746414E-3</v>
      </c>
      <c r="G15" s="106" t="s">
        <v>231</v>
      </c>
      <c r="H15" s="119">
        <f>_xlfn.XLOOKUP($B16,'Company level efficiencies'!$B$7:$B$17,'Company level efficiencies'!$I$7:$I$17)</f>
        <v>0.1</v>
      </c>
      <c r="I15" s="106" t="str">
        <f t="shared" ca="1" si="0"/>
        <v/>
      </c>
      <c r="J15" s="2"/>
      <c r="K15" s="184" t="s">
        <v>232</v>
      </c>
      <c r="L15" s="2"/>
    </row>
    <row r="16" spans="1:12">
      <c r="A16" s="49">
        <v>10</v>
      </c>
      <c r="B16" s="15" t="s">
        <v>105</v>
      </c>
      <c r="C16" s="93">
        <f>_xlfn.XLOOKUP($B16,PR24_NETTOTEX_WASTE!$B$8:$B$18,PR24_NETTOTEX_WASTE!$G$8:$G$18)</f>
        <v>3717.8809999999999</v>
      </c>
      <c r="D16" s="117">
        <f ca="1">_xlfn.XLOOKUP($B16,'Outputs to aggregator'!$B$7:$B$17,'Outputs to aggregator'!$L$7:$L$17)</f>
        <v>62.595305999999994</v>
      </c>
      <c r="E16" s="123">
        <f ca="1">_xlfn.XLOOKUP($B16,Data_final_model_format!$B$6:$B$16,Data_final_model_format!$L$6:$L$16)</f>
        <v>62.595305999999994</v>
      </c>
      <c r="F16" s="118">
        <f t="shared" ca="1" si="1"/>
        <v>1.6836285507793283E-2</v>
      </c>
      <c r="G16" s="106" t="s">
        <v>231</v>
      </c>
      <c r="H16" s="119">
        <f>_xlfn.XLOOKUP($B17,'Company level efficiencies'!$B$7:$B$17,'Company level efficiencies'!$I$7:$I$17)</f>
        <v>0.04</v>
      </c>
      <c r="I16" s="106" t="str">
        <f t="shared" ca="1" si="0"/>
        <v/>
      </c>
      <c r="J16" s="2"/>
      <c r="K16" s="184" t="s">
        <v>232</v>
      </c>
      <c r="L16" s="2"/>
    </row>
    <row r="17" spans="1:12">
      <c r="A17" s="9">
        <v>11</v>
      </c>
      <c r="B17" s="15" t="s">
        <v>106</v>
      </c>
      <c r="C17" s="93">
        <f>_xlfn.XLOOKUP($B17,PR24_NETTOTEX_WASTE!$B$8:$B$18,PR24_NETTOTEX_WASTE!$G$8:$G$18)</f>
        <v>4605.5680000000002</v>
      </c>
      <c r="D17" s="117">
        <f ca="1">_xlfn.XLOOKUP($B17,'Outputs to aggregator'!$B$7:$B$17,'Outputs to aggregator'!$L$7:$L$17)</f>
        <v>97.493692799999991</v>
      </c>
      <c r="E17" s="123">
        <f ca="1">_xlfn.XLOOKUP($B17,Data_final_model_format!$B$6:$B$16,Data_final_model_format!$L$6:$L$16)</f>
        <v>97.493692799999991</v>
      </c>
      <c r="F17" s="118">
        <f t="shared" ca="1" si="1"/>
        <v>2.1168657763819789E-2</v>
      </c>
      <c r="G17" s="106" t="s">
        <v>231</v>
      </c>
      <c r="H17" s="119" t="e">
        <f>_xlfn.XLOOKUP($B18,'Company level efficiencies'!$B$7:$B$17,'Company level efficiencies'!$I$7:$I$17)</f>
        <v>#N/A</v>
      </c>
      <c r="I17" s="106" t="str">
        <f t="shared" ca="1" si="0"/>
        <v/>
      </c>
      <c r="J17" s="2"/>
      <c r="K17" s="184" t="s">
        <v>232</v>
      </c>
      <c r="L17" s="2"/>
    </row>
    <row r="18" spans="1:12">
      <c r="A18" s="3"/>
      <c r="B18" s="17" t="s">
        <v>111</v>
      </c>
      <c r="C18" s="120">
        <f>SUM(C7:C17)</f>
        <v>58682.968000000001</v>
      </c>
      <c r="D18" s="124">
        <f ca="1">SUM(D7:D17)</f>
        <v>669.17678205231482</v>
      </c>
      <c r="E18" s="124">
        <f ca="1">SUM(E7:E17)</f>
        <v>668.66859439846235</v>
      </c>
      <c r="F18" s="121"/>
      <c r="G18" s="106"/>
      <c r="H18" s="122"/>
      <c r="I18" s="125">
        <f ca="1">SUM(I7:I17)</f>
        <v>6.0719999999999992</v>
      </c>
      <c r="J18" s="2"/>
      <c r="L18" s="2"/>
    </row>
    <row r="19" spans="1:12">
      <c r="A19" s="2"/>
      <c r="B19" s="2"/>
      <c r="C19" s="144"/>
      <c r="D19" s="144"/>
      <c r="E19" s="144"/>
      <c r="F19" s="144"/>
      <c r="G19" s="144"/>
      <c r="H19" s="144"/>
      <c r="I19" s="144"/>
      <c r="J19" s="2"/>
      <c r="K19" s="2"/>
      <c r="L19" s="2"/>
    </row>
    <row r="21" spans="1:12" ht="13.5" thickBot="1"/>
    <row r="22" spans="1:12" ht="21" thickBot="1">
      <c r="B22" s="96"/>
    </row>
    <row r="23" spans="1:12" ht="21" thickBot="1">
      <c r="B23" s="96"/>
    </row>
    <row r="24" spans="1:12" ht="21" thickBot="1">
      <c r="B24" s="96"/>
    </row>
    <row r="25" spans="1:12" ht="21" thickBot="1">
      <c r="B25" s="96"/>
    </row>
    <row r="26" spans="1:12" ht="21" thickBot="1">
      <c r="B26" s="96"/>
    </row>
    <row r="27" spans="1:12" ht="21" thickBot="1">
      <c r="B27" s="96"/>
    </row>
    <row r="28" spans="1:12" ht="21" thickBot="1">
      <c r="B28" s="96"/>
    </row>
    <row r="29" spans="1:12" ht="21" thickBot="1">
      <c r="B29" s="96"/>
    </row>
    <row r="30" spans="1:12" ht="21" thickBot="1">
      <c r="B30" s="96"/>
    </row>
    <row r="31" spans="1:12" ht="21" thickBot="1">
      <c r="B31" s="96"/>
    </row>
    <row r="32" spans="1:12" ht="21" thickBot="1">
      <c r="B32" s="96"/>
    </row>
  </sheetData>
  <mergeCells count="1">
    <mergeCell ref="A4:L4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A6FFC5-B66E-455E-ADD3-4BF65F6D9C88}">
          <x14:formula1>
            <xm:f>'DROPDOWN LISTS'!$F$5:$F$7</xm:f>
          </x14:formula1>
          <xm:sqref>G7:G18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B7808-5213-47A0-B9EF-1EA99550AE16}">
  <sheetPr codeName="Sheet24">
    <tabColor rgb="FFCCCCCE"/>
  </sheetPr>
  <dimension ref="A1:R46"/>
  <sheetViews>
    <sheetView showGridLines="0" topLeftCell="A4" zoomScale="80" zoomScaleNormal="80" workbookViewId="0">
      <selection activeCell="N16" sqref="N16"/>
    </sheetView>
  </sheetViews>
  <sheetFormatPr defaultRowHeight="12.75"/>
  <cols>
    <col min="1" max="1" width="14.28515625" customWidth="1"/>
    <col min="2" max="2" width="15" customWidth="1"/>
    <col min="3" max="3" width="16.85546875" customWidth="1"/>
    <col min="4" max="5" width="14" customWidth="1"/>
    <col min="6" max="7" width="13.5703125" customWidth="1"/>
    <col min="8" max="8" width="12.140625" customWidth="1"/>
    <col min="9" max="9" width="15.5703125" customWidth="1"/>
    <col min="10" max="10" width="12.42578125" customWidth="1"/>
    <col min="11" max="11" width="19" customWidth="1"/>
    <col min="13" max="13" width="11.7109375" customWidth="1"/>
    <col min="14" max="15" width="14.140625" customWidth="1"/>
    <col min="16" max="16" width="16.28515625" customWidth="1"/>
  </cols>
  <sheetData>
    <row r="1" spans="1:18" s="2" customFormat="1" ht="31.5">
      <c r="A1" s="1" t="str">
        <f ca="1" xml:space="preserve"> RIGHT(CELL("filename", $A$1), LEN(CELL("filename", $A$1)) - SEARCH("]", CELL("filename", $A$1)))</f>
        <v>Modelled Costs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8" ht="26.6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</row>
    <row r="4" spans="1:18" ht="63.75">
      <c r="A4" s="187" t="s">
        <v>52</v>
      </c>
      <c r="B4" s="150" t="s">
        <v>114</v>
      </c>
      <c r="C4" s="150" t="s">
        <v>224</v>
      </c>
      <c r="D4" s="150" t="s">
        <v>64</v>
      </c>
      <c r="E4" s="188" t="s">
        <v>65</v>
      </c>
      <c r="F4" s="137" t="s">
        <v>66</v>
      </c>
      <c r="G4" s="137" t="s">
        <v>67</v>
      </c>
      <c r="H4" s="137" t="s">
        <v>68</v>
      </c>
      <c r="I4" s="137" t="s">
        <v>69</v>
      </c>
      <c r="J4" s="137" t="s">
        <v>70</v>
      </c>
      <c r="K4" s="137" t="s">
        <v>225</v>
      </c>
      <c r="L4" s="137" t="s">
        <v>237</v>
      </c>
      <c r="M4" s="137" t="s">
        <v>238</v>
      </c>
      <c r="N4" s="137" t="s">
        <v>239</v>
      </c>
      <c r="O4" s="137" t="s">
        <v>240</v>
      </c>
      <c r="P4" s="137" t="s">
        <v>241</v>
      </c>
    </row>
    <row r="5" spans="1:18">
      <c r="A5" s="9" t="s">
        <v>75</v>
      </c>
      <c r="B5" s="138">
        <f>_xlfn.XLOOKUP($A5,'Materiality &amp; shallow dive'!$B$7:$B$17,'Materiality &amp; shallow dive'!$C$7:$C$17)</f>
        <v>6050.1790000000001</v>
      </c>
      <c r="C5" s="189">
        <f ca="1">_xlfn.XLOOKUP($A5,'Materiality &amp; shallow dive'!$B$7:$B$17,'Materiality &amp; shallow dive'!$D$7:$D$17)</f>
        <v>77.820000000000007</v>
      </c>
      <c r="D5" s="138">
        <f ca="1">INDEX(Data_final_model_format!E:E,MATCH($A5,Data_final_model_format!$B:$B,0))</f>
        <v>0</v>
      </c>
      <c r="E5" s="138">
        <f ca="1">INDEX(Data_final_model_format!F:F,MATCH($A5,Data_final_model_format!$B:$B,0))</f>
        <v>0</v>
      </c>
      <c r="F5" s="138">
        <f ca="1">INDEX(Data_final_model_format!G:G,MATCH($A5,Data_final_model_format!$B:$B,0))</f>
        <v>0.86799999999999999</v>
      </c>
      <c r="G5" s="138">
        <f ca="1">INDEX(Data_final_model_format!H:H,MATCH($A5,Data_final_model_format!$B:$B,0))</f>
        <v>17.742999999999999</v>
      </c>
      <c r="H5" s="138">
        <f ca="1">INDEX(Data_final_model_format!I:I,MATCH($A5,Data_final_model_format!$B:$B,0))</f>
        <v>19.117999999999999</v>
      </c>
      <c r="I5" s="138">
        <f ca="1">INDEX(Data_final_model_format!J:J,MATCH($A5,Data_final_model_format!$B:$B,0))</f>
        <v>19.623000000000001</v>
      </c>
      <c r="J5" s="138">
        <f ca="1">INDEX(Data_final_model_format!K:K,MATCH($A5,Data_final_model_format!$B:$B,0))</f>
        <v>20.468</v>
      </c>
      <c r="K5" s="138">
        <f ca="1">INDEX(Data_final_model_format!L:L,MATCH($A5,Data_final_model_format!$B:$B,0))</f>
        <v>77.820000000000007</v>
      </c>
      <c r="L5" s="140">
        <f ca="1">INDEX(Data_final_model_format!M:M,MATCH($A5,Data_final_model_format!$B:$B,0))</f>
        <v>584</v>
      </c>
      <c r="M5" s="228">
        <f ca="1">IFERROR(K5/L5,"")</f>
        <v>0.13325342465753426</v>
      </c>
      <c r="N5" s="117">
        <f ca="1">L5*$M$18</f>
        <v>77.820000000000007</v>
      </c>
      <c r="O5" s="117" t="str">
        <f ca="1">IFERROR(_xlfn.XLOOKUP($A5,'Materiality &amp; shallow dive'!B6:B16,'Materiality &amp; shallow dive'!I6:I16),"")</f>
        <v/>
      </c>
      <c r="P5" s="117">
        <f ca="1">N5-K5</f>
        <v>0</v>
      </c>
    </row>
    <row r="6" spans="1:18">
      <c r="A6" s="9" t="s">
        <v>97</v>
      </c>
      <c r="B6" s="138">
        <f>_xlfn.XLOOKUP($A6,'Materiality &amp; shallow dive'!$B$7:$B$17,'Materiality &amp; shallow dive'!$C$7:$C$17)</f>
        <v>3318.1689999999999</v>
      </c>
      <c r="C6" s="189">
        <f ca="1">_xlfn.XLOOKUP($A6,'Materiality &amp; shallow dive'!$B$7:$B$17,'Materiality &amp; shallow dive'!$D$7:$D$17)</f>
        <v>6.0719999999999992</v>
      </c>
      <c r="D6" s="138">
        <f ca="1">INDEX(Data_final_model_format!E:E,MATCH($A6,Data_final_model_format!$B:$B,0))</f>
        <v>0</v>
      </c>
      <c r="E6" s="138">
        <f ca="1">INDEX(Data_final_model_format!F:F,MATCH($A6,Data_final_model_format!$B:$B,0))</f>
        <v>0</v>
      </c>
      <c r="F6" s="138">
        <f ca="1">INDEX(Data_final_model_format!G:G,MATCH($A6,Data_final_model_format!$B:$B,0))</f>
        <v>2.5059999999999998</v>
      </c>
      <c r="G6" s="138">
        <f ca="1">INDEX(Data_final_model_format!H:H,MATCH($A6,Data_final_model_format!$B:$B,0))</f>
        <v>2.6039999999999992</v>
      </c>
      <c r="H6" s="138">
        <f ca="1">INDEX(Data_final_model_format!I:I,MATCH($A6,Data_final_model_format!$B:$B,0))</f>
        <v>0.31900000000000012</v>
      </c>
      <c r="I6" s="138">
        <f ca="1">INDEX(Data_final_model_format!J:J,MATCH($A6,Data_final_model_format!$B:$B,0))</f>
        <v>0.32100000000000012</v>
      </c>
      <c r="J6" s="138">
        <f ca="1">INDEX(Data_final_model_format!K:K,MATCH($A6,Data_final_model_format!$B:$B,0))</f>
        <v>0.32200000000000012</v>
      </c>
      <c r="K6" s="138">
        <f ca="1">INDEX(Data_final_model_format!L:L,MATCH($A6,Data_final_model_format!$B:$B,0))</f>
        <v>6.0719999999999992</v>
      </c>
      <c r="L6" s="140">
        <f ca="1">INDEX(Data_final_model_format!M:M,MATCH($A6,Data_final_model_format!$B:$B,0))</f>
        <v>28</v>
      </c>
      <c r="M6" s="228">
        <f ca="1">IFERROR(K6/L6,"")</f>
        <v>0.21685714285714283</v>
      </c>
      <c r="N6" s="117">
        <v>0</v>
      </c>
      <c r="O6" s="117">
        <f ca="1">IFERROR(_xlfn.XLOOKUP($A6,'Materiality &amp; shallow dive'!B7:B17,'Materiality &amp; shallow dive'!I7:I17),"")</f>
        <v>6.0719999999999992</v>
      </c>
      <c r="P6" s="117">
        <f ca="1">O6-C6</f>
        <v>0</v>
      </c>
    </row>
    <row r="7" spans="1:18">
      <c r="A7" s="9" t="s">
        <v>98</v>
      </c>
      <c r="B7" s="138">
        <f>_xlfn.XLOOKUP($A7,'Materiality &amp; shallow dive'!$B$7:$B$17,'Materiality &amp; shallow dive'!$C$7:$C$17)</f>
        <v>61.302999999999997</v>
      </c>
      <c r="C7" s="189">
        <f ca="1">_xlfn.XLOOKUP($A7,'Materiality &amp; shallow dive'!$B$7:$B$17,'Materiality &amp; shallow dive'!$D$7:$D$17)</f>
        <v>0</v>
      </c>
      <c r="D7" s="138">
        <f ca="1">INDEX(Data_final_model_format!E:E,MATCH($A7,Data_final_model_format!$B:$B,0))</f>
        <v>0</v>
      </c>
      <c r="E7" s="138">
        <f ca="1">INDEX(Data_final_model_format!F:F,MATCH($A7,Data_final_model_format!$B:$B,0))</f>
        <v>0</v>
      </c>
      <c r="F7" s="138">
        <f ca="1">INDEX(Data_final_model_format!G:G,MATCH($A7,Data_final_model_format!$B:$B,0))</f>
        <v>0</v>
      </c>
      <c r="G7" s="138">
        <f ca="1">INDEX(Data_final_model_format!H:H,MATCH($A7,Data_final_model_format!$B:$B,0))</f>
        <v>0</v>
      </c>
      <c r="H7" s="138">
        <f ca="1">INDEX(Data_final_model_format!I:I,MATCH($A7,Data_final_model_format!$B:$B,0))</f>
        <v>0</v>
      </c>
      <c r="I7" s="138">
        <f ca="1">INDEX(Data_final_model_format!J:J,MATCH($A7,Data_final_model_format!$B:$B,0))</f>
        <v>0</v>
      </c>
      <c r="J7" s="138">
        <f ca="1">INDEX(Data_final_model_format!K:K,MATCH($A7,Data_final_model_format!$B:$B,0))</f>
        <v>0</v>
      </c>
      <c r="K7" s="138">
        <f ca="1">INDEX(Data_final_model_format!L:L,MATCH($A7,Data_final_model_format!$B:$B,0))</f>
        <v>0</v>
      </c>
      <c r="L7" s="140">
        <f ca="1">INDEX(Data_final_model_format!M:M,MATCH($A7,Data_final_model_format!$B:$B,0))</f>
        <v>0</v>
      </c>
      <c r="M7" s="229">
        <v>0</v>
      </c>
      <c r="N7" s="138">
        <v>0</v>
      </c>
      <c r="O7" s="117" t="str">
        <f ca="1">IFERROR(_xlfn.XLOOKUP($A7,'Materiality &amp; shallow dive'!B8:B18,'Materiality &amp; shallow dive'!I8:I18),"")</f>
        <v/>
      </c>
      <c r="P7" s="117">
        <f t="shared" ref="P7:P15" ca="1" si="0">N7-K7</f>
        <v>0</v>
      </c>
    </row>
    <row r="8" spans="1:18">
      <c r="A8" s="9" t="s">
        <v>99</v>
      </c>
      <c r="B8" s="138">
        <f>_xlfn.XLOOKUP($A8,'Materiality &amp; shallow dive'!$B$7:$B$17,'Materiality &amp; shallow dive'!$C$7:$C$17)</f>
        <v>3207.9270000000001</v>
      </c>
      <c r="C8" s="189">
        <f ca="1">_xlfn.XLOOKUP($A8,'Materiality &amp; shallow dive'!$B$7:$B$17,'Materiality &amp; shallow dive'!$D$7:$D$17)</f>
        <v>55.448</v>
      </c>
      <c r="D8" s="138">
        <f ca="1">INDEX(Data_final_model_format!E:E,MATCH($A8,Data_final_model_format!$B:$B,0))</f>
        <v>0</v>
      </c>
      <c r="E8" s="138">
        <f ca="1">INDEX(Data_final_model_format!F:F,MATCH($A8,Data_final_model_format!$B:$B,0))</f>
        <v>0</v>
      </c>
      <c r="F8" s="138">
        <f ca="1">INDEX(Data_final_model_format!G:G,MATCH($A8,Data_final_model_format!$B:$B,0))</f>
        <v>2.718</v>
      </c>
      <c r="G8" s="138">
        <f ca="1">INDEX(Data_final_model_format!H:H,MATCH($A8,Data_final_model_format!$B:$B,0))</f>
        <v>12.323</v>
      </c>
      <c r="H8" s="138">
        <f ca="1">INDEX(Data_final_model_format!I:I,MATCH($A8,Data_final_model_format!$B:$B,0))</f>
        <v>12.978</v>
      </c>
      <c r="I8" s="138">
        <f ca="1">INDEX(Data_final_model_format!J:J,MATCH($A8,Data_final_model_format!$B:$B,0))</f>
        <v>13.387</v>
      </c>
      <c r="J8" s="138">
        <f ca="1">INDEX(Data_final_model_format!K:K,MATCH($A8,Data_final_model_format!$B:$B,0))</f>
        <v>14.042</v>
      </c>
      <c r="K8" s="138">
        <f ca="1">INDEX(Data_final_model_format!L:L,MATCH($A8,Data_final_model_format!$B:$B,0))</f>
        <v>55.448</v>
      </c>
      <c r="L8" s="140">
        <f ca="1">INDEX(Data_final_model_format!M:M,MATCH($A8,Data_final_model_format!$B:$B,0))</f>
        <v>390</v>
      </c>
      <c r="M8" s="228">
        <f t="shared" ref="M8:M15" ca="1" si="1">IFERROR(K8/L8,"")</f>
        <v>0.14217435897435898</v>
      </c>
      <c r="N8" s="117">
        <f ca="1">L8*$M$18</f>
        <v>51.968835616438362</v>
      </c>
      <c r="O8" s="117" t="str">
        <f ca="1">IFERROR(_xlfn.XLOOKUP($A8,'Materiality &amp; shallow dive'!B9:B19,'Materiality &amp; shallow dive'!I9:I19),"")</f>
        <v/>
      </c>
      <c r="P8" s="117">
        <f t="shared" ca="1" si="0"/>
        <v>-3.4791643835616384</v>
      </c>
    </row>
    <row r="9" spans="1:18">
      <c r="A9" s="9" t="s">
        <v>101</v>
      </c>
      <c r="B9" s="138">
        <f>_xlfn.XLOOKUP($A9,'Materiality &amp; shallow dive'!$B$7:$B$17,'Materiality &amp; shallow dive'!$C$7:$C$17)</f>
        <v>8618.7119999999995</v>
      </c>
      <c r="C9" s="189">
        <f ca="1">_xlfn.XLOOKUP($A9,'Materiality &amp; shallow dive'!$B$7:$B$17,'Materiality &amp; shallow dive'!$D$7:$D$17)</f>
        <v>134.34716344920167</v>
      </c>
      <c r="D9" s="138">
        <f ca="1">INDEX(Data_final_model_format!E:E,MATCH($A9,Data_final_model_format!$B:$B,0))</f>
        <v>0</v>
      </c>
      <c r="E9" s="138">
        <f ca="1">INDEX(Data_final_model_format!F:F,MATCH($A9,Data_final_model_format!$B:$B,0))</f>
        <v>0.7524168125794064</v>
      </c>
      <c r="F9" s="138">
        <f ca="1">INDEX(Data_final_model_format!G:G,MATCH($A9,Data_final_model_format!$B:$B,0))</f>
        <v>9.5366632622977665</v>
      </c>
      <c r="G9" s="138">
        <f ca="1">INDEX(Data_final_model_format!H:H,MATCH($A9,Data_final_model_format!$B:$B,0))</f>
        <v>26.538144298272439</v>
      </c>
      <c r="H9" s="138">
        <f ca="1">INDEX(Data_final_model_format!I:I,MATCH($A9,Data_final_model_format!$B:$B,0))</f>
        <v>29.62432710420288</v>
      </c>
      <c r="I9" s="138">
        <f ca="1">INDEX(Data_final_model_format!J:J,MATCH($A9,Data_final_model_format!$B:$B,0))</f>
        <v>32.589070209772828</v>
      </c>
      <c r="J9" s="138">
        <f ca="1">INDEX(Data_final_model_format!K:K,MATCH($A9,Data_final_model_format!$B:$B,0))</f>
        <v>35.306541762076343</v>
      </c>
      <c r="K9" s="138">
        <f ca="1">INDEX(Data_final_model_format!L:L,MATCH($A9,Data_final_model_format!$B:$B,0))</f>
        <v>134.34716344920167</v>
      </c>
      <c r="L9" s="140">
        <f ca="1">INDEX(Data_final_model_format!M:M,MATCH($A9,Data_final_model_format!$B:$B,0))</f>
        <v>1000</v>
      </c>
      <c r="M9" s="228">
        <f t="shared" ca="1" si="1"/>
        <v>0.13434716344920167</v>
      </c>
      <c r="N9" s="117">
        <f t="shared" ref="N9:N15" ca="1" si="2">L9*$M$18</f>
        <v>133.25342465753425</v>
      </c>
      <c r="O9" s="117" t="str">
        <f ca="1">IFERROR(_xlfn.XLOOKUP($A9,'Materiality &amp; shallow dive'!B10:B20,'Materiality &amp; shallow dive'!I10:I20),"")</f>
        <v/>
      </c>
      <c r="P9" s="117">
        <f t="shared" ca="1" si="0"/>
        <v>-1.0937387916674197</v>
      </c>
    </row>
    <row r="10" spans="1:18">
      <c r="A10" s="9" t="s">
        <v>100</v>
      </c>
      <c r="B10" s="138">
        <f>_xlfn.XLOOKUP($A10,'Materiality &amp; shallow dive'!$B$7:$B$17,'Materiality &amp; shallow dive'!$C$7:$C$17)</f>
        <v>2220.3789999999999</v>
      </c>
      <c r="C10" s="189">
        <f ca="1">_xlfn.XLOOKUP($A10,'Materiality &amp; shallow dive'!$B$7:$B$17,'Materiality &amp; shallow dive'!$D$7:$D$17)</f>
        <v>54.433</v>
      </c>
      <c r="D10" s="138">
        <f ca="1">INDEX(Data_final_model_format!E:E,MATCH($A10,Data_final_model_format!$B:$B,0))</f>
        <v>0</v>
      </c>
      <c r="E10" s="138">
        <f ca="1">INDEX(Data_final_model_format!F:F,MATCH($A10,Data_final_model_format!$B:$B,0))</f>
        <v>0</v>
      </c>
      <c r="F10" s="138">
        <f ca="1">INDEX(Data_final_model_format!G:G,MATCH($A10,Data_final_model_format!$B:$B,0))</f>
        <v>9.282</v>
      </c>
      <c r="G10" s="138">
        <f ca="1">INDEX(Data_final_model_format!H:H,MATCH($A10,Data_final_model_format!$B:$B,0))</f>
        <v>10.082000000000001</v>
      </c>
      <c r="H10" s="138">
        <f ca="1">INDEX(Data_final_model_format!I:I,MATCH($A10,Data_final_model_format!$B:$B,0))</f>
        <v>10.882</v>
      </c>
      <c r="I10" s="138">
        <f ca="1">INDEX(Data_final_model_format!J:J,MATCH($A10,Data_final_model_format!$B:$B,0))</f>
        <v>11.693</v>
      </c>
      <c r="J10" s="138">
        <f ca="1">INDEX(Data_final_model_format!K:K,MATCH($A10,Data_final_model_format!$B:$B,0))</f>
        <v>12.494</v>
      </c>
      <c r="K10" s="138">
        <f ca="1">INDEX(Data_final_model_format!L:L,MATCH($A10,Data_final_model_format!$B:$B,0))</f>
        <v>54.433</v>
      </c>
      <c r="L10" s="140">
        <f ca="1">INDEX(Data_final_model_format!M:M,MATCH($A10,Data_final_model_format!$B:$B,0))</f>
        <v>409</v>
      </c>
      <c r="M10" s="228">
        <f t="shared" ca="1" si="1"/>
        <v>0.13308801955990221</v>
      </c>
      <c r="N10" s="117">
        <f t="shared" ca="1" si="2"/>
        <v>54.500650684931514</v>
      </c>
      <c r="O10" s="117" t="str">
        <f ca="1">IFERROR(_xlfn.XLOOKUP($A10,'Materiality &amp; shallow dive'!B11:B21,'Materiality &amp; shallow dive'!I11:I21),"")</f>
        <v/>
      </c>
      <c r="P10" s="117">
        <f t="shared" ca="1" si="0"/>
        <v>6.7650684931514604E-2</v>
      </c>
    </row>
    <row r="11" spans="1:18">
      <c r="A11" s="9" t="s">
        <v>102</v>
      </c>
      <c r="B11" s="138">
        <f>_xlfn.XLOOKUP($A11,'Materiality &amp; shallow dive'!$B$7:$B$17,'Materiality &amp; shallow dive'!$C$7:$C$17)</f>
        <v>5114.1959999999999</v>
      </c>
      <c r="C11" s="189">
        <f ca="1">_xlfn.XLOOKUP($A11,'Materiality &amp; shallow dive'!$B$7:$B$17,'Materiality &amp; shallow dive'!$D$7:$D$17)</f>
        <v>43.146999999999998</v>
      </c>
      <c r="D11" s="138">
        <f ca="1">INDEX(Data_final_model_format!E:E,MATCH($A11,Data_final_model_format!$B:$B,0))</f>
        <v>0</v>
      </c>
      <c r="E11" s="138">
        <f ca="1">INDEX(Data_final_model_format!F:F,MATCH($A11,Data_final_model_format!$B:$B,0))</f>
        <v>0</v>
      </c>
      <c r="F11" s="138">
        <f ca="1">INDEX(Data_final_model_format!G:G,MATCH($A11,Data_final_model_format!$B:$B,0))</f>
        <v>8.6729999999999983</v>
      </c>
      <c r="G11" s="138">
        <f ca="1">INDEX(Data_final_model_format!H:H,MATCH($A11,Data_final_model_format!$B:$B,0))</f>
        <v>9.9629999999999992</v>
      </c>
      <c r="H11" s="138">
        <f ca="1">INDEX(Data_final_model_format!I:I,MATCH($A11,Data_final_model_format!$B:$B,0))</f>
        <v>9.8889999999999993</v>
      </c>
      <c r="I11" s="138">
        <f ca="1">INDEX(Data_final_model_format!J:J,MATCH($A11,Data_final_model_format!$B:$B,0))</f>
        <v>10.321</v>
      </c>
      <c r="J11" s="138">
        <f ca="1">INDEX(Data_final_model_format!K:K,MATCH($A11,Data_final_model_format!$B:$B,0))</f>
        <v>4.3010000000000002</v>
      </c>
      <c r="K11" s="138">
        <f ca="1">INDEX(Data_final_model_format!L:L,MATCH($A11,Data_final_model_format!$B:$B,0))</f>
        <v>43.146999999999998</v>
      </c>
      <c r="L11" s="140">
        <f ca="1">INDEX(Data_final_model_format!M:M,MATCH($A11,Data_final_model_format!$B:$B,0))</f>
        <v>304</v>
      </c>
      <c r="M11" s="228">
        <f t="shared" ca="1" si="1"/>
        <v>0.14193092105263158</v>
      </c>
      <c r="N11" s="117">
        <f ca="1">L11*$M$18</f>
        <v>40.509041095890417</v>
      </c>
      <c r="O11" s="117" t="str">
        <f ca="1">IFERROR(_xlfn.XLOOKUP($A11,'Materiality &amp; shallow dive'!B12:B22,'Materiality &amp; shallow dive'!I12:I22),"")</f>
        <v/>
      </c>
      <c r="P11" s="117">
        <f t="shared" ca="1" si="0"/>
        <v>-2.6379589041095812</v>
      </c>
    </row>
    <row r="12" spans="1:18">
      <c r="A12" s="9" t="s">
        <v>103</v>
      </c>
      <c r="B12" s="138">
        <f>_xlfn.XLOOKUP($A12,'Materiality &amp; shallow dive'!$B$7:$B$17,'Materiality &amp; shallow dive'!$C$7:$C$17)</f>
        <v>12775.474</v>
      </c>
      <c r="C12" s="189">
        <f ca="1">_xlfn.XLOOKUP($A12,'Materiality &amp; shallow dive'!$B$7:$B$17,'Materiality &amp; shallow dive'!$D$7:$D$17)</f>
        <v>52.985999999999997</v>
      </c>
      <c r="D12" s="138">
        <f ca="1">INDEX(Data_final_model_format!E:E,MATCH($A12,Data_final_model_format!$B:$B,0))</f>
        <v>0</v>
      </c>
      <c r="E12" s="138">
        <f ca="1">INDEX(Data_final_model_format!F:F,MATCH($A12,Data_final_model_format!$B:$B,0))</f>
        <v>0</v>
      </c>
      <c r="F12" s="138">
        <f ca="1">INDEX(Data_final_model_format!G:G,MATCH($A12,Data_final_model_format!$B:$B,0))</f>
        <v>16.802</v>
      </c>
      <c r="G12" s="138">
        <f ca="1">INDEX(Data_final_model_format!H:H,MATCH($A12,Data_final_model_format!$B:$B,0))</f>
        <v>18.088999999999999</v>
      </c>
      <c r="H12" s="138">
        <f ca="1">INDEX(Data_final_model_format!I:I,MATCH($A12,Data_final_model_format!$B:$B,0))</f>
        <v>6.0679999999999996</v>
      </c>
      <c r="I12" s="138">
        <f ca="1">INDEX(Data_final_model_format!J:J,MATCH($A12,Data_final_model_format!$B:$B,0))</f>
        <v>5.77</v>
      </c>
      <c r="J12" s="138">
        <f ca="1">INDEX(Data_final_model_format!K:K,MATCH($A12,Data_final_model_format!$B:$B,0))</f>
        <v>6.2569999999999997</v>
      </c>
      <c r="K12" s="138">
        <f ca="1">INDEX(Data_final_model_format!L:L,MATCH($A12,Data_final_model_format!$B:$B,0))</f>
        <v>52.985999999999997</v>
      </c>
      <c r="L12" s="140">
        <f ca="1">INDEX(Data_final_model_format!M:M,MATCH($A12,Data_final_model_format!$B:$B,0))</f>
        <v>314</v>
      </c>
      <c r="M12" s="228">
        <f t="shared" ca="1" si="1"/>
        <v>0.16874522292993629</v>
      </c>
      <c r="N12" s="117">
        <f t="shared" ca="1" si="2"/>
        <v>41.841575342465759</v>
      </c>
      <c r="O12" s="117" t="str">
        <f ca="1">IFERROR(_xlfn.XLOOKUP($A12,'Materiality &amp; shallow dive'!B13:B23,'Materiality &amp; shallow dive'!I13:I23),"")</f>
        <v/>
      </c>
      <c r="P12" s="117">
        <f t="shared" ca="1" si="0"/>
        <v>-11.144424657534238</v>
      </c>
    </row>
    <row r="13" spans="1:18">
      <c r="A13" s="9" t="s">
        <v>104</v>
      </c>
      <c r="B13" s="138">
        <f>_xlfn.XLOOKUP($A13,'Materiality &amp; shallow dive'!$B$7:$B$17,'Materiality &amp; shallow dive'!$C$7:$C$17)</f>
        <v>8993.18</v>
      </c>
      <c r="C13" s="189">
        <f ca="1">_xlfn.XLOOKUP($A13,'Materiality &amp; shallow dive'!$B$7:$B$17,'Materiality &amp; shallow dive'!$D$7:$D$17)</f>
        <v>84.834619803113227</v>
      </c>
      <c r="D13" s="138">
        <f ca="1">INDEX(Data_final_model_format!E:E,MATCH($A13,Data_final_model_format!$B:$B,0))</f>
        <v>0</v>
      </c>
      <c r="E13" s="138">
        <f ca="1">INDEX(Data_final_model_format!F:F,MATCH($A13,Data_final_model_format!$B:$B,0))</f>
        <v>0</v>
      </c>
      <c r="F13" s="138">
        <f ca="1">INDEX(Data_final_model_format!G:G,MATCH($A13,Data_final_model_format!$B:$B,0))</f>
        <v>15.343173003924152</v>
      </c>
      <c r="G13" s="138">
        <f ca="1">INDEX(Data_final_model_format!H:H,MATCH($A13,Data_final_model_format!$B:$B,0))</f>
        <v>16.252646523808153</v>
      </c>
      <c r="H13" s="138">
        <f ca="1">INDEX(Data_final_model_format!I:I,MATCH($A13,Data_final_model_format!$B:$B,0))</f>
        <v>16.77108538311219</v>
      </c>
      <c r="I13" s="138">
        <f ca="1">INDEX(Data_final_model_format!J:J,MATCH($A13,Data_final_model_format!$B:$B,0))</f>
        <v>17.682853284841272</v>
      </c>
      <c r="J13" s="138">
        <f ca="1">INDEX(Data_final_model_format!K:K,MATCH($A13,Data_final_model_format!$B:$B,0))</f>
        <v>18.276673953574988</v>
      </c>
      <c r="K13" s="138">
        <f ca="1">INDEX(Data_final_model_format!L:L,MATCH($A13,Data_final_model_format!$B:$B,0))</f>
        <v>84.326432149260754</v>
      </c>
      <c r="L13" s="140">
        <f ca="1">INDEX(Data_final_model_format!M:M,MATCH($A13,Data_final_model_format!$B:$B,0))</f>
        <v>633</v>
      </c>
      <c r="M13" s="228">
        <f t="shared" ca="1" si="1"/>
        <v>0.13321711240009598</v>
      </c>
      <c r="N13" s="117">
        <f ca="1">L13*$M$18</f>
        <v>84.349417808219187</v>
      </c>
      <c r="O13" s="117" t="str">
        <f ca="1">IFERROR(_xlfn.XLOOKUP($A13,'Materiality &amp; shallow dive'!B14:B24,'Materiality &amp; shallow dive'!I14:I24),"")</f>
        <v/>
      </c>
      <c r="P13" s="117">
        <f t="shared" ca="1" si="0"/>
        <v>2.2985658958432964E-2</v>
      </c>
    </row>
    <row r="14" spans="1:18">
      <c r="A14" s="49" t="s">
        <v>105</v>
      </c>
      <c r="B14" s="138">
        <f>_xlfn.XLOOKUP($A14,'Materiality &amp; shallow dive'!$B$7:$B$17,'Materiality &amp; shallow dive'!$C$7:$C$17)</f>
        <v>3717.8809999999999</v>
      </c>
      <c r="C14" s="189">
        <f ca="1">_xlfn.XLOOKUP($A14,'Materiality &amp; shallow dive'!$B$7:$B$17,'Materiality &amp; shallow dive'!$D$7:$D$17)</f>
        <v>62.595305999999994</v>
      </c>
      <c r="D14" s="141">
        <f ca="1">INDEX(Data_final_model_format!E:E,MATCH($A14,Data_final_model_format!$B:$B,0))</f>
        <v>0.17294799999999999</v>
      </c>
      <c r="E14" s="141">
        <f ca="1">INDEX(Data_final_model_format!F:F,MATCH($A14,Data_final_model_format!$B:$B,0))</f>
        <v>1.787744</v>
      </c>
      <c r="F14" s="141">
        <f ca="1">INDEX(Data_final_model_format!G:G,MATCH($A14,Data_final_model_format!$B:$B,0))</f>
        <v>10.012511999999999</v>
      </c>
      <c r="G14" s="141">
        <f ca="1">INDEX(Data_final_model_format!H:H,MATCH($A14,Data_final_model_format!$B:$B,0))</f>
        <v>11.743107999999999</v>
      </c>
      <c r="H14" s="141">
        <f ca="1">INDEX(Data_final_model_format!I:I,MATCH($A14,Data_final_model_format!$B:$B,0))</f>
        <v>12.551933</v>
      </c>
      <c r="I14" s="141">
        <f ca="1">INDEX(Data_final_model_format!J:J,MATCH($A14,Data_final_model_format!$B:$B,0))</f>
        <v>11.761711999999999</v>
      </c>
      <c r="J14" s="141">
        <f ca="1">INDEX(Data_final_model_format!K:K,MATCH($A14,Data_final_model_format!$B:$B,0))</f>
        <v>14.565348999999999</v>
      </c>
      <c r="K14" s="141">
        <f ca="1">INDEX(Data_final_model_format!L:L,MATCH($A14,Data_final_model_format!$B:$B,0))</f>
        <v>62.595305999999994</v>
      </c>
      <c r="L14" s="140">
        <f ca="1">INDEX(Data_final_model_format!M:M,MATCH($A14,Data_final_model_format!$B:$B,0))</f>
        <v>470</v>
      </c>
      <c r="M14" s="230">
        <f t="shared" ca="1" si="1"/>
        <v>0.13318150212765956</v>
      </c>
      <c r="N14" s="142">
        <f ca="1">L14*$M$18</f>
        <v>62.6291095890411</v>
      </c>
      <c r="O14" s="117" t="str">
        <f ca="1">IFERROR(_xlfn.XLOOKUP($A14,'Materiality &amp; shallow dive'!B15:B25,'Materiality &amp; shallow dive'!I15:I25),"")</f>
        <v/>
      </c>
      <c r="P14" s="142">
        <f t="shared" ca="1" si="0"/>
        <v>3.3803589041106363E-2</v>
      </c>
    </row>
    <row r="15" spans="1:18">
      <c r="A15" s="9" t="s">
        <v>106</v>
      </c>
      <c r="B15" s="138">
        <f>_xlfn.XLOOKUP($A15,'Materiality &amp; shallow dive'!$B$7:$B$17,'Materiality &amp; shallow dive'!$C$7:$C$17)</f>
        <v>4605.5680000000002</v>
      </c>
      <c r="C15" s="117">
        <f ca="1">_xlfn.XLOOKUP($A15,'Materiality &amp; shallow dive'!$B$7:$B$17,'Materiality &amp; shallow dive'!$D$7:$D$17)</f>
        <v>97.493692799999991</v>
      </c>
      <c r="D15" s="138">
        <f ca="1">INDEX(Data_final_model_format!E:E,MATCH($A15,Data_final_model_format!$B:$B,0))</f>
        <v>0</v>
      </c>
      <c r="E15" s="138">
        <f ca="1">INDEX(Data_final_model_format!F:F,MATCH($A15,Data_final_model_format!$B:$B,0))</f>
        <v>0</v>
      </c>
      <c r="F15" s="138">
        <f ca="1">INDEX(Data_final_model_format!G:G,MATCH($A15,Data_final_model_format!$B:$B,0))</f>
        <v>4.796672</v>
      </c>
      <c r="G15" s="138">
        <f ca="1">INDEX(Data_final_model_format!H:H,MATCH($A15,Data_final_model_format!$B:$B,0))</f>
        <v>6.7326816000000003</v>
      </c>
      <c r="H15" s="138">
        <f ca="1">INDEX(Data_final_model_format!I:I,MATCH($A15,Data_final_model_format!$B:$B,0))</f>
        <v>15.783884799999999</v>
      </c>
      <c r="I15" s="138">
        <f ca="1">INDEX(Data_final_model_format!J:J,MATCH($A15,Data_final_model_format!$B:$B,0))</f>
        <v>31.6003072</v>
      </c>
      <c r="J15" s="138">
        <f ca="1">INDEX(Data_final_model_format!K:K,MATCH($A15,Data_final_model_format!$B:$B,0))</f>
        <v>38.580147199999999</v>
      </c>
      <c r="K15" s="138">
        <f ca="1">INDEX(Data_final_model_format!L:L,MATCH($A15,Data_final_model_format!$B:$B,0))</f>
        <v>97.493692799999991</v>
      </c>
      <c r="L15" s="140">
        <f ca="1">INDEX(Data_final_model_format!M:M,MATCH($A15,Data_final_model_format!$B:$B,0))</f>
        <v>736</v>
      </c>
      <c r="M15" s="228">
        <f t="shared" ca="1" si="1"/>
        <v>0.13246425652173913</v>
      </c>
      <c r="N15" s="143">
        <f t="shared" ca="1" si="2"/>
        <v>98.074520547945212</v>
      </c>
      <c r="O15" s="117" t="str">
        <f ca="1">IFERROR(_xlfn.XLOOKUP($A15,'Materiality &amp; shallow dive'!B16:B26,'Materiality &amp; shallow dive'!I16:I26),"")</f>
        <v/>
      </c>
      <c r="P15" s="117">
        <f t="shared" ca="1" si="0"/>
        <v>0.58082774794522152</v>
      </c>
    </row>
    <row r="16" spans="1:18">
      <c r="A16" s="3"/>
      <c r="B16" s="147"/>
      <c r="C16" s="144"/>
      <c r="D16" s="147"/>
      <c r="E16" s="147"/>
      <c r="F16" s="147"/>
      <c r="G16" s="147"/>
      <c r="H16" s="147"/>
      <c r="I16" s="147"/>
      <c r="J16" s="147"/>
      <c r="K16" s="147"/>
      <c r="L16" s="148"/>
      <c r="M16" s="144"/>
      <c r="N16" s="144"/>
      <c r="O16" s="144"/>
      <c r="P16" s="144"/>
    </row>
    <row r="17" spans="1:16">
      <c r="A17" s="97" t="s">
        <v>111</v>
      </c>
      <c r="B17" s="138">
        <f t="shared" ref="B17:L17" si="3">SUM(B5:B15)</f>
        <v>58682.968000000001</v>
      </c>
      <c r="C17" s="138">
        <f ca="1">SUM(C5:C15)</f>
        <v>669.17678205231482</v>
      </c>
      <c r="D17" s="138">
        <f t="shared" ca="1" si="3"/>
        <v>0.17294799999999999</v>
      </c>
      <c r="E17" s="138">
        <f t="shared" ca="1" si="3"/>
        <v>2.5401608125794066</v>
      </c>
      <c r="F17" s="138">
        <f t="shared" ca="1" si="3"/>
        <v>80.53802026622192</v>
      </c>
      <c r="G17" s="138">
        <f t="shared" ca="1" si="3"/>
        <v>132.07058042208061</v>
      </c>
      <c r="H17" s="138">
        <f t="shared" ca="1" si="3"/>
        <v>133.98523028731509</v>
      </c>
      <c r="I17" s="138">
        <f t="shared" ca="1" si="3"/>
        <v>154.7489426946141</v>
      </c>
      <c r="J17" s="138">
        <f t="shared" ca="1" si="3"/>
        <v>164.61271191565135</v>
      </c>
      <c r="K17" s="138">
        <f t="shared" ca="1" si="3"/>
        <v>668.66859439846235</v>
      </c>
      <c r="L17" s="140">
        <f t="shared" ca="1" si="3"/>
        <v>4868</v>
      </c>
      <c r="M17" s="117"/>
      <c r="N17" s="138">
        <f ca="1">SUM(N5:N15)</f>
        <v>644.94657534246585</v>
      </c>
      <c r="O17" s="138">
        <f ca="1">SUM(O5:O15)</f>
        <v>6.0719999999999992</v>
      </c>
      <c r="P17" s="117">
        <f ca="1">SUM(P5:P15)</f>
        <v>-17.650019055996601</v>
      </c>
    </row>
    <row r="18" spans="1:16">
      <c r="A18" s="98" t="s">
        <v>242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90">
        <f ca="1">MEDIAN(L5:L15)</f>
        <v>409</v>
      </c>
      <c r="M18" s="175">
        <f ca="1">MEDIAN(M5,M8,M9,M10,M11,M12,M13,M14,M15)</f>
        <v>0.13325342465753426</v>
      </c>
      <c r="N18" s="145"/>
      <c r="O18" s="145"/>
      <c r="P18" s="146"/>
    </row>
    <row r="19" spans="1:16" ht="17.25">
      <c r="C19" s="35"/>
      <c r="K19" s="36"/>
      <c r="L19" s="35"/>
      <c r="M19" s="180"/>
      <c r="N19" s="35"/>
      <c r="O19" s="35"/>
    </row>
    <row r="20" spans="1:16" ht="17.25">
      <c r="A20" s="50"/>
      <c r="B20" s="51"/>
      <c r="C20" s="35"/>
      <c r="D20" s="52"/>
      <c r="E20" s="52"/>
      <c r="F20" s="52"/>
      <c r="G20" s="52"/>
      <c r="H20" s="34"/>
      <c r="I20" s="34"/>
      <c r="J20" s="34"/>
      <c r="K20" s="36"/>
      <c r="L20" s="35"/>
      <c r="M20" s="35"/>
      <c r="N20" s="35"/>
      <c r="O20" s="35"/>
    </row>
    <row r="21" spans="1:16" ht="29.25" customHeight="1">
      <c r="A21" s="37"/>
      <c r="B21" s="37"/>
      <c r="C21" s="35"/>
      <c r="D21" s="176"/>
      <c r="E21" s="176"/>
      <c r="F21" s="176"/>
      <c r="G21" s="176"/>
      <c r="H21" s="34"/>
      <c r="I21" s="34"/>
      <c r="J21" s="34"/>
      <c r="K21" s="36"/>
      <c r="L21" s="35"/>
      <c r="M21" s="35"/>
      <c r="N21" s="35"/>
      <c r="O21" s="35"/>
    </row>
    <row r="22" spans="1:16" ht="17.25">
      <c r="A22" s="37"/>
      <c r="B22" s="37"/>
      <c r="C22" s="35"/>
      <c r="D22" s="53"/>
      <c r="E22" s="53"/>
      <c r="F22" s="53"/>
      <c r="G22" s="53"/>
      <c r="H22" s="34"/>
      <c r="I22" s="34"/>
      <c r="J22" s="34"/>
      <c r="K22" s="36"/>
      <c r="L22" s="35"/>
      <c r="M22" s="35"/>
      <c r="N22" s="35"/>
      <c r="O22" s="35"/>
    </row>
    <row r="23" spans="1:16" ht="17.25">
      <c r="A23" s="177"/>
      <c r="B23" s="177"/>
      <c r="C23" s="35"/>
      <c r="D23" s="54"/>
      <c r="E23" s="54"/>
      <c r="F23" s="37"/>
      <c r="G23" s="54"/>
      <c r="H23" s="34"/>
      <c r="I23" s="34"/>
      <c r="J23" s="34"/>
      <c r="K23" s="36"/>
      <c r="L23" s="35"/>
      <c r="M23" s="35"/>
      <c r="N23" s="35"/>
      <c r="O23" s="35"/>
    </row>
    <row r="24" spans="1:16" ht="17.25">
      <c r="A24" s="177"/>
      <c r="B24" s="177"/>
      <c r="C24" s="35"/>
      <c r="D24" s="54"/>
      <c r="E24" s="54"/>
      <c r="F24" s="37"/>
      <c r="G24" s="54"/>
      <c r="H24" s="34"/>
      <c r="I24" s="34"/>
      <c r="J24" s="34"/>
      <c r="K24" s="36"/>
      <c r="L24" s="35"/>
      <c r="M24" s="35"/>
      <c r="N24" s="35"/>
      <c r="O24" s="35"/>
    </row>
    <row r="25" spans="1:16" ht="17.25">
      <c r="A25" s="34"/>
      <c r="B25" s="34"/>
      <c r="C25" s="35"/>
      <c r="D25" s="34"/>
      <c r="E25" s="34"/>
      <c r="F25" s="34"/>
      <c r="G25" s="34"/>
      <c r="H25" s="34"/>
      <c r="I25" s="34"/>
      <c r="J25" s="34"/>
      <c r="K25" s="36"/>
      <c r="L25" s="35"/>
      <c r="M25" s="35"/>
      <c r="N25" s="35"/>
      <c r="O25" s="35"/>
    </row>
    <row r="26" spans="1:16" ht="15">
      <c r="A26" s="34"/>
      <c r="B26" s="34"/>
      <c r="C26" s="35"/>
      <c r="D26" s="34"/>
      <c r="E26" s="34"/>
      <c r="F26" s="34"/>
      <c r="G26" s="34"/>
      <c r="H26" s="34"/>
      <c r="I26" s="34"/>
      <c r="J26" s="34"/>
      <c r="K26" s="35"/>
      <c r="L26" s="35"/>
      <c r="M26" s="35"/>
      <c r="N26" s="35"/>
      <c r="O26" s="35"/>
    </row>
    <row r="27" spans="1:16" ht="1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5"/>
      <c r="M27" s="34"/>
      <c r="N27" s="34"/>
      <c r="O27" s="34"/>
    </row>
    <row r="28" spans="1:16" ht="1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5"/>
      <c r="M28" s="34"/>
      <c r="N28" s="34"/>
      <c r="O28" s="34"/>
    </row>
    <row r="29" spans="1:16" ht="15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5"/>
      <c r="M29" s="34"/>
      <c r="N29" s="34"/>
      <c r="O29" s="34"/>
    </row>
    <row r="30" spans="1:16" ht="15">
      <c r="L30" s="35"/>
    </row>
    <row r="31" spans="1:16" ht="15">
      <c r="L31" s="35"/>
    </row>
    <row r="43" spans="2:11">
      <c r="B43" s="178"/>
      <c r="D43" s="178"/>
      <c r="E43" s="178"/>
      <c r="F43" s="178"/>
      <c r="G43" s="178"/>
      <c r="H43" s="178"/>
      <c r="I43" s="178"/>
      <c r="J43" s="178"/>
      <c r="K43" s="178"/>
    </row>
    <row r="44" spans="2:11">
      <c r="B44" s="178"/>
      <c r="D44" s="178"/>
      <c r="E44" s="178"/>
      <c r="F44" s="178"/>
      <c r="G44" s="178"/>
      <c r="H44" s="178"/>
      <c r="I44" s="178"/>
      <c r="J44" s="178"/>
      <c r="K44" s="178"/>
    </row>
    <row r="45" spans="2:11">
      <c r="B45" s="178"/>
      <c r="D45" s="178"/>
      <c r="E45" s="178"/>
      <c r="F45" s="178"/>
      <c r="G45" s="178"/>
      <c r="H45" s="178"/>
      <c r="I45" s="178"/>
      <c r="J45" s="178"/>
      <c r="K45" s="178"/>
    </row>
    <row r="46" spans="2:11">
      <c r="B46" s="178"/>
      <c r="D46" s="178"/>
      <c r="E46" s="178"/>
      <c r="F46" s="178"/>
      <c r="G46" s="178"/>
      <c r="H46" s="178"/>
      <c r="I46" s="178"/>
      <c r="J46" s="178"/>
      <c r="K46" s="178"/>
    </row>
  </sheetData>
  <conditionalFormatting sqref="P1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608CA-58A4-402C-9E43-CFB0EFF076BB}">
  <sheetPr codeName="Sheet30">
    <tabColor rgb="FF98C561"/>
  </sheetPr>
  <dimension ref="A1"/>
  <sheetViews>
    <sheetView zoomScale="80" zoomScaleNormal="80" workbookViewId="0"/>
  </sheetViews>
  <sheetFormatPr defaultRowHeight="12.7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2FE5D-5DC6-4CF4-9E02-431F90EF6ABC}">
  <sheetPr codeName="Sheet31">
    <tabColor rgb="FF98C561"/>
  </sheetPr>
  <dimension ref="A1:K28"/>
  <sheetViews>
    <sheetView showGridLines="0" topLeftCell="A4" zoomScale="80" zoomScaleNormal="80" workbookViewId="0"/>
  </sheetViews>
  <sheetFormatPr defaultRowHeight="12.75"/>
  <cols>
    <col min="2" max="2" width="21" customWidth="1"/>
    <col min="3" max="3" width="24.5703125" customWidth="1"/>
    <col min="4" max="4" width="13.5703125" customWidth="1"/>
    <col min="5" max="5" width="23" customWidth="1"/>
    <col min="6" max="6" width="15.85546875" customWidth="1"/>
    <col min="7" max="9" width="13.5703125" customWidth="1"/>
    <col min="11" max="11" width="19.140625" customWidth="1"/>
  </cols>
  <sheetData>
    <row r="1" spans="1:11" s="2" customFormat="1" ht="31.5">
      <c r="A1" s="1" t="str">
        <f ca="1" xml:space="preserve"> RIGHT(CELL("filename", $A$1), LEN(CELL("filename", $A$1)) - SEARCH("]", CELL("filename", $A$1)))</f>
        <v>Allowance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 ht="18.75">
      <c r="A3" s="222" t="s">
        <v>243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</row>
    <row r="4" spans="1:11">
      <c r="A4" s="3"/>
      <c r="B4" s="3"/>
      <c r="C4" s="3"/>
      <c r="D4" s="3"/>
      <c r="E4" s="3"/>
      <c r="F4" s="3"/>
      <c r="G4" s="3"/>
      <c r="H4" s="3"/>
      <c r="I4" s="3"/>
    </row>
    <row r="5" spans="1:11">
      <c r="A5" s="3"/>
      <c r="B5" s="4" t="s">
        <v>244</v>
      </c>
      <c r="C5" s="223" t="str">
        <f ca="1">Table3[[#This Row],[BON code]]</f>
        <v>CWW3_007TOT_PR24</v>
      </c>
      <c r="D5" s="223"/>
      <c r="E5" s="3"/>
      <c r="F5" s="3"/>
      <c r="G5" s="3"/>
      <c r="H5" s="3"/>
      <c r="I5" s="7"/>
    </row>
    <row r="6" spans="1:11" ht="58.15" customHeight="1">
      <c r="A6" s="3"/>
      <c r="B6" s="6" t="s">
        <v>245</v>
      </c>
      <c r="C6" s="223" t="str">
        <f>'Final Input'!C8</f>
        <v>Network / Storm overflow data - Number of continuous water quality monitor installations</v>
      </c>
      <c r="D6" s="223"/>
      <c r="E6" s="3"/>
      <c r="F6" s="3"/>
      <c r="G6" s="3"/>
      <c r="H6" s="3"/>
      <c r="I6" s="3"/>
    </row>
    <row r="7" spans="1:11">
      <c r="A7" s="3"/>
      <c r="B7" s="3"/>
      <c r="C7" s="3"/>
      <c r="D7" s="3"/>
      <c r="E7" s="3"/>
      <c r="F7" s="3"/>
      <c r="G7" s="3"/>
      <c r="H7" s="3"/>
      <c r="I7" s="3"/>
    </row>
    <row r="8" spans="1:11">
      <c r="A8" s="3"/>
      <c r="B8" s="3"/>
      <c r="C8" s="3"/>
      <c r="D8" s="3"/>
      <c r="E8" s="3"/>
      <c r="F8" s="3"/>
      <c r="G8" s="3"/>
      <c r="H8" s="3"/>
      <c r="I8" s="3"/>
    </row>
    <row r="9" spans="1:11">
      <c r="A9" s="8" t="s">
        <v>246</v>
      </c>
      <c r="B9" s="8"/>
      <c r="C9" s="8"/>
      <c r="D9" s="3"/>
      <c r="E9" s="3"/>
      <c r="F9" s="3"/>
      <c r="G9" s="3"/>
      <c r="H9" s="3"/>
      <c r="I9" s="3"/>
    </row>
    <row r="10" spans="1:11">
      <c r="A10" s="8"/>
      <c r="B10" s="8"/>
      <c r="C10" s="8"/>
      <c r="D10" s="3"/>
      <c r="E10" s="3"/>
      <c r="F10" s="3"/>
      <c r="G10" s="3"/>
      <c r="H10" s="3"/>
      <c r="I10" s="3"/>
    </row>
    <row r="12" spans="1:11">
      <c r="A12" s="30"/>
    </row>
    <row r="13" spans="1:11" ht="51">
      <c r="A13" s="3"/>
      <c r="B13" s="13" t="s">
        <v>52</v>
      </c>
      <c r="C13" s="47" t="s">
        <v>247</v>
      </c>
      <c r="D13" s="46" t="s">
        <v>248</v>
      </c>
      <c r="E13" s="47" t="s">
        <v>225</v>
      </c>
      <c r="F13" s="14" t="s">
        <v>249</v>
      </c>
      <c r="G13" s="14" t="s">
        <v>250</v>
      </c>
      <c r="H13" s="14" t="s">
        <v>251</v>
      </c>
      <c r="I13" s="13" t="s">
        <v>252</v>
      </c>
      <c r="J13" s="156"/>
      <c r="K13" s="58"/>
    </row>
    <row r="14" spans="1:11">
      <c r="A14" s="9">
        <v>1</v>
      </c>
      <c r="B14" s="10" t="s">
        <v>75</v>
      </c>
      <c r="C14" s="117">
        <f ca="1">_xlfn.XLOOKUP($B14,'Materiality &amp; shallow dive'!$B$7:$B$17,'Materiality &amp; shallow dive'!$D$7:$D$17)</f>
        <v>77.820000000000007</v>
      </c>
      <c r="D14" s="108">
        <f ca="1">(_xlfn.XLOOKUP($B14,'Materiality &amp; shallow dive'!$B$7:$B$17,'Materiality &amp; shallow dive'!$E$7:$E$17)-_xlfn.XLOOKUP($B14,'Materiality &amp; shallow dive'!$B$7:$B$17,'Materiality &amp; shallow dive'!$D$7:$D$17))</f>
        <v>0</v>
      </c>
      <c r="E14" s="109">
        <f ca="1">_xlfn.XLOOKUP($B14,'Materiality &amp; shallow dive'!$B$7:$B$17,'Materiality &amp; shallow dive'!$E$7:$E$17)</f>
        <v>77.820000000000007</v>
      </c>
      <c r="F14" s="110" t="str">
        <f ca="1">IFERROR(_xlfn.XLOOKUP($B14,'Materiality &amp; shallow dive'!$B$7:$B$17,'Materiality &amp; shallow dive'!$I$7:$I$17),"")</f>
        <v/>
      </c>
      <c r="G14" s="111">
        <f ca="1">_xlfn.XLOOKUP($B14,'Modelled Costs'!$A$5:$A$15,'Modelled Costs'!$N$5:$N$15)</f>
        <v>77.820000000000007</v>
      </c>
      <c r="H14" s="111"/>
      <c r="I14" s="109">
        <f t="shared" ref="I14:I24" ca="1" si="0">SUM(F14:H14)</f>
        <v>77.820000000000007</v>
      </c>
      <c r="J14" s="166"/>
      <c r="K14" s="99"/>
    </row>
    <row r="15" spans="1:11">
      <c r="A15" s="11">
        <v>2</v>
      </c>
      <c r="B15" s="10" t="s">
        <v>97</v>
      </c>
      <c r="C15" s="117">
        <f ca="1">_xlfn.XLOOKUP($B15,'Materiality &amp; shallow dive'!$B$7:$B$17,'Materiality &amp; shallow dive'!$D$7:$D$17)</f>
        <v>6.0719999999999992</v>
      </c>
      <c r="D15" s="108">
        <f ca="1">(_xlfn.XLOOKUP($B15,'Materiality &amp; shallow dive'!$B$7:$B$17,'Materiality &amp; shallow dive'!$E$7:$E$17)-_xlfn.XLOOKUP($B15,'Materiality &amp; shallow dive'!$B$7:$B$17,'Materiality &amp; shallow dive'!$D$7:$D$17))</f>
        <v>0</v>
      </c>
      <c r="E15" s="109">
        <f ca="1">_xlfn.XLOOKUP($B15,'Materiality &amp; shallow dive'!$B$7:$B$17,'Materiality &amp; shallow dive'!$E$7:$E$17)</f>
        <v>6.0719999999999992</v>
      </c>
      <c r="F15" s="110">
        <f ca="1">IFERROR(_xlfn.XLOOKUP($B15,'Materiality &amp; shallow dive'!$B$7:$B$17,'Materiality &amp; shallow dive'!$I$7:$I$17),"")</f>
        <v>6.0719999999999992</v>
      </c>
      <c r="G15" s="111">
        <f ca="1">_xlfn.XLOOKUP($B15,'Modelled Costs'!$A$5:$A$15,'Modelled Costs'!$N$5:$N$15)</f>
        <v>0</v>
      </c>
      <c r="H15" s="111"/>
      <c r="I15" s="109">
        <f t="shared" ca="1" si="0"/>
        <v>6.0719999999999992</v>
      </c>
      <c r="J15" s="166"/>
      <c r="K15" s="99"/>
    </row>
    <row r="16" spans="1:11">
      <c r="A16" s="11">
        <v>3</v>
      </c>
      <c r="B16" s="10" t="s">
        <v>98</v>
      </c>
      <c r="C16" s="117">
        <f ca="1">_xlfn.XLOOKUP($B16,'Materiality &amp; shallow dive'!$B$7:$B$17,'Materiality &amp; shallow dive'!$D$7:$D$17)</f>
        <v>0</v>
      </c>
      <c r="D16" s="108">
        <f ca="1">(_xlfn.XLOOKUP($B16,'Materiality &amp; shallow dive'!$B$7:$B$17,'Materiality &amp; shallow dive'!$E$7:$E$17)-_xlfn.XLOOKUP($B16,'Materiality &amp; shallow dive'!$B$7:$B$17,'Materiality &amp; shallow dive'!$D$7:$D$17))</f>
        <v>0</v>
      </c>
      <c r="E16" s="109">
        <f ca="1">_xlfn.XLOOKUP($B16,'Materiality &amp; shallow dive'!$B$7:$B$17,'Materiality &amp; shallow dive'!$E$7:$E$17)</f>
        <v>0</v>
      </c>
      <c r="F16" s="110" t="str">
        <f ca="1">IFERROR(_xlfn.XLOOKUP($B16,'Materiality &amp; shallow dive'!$B$7:$B$17,'Materiality &amp; shallow dive'!$I$7:$I$17),"")</f>
        <v/>
      </c>
      <c r="G16" s="111">
        <f ca="1">_xlfn.XLOOKUP($B16,'Modelled Costs'!$A$5:$A$15,'Modelled Costs'!$N$5:$N$15)</f>
        <v>0</v>
      </c>
      <c r="H16" s="111"/>
      <c r="I16" s="109">
        <f t="shared" ca="1" si="0"/>
        <v>0</v>
      </c>
      <c r="J16" s="166"/>
      <c r="K16" s="99"/>
    </row>
    <row r="17" spans="1:11">
      <c r="A17" s="11">
        <v>4</v>
      </c>
      <c r="B17" s="10" t="s">
        <v>99</v>
      </c>
      <c r="C17" s="117">
        <f ca="1">_xlfn.XLOOKUP($B17,'Materiality &amp; shallow dive'!$B$7:$B$17,'Materiality &amp; shallow dive'!$D$7:$D$17)</f>
        <v>55.448</v>
      </c>
      <c r="D17" s="108">
        <f ca="1">(_xlfn.XLOOKUP($B17,'Materiality &amp; shallow dive'!$B$7:$B$17,'Materiality &amp; shallow dive'!$E$7:$E$17)-_xlfn.XLOOKUP($B17,'Materiality &amp; shallow dive'!$B$7:$B$17,'Materiality &amp; shallow dive'!$D$7:$D$17))</f>
        <v>0</v>
      </c>
      <c r="E17" s="109">
        <f ca="1">_xlfn.XLOOKUP($B17,'Materiality &amp; shallow dive'!$B$7:$B$17,'Materiality &amp; shallow dive'!$E$7:$E$17)</f>
        <v>55.448</v>
      </c>
      <c r="F17" s="110" t="str">
        <f ca="1">IFERROR(_xlfn.XLOOKUP($B17,'Materiality &amp; shallow dive'!$B$7:$B$17,'Materiality &amp; shallow dive'!$I$7:$I$17),"")</f>
        <v/>
      </c>
      <c r="G17" s="111">
        <f ca="1">_xlfn.XLOOKUP($B17,'Modelled Costs'!$A$5:$A$15,'Modelled Costs'!$N$5:$N$15)</f>
        <v>51.968835616438362</v>
      </c>
      <c r="H17" s="111"/>
      <c r="I17" s="109">
        <f t="shared" ca="1" si="0"/>
        <v>51.968835616438362</v>
      </c>
      <c r="J17" s="166"/>
      <c r="K17" s="99"/>
    </row>
    <row r="18" spans="1:11">
      <c r="A18" s="11">
        <v>5</v>
      </c>
      <c r="B18" s="10" t="s">
        <v>101</v>
      </c>
      <c r="C18" s="117">
        <f ca="1">_xlfn.XLOOKUP($B18,'Materiality &amp; shallow dive'!$B$7:$B$17,'Materiality &amp; shallow dive'!$D$7:$D$17)</f>
        <v>134.34716344920167</v>
      </c>
      <c r="D18" s="108">
        <f ca="1">(_xlfn.XLOOKUP($B18,'Materiality &amp; shallow dive'!$B$7:$B$17,'Materiality &amp; shallow dive'!$E$7:$E$17)-_xlfn.XLOOKUP($B18,'Materiality &amp; shallow dive'!$B$7:$B$17,'Materiality &amp; shallow dive'!$D$7:$D$17))</f>
        <v>0</v>
      </c>
      <c r="E18" s="109">
        <f ca="1">_xlfn.XLOOKUP($B18,'Materiality &amp; shallow dive'!$B$7:$B$17,'Materiality &amp; shallow dive'!$E$7:$E$17)</f>
        <v>134.34716344920167</v>
      </c>
      <c r="F18" s="110" t="str">
        <f ca="1">IFERROR(_xlfn.XLOOKUP($B18,'Materiality &amp; shallow dive'!$B$7:$B$17,'Materiality &amp; shallow dive'!$I$7:$I$17),"")</f>
        <v/>
      </c>
      <c r="G18" s="111">
        <f ca="1">_xlfn.XLOOKUP($B18,'Modelled Costs'!$A$5:$A$15,'Modelled Costs'!$N$5:$N$15)</f>
        <v>133.25342465753425</v>
      </c>
      <c r="H18" s="111"/>
      <c r="I18" s="109">
        <f t="shared" ca="1" si="0"/>
        <v>133.25342465753425</v>
      </c>
      <c r="J18" s="166"/>
      <c r="K18" s="99"/>
    </row>
    <row r="19" spans="1:11">
      <c r="A19" s="11">
        <v>6</v>
      </c>
      <c r="B19" s="10" t="s">
        <v>100</v>
      </c>
      <c r="C19" s="117">
        <f ca="1">_xlfn.XLOOKUP($B19,'Materiality &amp; shallow dive'!$B$7:$B$17,'Materiality &amp; shallow dive'!$D$7:$D$17)</f>
        <v>54.433</v>
      </c>
      <c r="D19" s="108">
        <f ca="1">(_xlfn.XLOOKUP($B19,'Materiality &amp; shallow dive'!$B$7:$B$17,'Materiality &amp; shallow dive'!$E$7:$E$17)-_xlfn.XLOOKUP($B19,'Materiality &amp; shallow dive'!$B$7:$B$17,'Materiality &amp; shallow dive'!$D$7:$D$17))</f>
        <v>0</v>
      </c>
      <c r="E19" s="109">
        <f ca="1">_xlfn.XLOOKUP($B19,'Materiality &amp; shallow dive'!$B$7:$B$17,'Materiality &amp; shallow dive'!$E$7:$E$17)</f>
        <v>54.433</v>
      </c>
      <c r="F19" s="110" t="str">
        <f ca="1">IFERROR(_xlfn.XLOOKUP($B19,'Materiality &amp; shallow dive'!$B$7:$B$17,'Materiality &amp; shallow dive'!$I$7:$I$17),"")</f>
        <v/>
      </c>
      <c r="G19" s="111">
        <f ca="1">_xlfn.XLOOKUP($B19,'Modelled Costs'!$A$5:$A$15,'Modelled Costs'!$N$5:$N$15)</f>
        <v>54.500650684931514</v>
      </c>
      <c r="H19" s="111"/>
      <c r="I19" s="109">
        <f t="shared" ca="1" si="0"/>
        <v>54.500650684931514</v>
      </c>
      <c r="J19" s="166"/>
      <c r="K19" s="99"/>
    </row>
    <row r="20" spans="1:11">
      <c r="A20" s="11">
        <v>7</v>
      </c>
      <c r="B20" s="10" t="s">
        <v>102</v>
      </c>
      <c r="C20" s="117">
        <f ca="1">_xlfn.XLOOKUP($B20,'Materiality &amp; shallow dive'!$B$7:$B$17,'Materiality &amp; shallow dive'!$D$7:$D$17)</f>
        <v>43.146999999999998</v>
      </c>
      <c r="D20" s="108">
        <f ca="1">(_xlfn.XLOOKUP($B20,'Materiality &amp; shallow dive'!$B$7:$B$17,'Materiality &amp; shallow dive'!$E$7:$E$17)-_xlfn.XLOOKUP($B20,'Materiality &amp; shallow dive'!$B$7:$B$17,'Materiality &amp; shallow dive'!$D$7:$D$17))</f>
        <v>0</v>
      </c>
      <c r="E20" s="109">
        <f ca="1">_xlfn.XLOOKUP($B20,'Materiality &amp; shallow dive'!$B$7:$B$17,'Materiality &amp; shallow dive'!$E$7:$E$17)</f>
        <v>43.146999999999998</v>
      </c>
      <c r="F20" s="110" t="str">
        <f ca="1">IFERROR(_xlfn.XLOOKUP($B20,'Materiality &amp; shallow dive'!$B$7:$B$17,'Materiality &amp; shallow dive'!$I$7:$I$17),"")</f>
        <v/>
      </c>
      <c r="G20" s="111">
        <f ca="1">_xlfn.XLOOKUP($B20,'Modelled Costs'!$A$5:$A$15,'Modelled Costs'!$N$5:$N$15)</f>
        <v>40.509041095890417</v>
      </c>
      <c r="H20" s="111"/>
      <c r="I20" s="109">
        <f t="shared" ca="1" si="0"/>
        <v>40.509041095890417</v>
      </c>
      <c r="J20" s="166"/>
      <c r="K20" s="99"/>
    </row>
    <row r="21" spans="1:11">
      <c r="A21" s="11">
        <v>8</v>
      </c>
      <c r="B21" s="10" t="s">
        <v>103</v>
      </c>
      <c r="C21" s="117">
        <f ca="1">_xlfn.XLOOKUP($B21,'Materiality &amp; shallow dive'!$B$7:$B$17,'Materiality &amp; shallow dive'!$D$7:$D$17)</f>
        <v>52.985999999999997</v>
      </c>
      <c r="D21" s="108">
        <f ca="1">(_xlfn.XLOOKUP($B21,'Materiality &amp; shallow dive'!$B$7:$B$17,'Materiality &amp; shallow dive'!$E$7:$E$17)-_xlfn.XLOOKUP($B21,'Materiality &amp; shallow dive'!$B$7:$B$17,'Materiality &amp; shallow dive'!$D$7:$D$17))</f>
        <v>0</v>
      </c>
      <c r="E21" s="109">
        <f ca="1">_xlfn.XLOOKUP($B21,'Materiality &amp; shallow dive'!$B$7:$B$17,'Materiality &amp; shallow dive'!$E$7:$E$17)</f>
        <v>52.985999999999997</v>
      </c>
      <c r="F21" s="110" t="str">
        <f ca="1">IFERROR(_xlfn.XLOOKUP($B21,'Materiality &amp; shallow dive'!$B$7:$B$17,'Materiality &amp; shallow dive'!$I$7:$I$17),"")</f>
        <v/>
      </c>
      <c r="G21" s="111">
        <f ca="1">_xlfn.XLOOKUP($B21,'Modelled Costs'!$A$5:$A$15,'Modelled Costs'!$N$5:$N$15)</f>
        <v>41.841575342465759</v>
      </c>
      <c r="H21" s="111"/>
      <c r="I21" s="109">
        <f t="shared" ca="1" si="0"/>
        <v>41.841575342465759</v>
      </c>
      <c r="J21" s="166"/>
      <c r="K21" s="99"/>
    </row>
    <row r="22" spans="1:11">
      <c r="A22" s="11">
        <v>9</v>
      </c>
      <c r="B22" s="10" t="s">
        <v>104</v>
      </c>
      <c r="C22" s="117">
        <f ca="1">_xlfn.XLOOKUP($B22,'Materiality &amp; shallow dive'!$B$7:$B$17,'Materiality &amp; shallow dive'!$D$7:$D$17)</f>
        <v>84.834619803113227</v>
      </c>
      <c r="D22" s="108">
        <f ca="1">(_xlfn.XLOOKUP($B22,'Materiality &amp; shallow dive'!$B$7:$B$17,'Materiality &amp; shallow dive'!$E$7:$E$17)-_xlfn.XLOOKUP($B22,'Materiality &amp; shallow dive'!$B$7:$B$17,'Materiality &amp; shallow dive'!$D$7:$D$17))</f>
        <v>-0.50818765385247389</v>
      </c>
      <c r="E22" s="109">
        <f ca="1">_xlfn.XLOOKUP($B22,'Materiality &amp; shallow dive'!$B$7:$B$17,'Materiality &amp; shallow dive'!$E$7:$E$17)</f>
        <v>84.326432149260754</v>
      </c>
      <c r="F22" s="110" t="str">
        <f ca="1">IFERROR(_xlfn.XLOOKUP($B22,'Materiality &amp; shallow dive'!$B$7:$B$17,'Materiality &amp; shallow dive'!$I$7:$I$17),"")</f>
        <v/>
      </c>
      <c r="G22" s="111">
        <f ca="1">_xlfn.XLOOKUP($B22,'Modelled Costs'!$A$5:$A$15,'Modelled Costs'!$N$5:$N$15)</f>
        <v>84.349417808219187</v>
      </c>
      <c r="H22" s="111"/>
      <c r="I22" s="109">
        <f t="shared" ca="1" si="0"/>
        <v>84.349417808219187</v>
      </c>
      <c r="J22" s="166"/>
      <c r="K22" s="99"/>
    </row>
    <row r="23" spans="1:11">
      <c r="A23" s="11">
        <v>10</v>
      </c>
      <c r="B23" s="10" t="s">
        <v>105</v>
      </c>
      <c r="C23" s="117">
        <f ca="1">_xlfn.XLOOKUP($B23,'Materiality &amp; shallow dive'!$B$7:$B$17,'Materiality &amp; shallow dive'!$D$7:$D$17)</f>
        <v>62.595305999999994</v>
      </c>
      <c r="D23" s="108">
        <f ca="1">(_xlfn.XLOOKUP($B23,'Materiality &amp; shallow dive'!$B$7:$B$17,'Materiality &amp; shallow dive'!$E$7:$E$17)-_xlfn.XLOOKUP($B23,'Materiality &amp; shallow dive'!$B$7:$B$17,'Materiality &amp; shallow dive'!$D$7:$D$17))</f>
        <v>0</v>
      </c>
      <c r="E23" s="109">
        <f ca="1">_xlfn.XLOOKUP($B23,'Materiality &amp; shallow dive'!$B$7:$B$17,'Materiality &amp; shallow dive'!$E$7:$E$17)</f>
        <v>62.595305999999994</v>
      </c>
      <c r="F23" s="110" t="str">
        <f ca="1">IFERROR(_xlfn.XLOOKUP($B23,'Materiality &amp; shallow dive'!$B$7:$B$17,'Materiality &amp; shallow dive'!$I$7:$I$17),"")</f>
        <v/>
      </c>
      <c r="G23" s="111">
        <f ca="1">_xlfn.XLOOKUP($B23,'Modelled Costs'!$A$5:$A$15,'Modelled Costs'!$N$5:$N$15)</f>
        <v>62.6291095890411</v>
      </c>
      <c r="H23" s="111"/>
      <c r="I23" s="109">
        <f t="shared" ca="1" si="0"/>
        <v>62.6291095890411</v>
      </c>
      <c r="J23" s="166"/>
      <c r="K23" s="99"/>
    </row>
    <row r="24" spans="1:11">
      <c r="A24" s="11">
        <v>11</v>
      </c>
      <c r="B24" s="10" t="s">
        <v>106</v>
      </c>
      <c r="C24" s="117">
        <f ca="1">_xlfn.XLOOKUP($B24,'Materiality &amp; shallow dive'!$B$7:$B$17,'Materiality &amp; shallow dive'!$D$7:$D$17)</f>
        <v>97.493692799999991</v>
      </c>
      <c r="D24" s="108">
        <f ca="1">(_xlfn.XLOOKUP($B24,'Materiality &amp; shallow dive'!$B$7:$B$17,'Materiality &amp; shallow dive'!$E$7:$E$17)-_xlfn.XLOOKUP($B24,'Materiality &amp; shallow dive'!$B$7:$B$17,'Materiality &amp; shallow dive'!$D$7:$D$17))</f>
        <v>0</v>
      </c>
      <c r="E24" s="109">
        <f ca="1">_xlfn.XLOOKUP($B24,'Materiality &amp; shallow dive'!$B$7:$B$17,'Materiality &amp; shallow dive'!$E$7:$E$17)</f>
        <v>97.493692799999991</v>
      </c>
      <c r="F24" s="110" t="str">
        <f ca="1">IFERROR(_xlfn.XLOOKUP($B24,'Materiality &amp; shallow dive'!$B$7:$B$17,'Materiality &amp; shallow dive'!$I$7:$I$17),"")</f>
        <v/>
      </c>
      <c r="G24" s="111">
        <f ca="1">_xlfn.XLOOKUP($B24,'Modelled Costs'!$A$5:$A$15,'Modelled Costs'!$N$5:$N$15)</f>
        <v>98.074520547945212</v>
      </c>
      <c r="H24" s="111"/>
      <c r="I24" s="109">
        <f t="shared" ca="1" si="0"/>
        <v>98.074520547945212</v>
      </c>
      <c r="J24" s="166"/>
      <c r="K24" s="99"/>
    </row>
    <row r="25" spans="1:11">
      <c r="A25" s="3"/>
      <c r="B25" s="12" t="s">
        <v>111</v>
      </c>
      <c r="C25" s="112">
        <f ca="1">SUM(C14:C24)</f>
        <v>669.17678205231482</v>
      </c>
      <c r="D25" s="112">
        <f t="shared" ref="D25" ca="1" si="1">SUM(D14:D24)</f>
        <v>-0.50818765385247389</v>
      </c>
      <c r="E25" s="112">
        <f ca="1">SUM(E14:E24)</f>
        <v>668.66859439846235</v>
      </c>
      <c r="F25" s="112">
        <f ca="1">SUM(F14:F24)</f>
        <v>6.0719999999999992</v>
      </c>
      <c r="G25" s="112">
        <f ca="1">SUM(G14:G24)</f>
        <v>644.94657534246585</v>
      </c>
      <c r="H25" s="112">
        <f>SUM(H14:H24)</f>
        <v>0</v>
      </c>
      <c r="I25" s="112">
        <f ca="1">SUM(I14:I24)</f>
        <v>651.01857534246585</v>
      </c>
      <c r="J25" s="156"/>
    </row>
    <row r="28" spans="1:11">
      <c r="G28" s="28"/>
    </row>
  </sheetData>
  <mergeCells count="3">
    <mergeCell ref="A3:K3"/>
    <mergeCell ref="C5:D5"/>
    <mergeCell ref="C6:D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829DB-4359-48D1-8679-7A7B7F5D604B}">
  <sheetPr codeName="Sheet32">
    <tabColor rgb="FF98C561"/>
  </sheetPr>
  <dimension ref="A1:AF54"/>
  <sheetViews>
    <sheetView showGridLines="0" zoomScale="80" zoomScaleNormal="80" workbookViewId="0">
      <selection sqref="A1:AF1"/>
    </sheetView>
  </sheetViews>
  <sheetFormatPr defaultRowHeight="12.75"/>
  <cols>
    <col min="3" max="7" width="17.42578125" customWidth="1"/>
    <col min="8" max="12" width="9.28515625" bestFit="1" customWidth="1"/>
    <col min="16" max="16" width="11.85546875" customWidth="1"/>
    <col min="17" max="20" width="9.28515625" bestFit="1" customWidth="1"/>
    <col min="21" max="25" width="9.5703125" bestFit="1" customWidth="1"/>
    <col min="26" max="26" width="10" bestFit="1" customWidth="1"/>
  </cols>
  <sheetData>
    <row r="1" spans="1:32" s="2" customFormat="1" ht="31.5">
      <c r="A1" s="224" t="str">
        <f ca="1" xml:space="preserve"> RIGHT(CELL("filename", $A$1), LEN(CELL("filename", $A$1)) - SEARCH("]", CELL("filename", $A$1)))</f>
        <v>Outputs to aggregator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</row>
    <row r="3" spans="1:32" ht="18.75">
      <c r="A3" s="222" t="s">
        <v>253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</row>
    <row r="4" spans="1:3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2"/>
      <c r="B5" s="100" t="s">
        <v>254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100" t="s">
        <v>255</v>
      </c>
      <c r="P5" s="2"/>
      <c r="Q5" s="126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51">
      <c r="A6" s="2"/>
      <c r="B6" s="13" t="s">
        <v>52</v>
      </c>
      <c r="C6" s="21" t="s">
        <v>256</v>
      </c>
      <c r="D6" s="21" t="s">
        <v>257</v>
      </c>
      <c r="E6" s="21" t="s">
        <v>258</v>
      </c>
      <c r="F6" s="21" t="s">
        <v>259</v>
      </c>
      <c r="G6" s="21" t="s">
        <v>260</v>
      </c>
      <c r="H6" s="21" t="s">
        <v>261</v>
      </c>
      <c r="I6" s="21" t="s">
        <v>262</v>
      </c>
      <c r="J6" s="21" t="s">
        <v>263</v>
      </c>
      <c r="K6" s="31" t="s">
        <v>264</v>
      </c>
      <c r="L6" s="13" t="s">
        <v>111</v>
      </c>
      <c r="M6" s="2"/>
      <c r="N6" s="2"/>
      <c r="O6" s="21" t="s">
        <v>52</v>
      </c>
      <c r="P6" s="21" t="s">
        <v>265</v>
      </c>
      <c r="Q6" s="21" t="s">
        <v>256</v>
      </c>
      <c r="R6" s="21" t="s">
        <v>257</v>
      </c>
      <c r="S6" s="21" t="s">
        <v>258</v>
      </c>
      <c r="T6" s="21" t="s">
        <v>259</v>
      </c>
      <c r="U6" s="21" t="s">
        <v>260</v>
      </c>
      <c r="V6" s="21" t="s">
        <v>261</v>
      </c>
      <c r="W6" s="21" t="s">
        <v>262</v>
      </c>
      <c r="X6" s="21" t="s">
        <v>263</v>
      </c>
      <c r="Y6" s="21" t="s">
        <v>264</v>
      </c>
      <c r="Z6" s="21" t="s">
        <v>111</v>
      </c>
      <c r="AA6" s="45" t="s">
        <v>266</v>
      </c>
      <c r="AB6" s="2"/>
      <c r="AC6" s="2"/>
      <c r="AD6" s="2"/>
      <c r="AE6" s="2"/>
      <c r="AF6" s="2"/>
    </row>
    <row r="7" spans="1:32">
      <c r="A7" s="2"/>
      <c r="B7" s="94" t="str">
        <f>Allowance!B14</f>
        <v>ANH</v>
      </c>
      <c r="C7" s="101">
        <f t="array" aca="1" ref="C7" ca="1">VLOOKUP($B7&amp;"|"&amp;'Consolidated Input'!$B$13,CHOOSE({1,2},Table1[Acronym]&amp;"|"&amp;Table1[BON code],Table1[2023-24]),2,FALSE)</f>
        <v>0</v>
      </c>
      <c r="D7" s="101">
        <f t="array" aca="1" ref="D7" ca="1">VLOOKUP($B7&amp;"|"&amp;'Consolidated Input'!$B$16,CHOOSE({1,2},Table1[Acronym]&amp;"|"&amp;Table1[BON code],Table1[2023-24]),2,FALSE)</f>
        <v>0</v>
      </c>
      <c r="E7" s="101">
        <f t="array" aca="1" ref="E7" ca="1">VLOOKUP($B7&amp;"|"&amp;'Consolidated Input'!$B$13,CHOOSE({1,2},Table1[Acronym]&amp;"|"&amp;Table1[BON code],Table1[2024-25]),2,FALSE)</f>
        <v>0</v>
      </c>
      <c r="F7" s="101">
        <f t="array" aca="1" ref="F7" ca="1">VLOOKUP($B7&amp;"|"&amp;'Consolidated Input'!$B$16,CHOOSE({1,2},Table1[Acronym]&amp;"|"&amp;Table1[BON code],Table1[2024-25]),2,FALSE)</f>
        <v>0</v>
      </c>
      <c r="G7" s="102">
        <f t="array" aca="1" ref="G7" ca="1">VLOOKUP($B7&amp;"|"&amp;'Consolidated Input'!$B$7,CHOOSE({1,2},Table1[Acronym]&amp;"|"&amp;Table1[BON code],Table1[2025-26]),2,FALSE)</f>
        <v>0.86799999999999999</v>
      </c>
      <c r="H7" s="103">
        <f t="array" aca="1" ref="H7" ca="1">VLOOKUP($B7&amp;"|"&amp;'Consolidated Input'!$B$7,CHOOSE({1,2},Table1[Acronym]&amp;"|"&amp;Table1[BON code],Table1[2026-27]),2,FALSE)</f>
        <v>17.742999999999999</v>
      </c>
      <c r="I7" s="103">
        <f t="array" aca="1" ref="I7" ca="1">VLOOKUP($B7&amp;"|"&amp;'Consolidated Input'!$B$7,CHOOSE({1,2},Table1[Acronym]&amp;"|"&amp;Table1[BON code],Table1[2027-28]),2,FALSE)</f>
        <v>19.117999999999999</v>
      </c>
      <c r="J7" s="103">
        <f t="array" aca="1" ref="J7" ca="1">VLOOKUP($B7&amp;"|"&amp;'Consolidated Input'!$B$7,CHOOSE({1,2},Table1[Acronym]&amp;"|"&amp;Table1[BON code],Table1[2028-29]),2,FALSE)</f>
        <v>19.623000000000001</v>
      </c>
      <c r="K7" s="103">
        <f t="array" aca="1" ref="K7" ca="1">VLOOKUP($B7&amp;"|"&amp;'Consolidated Input'!$B$7,CHOOSE({1,2},Table1[Acronym]&amp;"|"&amp;Table1[BON code],Table1[2029-30]),2,FALSE)</f>
        <v>20.468</v>
      </c>
      <c r="L7" s="104">
        <f ca="1">SUM(C7:K7)</f>
        <v>77.820000000000007</v>
      </c>
      <c r="M7" s="2"/>
      <c r="N7" s="2"/>
      <c r="O7" s="94" t="str">
        <f>B7</f>
        <v>ANH</v>
      </c>
      <c r="P7" s="104">
        <f ca="1">_xlfn.XLOOKUP(O7,'Modelled Costs'!$A$5:$A$15,'Modelled Costs'!$K$5:$K$15)</f>
        <v>77.820000000000007</v>
      </c>
      <c r="Q7" s="101">
        <f t="array" aca="1" ref="Q7" ca="1">VLOOKUP($B7&amp;"|"&amp;'Final Input'!$B$14,CHOOSE({1,2},Table3[Acronym]&amp;"|"&amp;Table3[BON code],Table3[2023-24]),2,FALSE)</f>
        <v>0</v>
      </c>
      <c r="R7" s="101">
        <f t="array" aca="1" ref="R7" ca="1">VLOOKUP($B7&amp;"|"&amp;'Final Input'!$B$17,CHOOSE({1,2},Table3[Acronym]&amp;"|"&amp;Table3[BON code],Table3[2023-24]),2,FALSE)</f>
        <v>0</v>
      </c>
      <c r="S7" s="101">
        <f t="array" aca="1" ref="S7" ca="1">VLOOKUP($B7&amp;"|"&amp;'Final Input'!$B$14,CHOOSE({1,2},Table3[Acronym]&amp;"|"&amp;Table3[BON code],Table3[2024-25]),2,FALSE)</f>
        <v>0</v>
      </c>
      <c r="T7" s="101">
        <f t="array" aca="1" ref="T7" ca="1">VLOOKUP($B7&amp;"|"&amp;'Final Input'!$B$17,CHOOSE({1,2},Table3[Acronym]&amp;"|"&amp;Table3[BON code],Table3[2024-25]),2,FALSE)</f>
        <v>0</v>
      </c>
      <c r="U7" s="103">
        <f t="array" aca="1" ref="U7" ca="1">VLOOKUP($B7&amp;"|"&amp;'Final Input'!$B$8,CHOOSE({1,2},Table3[Acronym]&amp;"|"&amp;Table3[BON code],Table3[2025-26]),2,FALSE)</f>
        <v>0</v>
      </c>
      <c r="V7" s="103">
        <f t="array" aca="1" ref="V7" ca="1">VLOOKUP($B7&amp;"|"&amp;'Final Input'!$B$8,CHOOSE({1,2},Table3[Acronym]&amp;"|"&amp;Table3[BON code],Table3[2026-27]),2,FALSE)</f>
        <v>117</v>
      </c>
      <c r="W7" s="103">
        <f t="array" aca="1" ref="W7" ca="1">VLOOKUP($B7&amp;"|"&amp;'Final Input'!$B$8,CHOOSE({1,2},Table3[Acronym]&amp;"|"&amp;Table3[BON code],Table3[2027-28]),2,FALSE)</f>
        <v>117</v>
      </c>
      <c r="X7" s="103">
        <f t="array" aca="1" ref="X7" ca="1">VLOOKUP($B7&amp;"|"&amp;'Final Input'!$B$8,CHOOSE({1,2},Table3[Acronym]&amp;"|"&amp;Table3[BON code],Table3[2028-29]),2,FALSE)</f>
        <v>175</v>
      </c>
      <c r="Y7" s="103">
        <f t="array" aca="1" ref="Y7" ca="1">VLOOKUP($B7&amp;"|"&amp;'Final Input'!$B$8,CHOOSE({1,2},Table3[Acronym]&amp;"|"&amp;Table3[BON code],Table3[2029-30]),2,FALSE)</f>
        <v>175</v>
      </c>
      <c r="Z7" s="104">
        <f ca="1">SUM(Q7:Y7)</f>
        <v>584</v>
      </c>
      <c r="AA7" s="94" t="str">
        <f ca="1">IF(P7=Z7,"reconciled", "check")</f>
        <v>check</v>
      </c>
      <c r="AB7" s="2"/>
      <c r="AC7" s="2"/>
      <c r="AD7" s="2"/>
      <c r="AE7" s="2"/>
      <c r="AF7" s="2"/>
    </row>
    <row r="8" spans="1:32">
      <c r="A8" s="2"/>
      <c r="B8" s="94" t="str">
        <f>Allowance!B15</f>
        <v>WSH</v>
      </c>
      <c r="C8" s="101">
        <f t="array" aca="1" ref="C8" ca="1">VLOOKUP($B8&amp;"|"&amp;'Consolidated Input'!$B$13,CHOOSE({1,2},Table1[Acronym]&amp;"|"&amp;Table1[BON code],Table1[2023-24]),2,FALSE)</f>
        <v>0</v>
      </c>
      <c r="D8" s="101">
        <f t="array" aca="1" ref="D8" ca="1">VLOOKUP($B8&amp;"|"&amp;'Consolidated Input'!$B$16,CHOOSE({1,2},Table1[Acronym]&amp;"|"&amp;Table1[BON code],Table1[2023-24]),2,FALSE)</f>
        <v>0</v>
      </c>
      <c r="E8" s="101">
        <f t="array" aca="1" ref="E8" ca="1">VLOOKUP($B8&amp;"|"&amp;'Consolidated Input'!$B$13,CHOOSE({1,2},Table1[Acronym]&amp;"|"&amp;Table1[BON code],Table1[2024-25]),2,FALSE)</f>
        <v>0</v>
      </c>
      <c r="F8" s="101">
        <f t="array" aca="1" ref="F8" ca="1">VLOOKUP($B8&amp;"|"&amp;'Consolidated Input'!$B$16,CHOOSE({1,2},Table1[Acronym]&amp;"|"&amp;Table1[BON code],Table1[2024-25]),2,FALSE)</f>
        <v>0</v>
      </c>
      <c r="G8" s="102">
        <f t="array" aca="1" ref="G8" ca="1">VLOOKUP($B8&amp;"|"&amp;'Consolidated Input'!$B$7,CHOOSE({1,2},Table1[Acronym]&amp;"|"&amp;Table1[BON code],Table1[2025-26]),2,FALSE)</f>
        <v>2.5059999999999998</v>
      </c>
      <c r="H8" s="103">
        <f t="array" aca="1" ref="H8" ca="1">VLOOKUP($B8&amp;"|"&amp;'Consolidated Input'!$B$7,CHOOSE({1,2},Table1[Acronym]&amp;"|"&amp;Table1[BON code],Table1[2026-27]),2,FALSE)</f>
        <v>2.6039999999999992</v>
      </c>
      <c r="I8" s="103">
        <f t="array" aca="1" ref="I8" ca="1">VLOOKUP($B8&amp;"|"&amp;'Consolidated Input'!$B$7,CHOOSE({1,2},Table1[Acronym]&amp;"|"&amp;Table1[BON code],Table1[2027-28]),2,FALSE)</f>
        <v>0.31900000000000012</v>
      </c>
      <c r="J8" s="103">
        <f t="array" aca="1" ref="J8" ca="1">VLOOKUP($B8&amp;"|"&amp;'Consolidated Input'!$B$7,CHOOSE({1,2},Table1[Acronym]&amp;"|"&amp;Table1[BON code],Table1[2028-29]),2,FALSE)</f>
        <v>0.32100000000000012</v>
      </c>
      <c r="K8" s="103">
        <f t="array" aca="1" ref="K8" ca="1">VLOOKUP($B8&amp;"|"&amp;'Consolidated Input'!$B$7,CHOOSE({1,2},Table1[Acronym]&amp;"|"&amp;Table1[BON code],Table1[2029-30]),2,FALSE)</f>
        <v>0.32200000000000012</v>
      </c>
      <c r="L8" s="104">
        <f t="shared" ref="L8:L18" ca="1" si="0">SUM(C8:K8)</f>
        <v>6.0719999999999992</v>
      </c>
      <c r="M8" s="2"/>
      <c r="N8" s="2"/>
      <c r="O8" s="94" t="str">
        <f t="shared" ref="O8:O18" si="1">B8</f>
        <v>WSH</v>
      </c>
      <c r="P8" s="104">
        <f ca="1">_xlfn.XLOOKUP(O8,'Modelled Costs'!$A$5:$A$15,'Modelled Costs'!$K$5:$K$15)</f>
        <v>6.0719999999999992</v>
      </c>
      <c r="Q8" s="101">
        <f t="array" aca="1" ref="Q8" ca="1">VLOOKUP($B8&amp;"|"&amp;'Final Input'!$B$14,CHOOSE({1,2},Table3[Acronym]&amp;"|"&amp;Table3[BON code],Table3[2023-24]),2,FALSE)</f>
        <v>0</v>
      </c>
      <c r="R8" s="101">
        <f t="array" aca="1" ref="R8" ca="1">VLOOKUP($B8&amp;"|"&amp;'Final Input'!$B$17,CHOOSE({1,2},Table3[Acronym]&amp;"|"&amp;Table3[BON code],Table3[2023-24]),2,FALSE)</f>
        <v>0</v>
      </c>
      <c r="S8" s="101">
        <f t="array" aca="1" ref="S8" ca="1">VLOOKUP($B8&amp;"|"&amp;'Final Input'!$B$14,CHOOSE({1,2},Table3[Acronym]&amp;"|"&amp;Table3[BON code],Table3[2024-25]),2,FALSE)</f>
        <v>0</v>
      </c>
      <c r="T8" s="101">
        <f t="array" aca="1" ref="T8" ca="1">VLOOKUP($B8&amp;"|"&amp;'Final Input'!$B$17,CHOOSE({1,2},Table3[Acronym]&amp;"|"&amp;Table3[BON code],Table3[2024-25]),2,FALSE)</f>
        <v>0</v>
      </c>
      <c r="U8" s="103">
        <f t="array" aca="1" ref="U8" ca="1">VLOOKUP($B8&amp;"|"&amp;'Final Input'!$B$8,CHOOSE({1,2},Table3[Acronym]&amp;"|"&amp;Table3[BON code],Table3[2025-26]),2,FALSE)</f>
        <v>14</v>
      </c>
      <c r="V8" s="103">
        <f t="array" aca="1" ref="V8" ca="1">VLOOKUP($B8&amp;"|"&amp;'Final Input'!$B$8,CHOOSE({1,2},Table3[Acronym]&amp;"|"&amp;Table3[BON code],Table3[2026-27]),2,FALSE)</f>
        <v>14</v>
      </c>
      <c r="W8" s="103">
        <f t="array" aca="1" ref="W8" ca="1">VLOOKUP($B8&amp;"|"&amp;'Final Input'!$B$8,CHOOSE({1,2},Table3[Acronym]&amp;"|"&amp;Table3[BON code],Table3[2027-28]),2,FALSE)</f>
        <v>0</v>
      </c>
      <c r="X8" s="103">
        <f t="array" aca="1" ref="X8" ca="1">VLOOKUP($B8&amp;"|"&amp;'Final Input'!$B$8,CHOOSE({1,2},Table3[Acronym]&amp;"|"&amp;Table3[BON code],Table3[2028-29]),2,FALSE)</f>
        <v>0</v>
      </c>
      <c r="Y8" s="103">
        <f t="array" aca="1" ref="Y8" ca="1">VLOOKUP($B8&amp;"|"&amp;'Final Input'!$B$8,CHOOSE({1,2},Table3[Acronym]&amp;"|"&amp;Table3[BON code],Table3[2029-30]),2,FALSE)</f>
        <v>0</v>
      </c>
      <c r="Z8" s="104">
        <f t="shared" ref="Z8:Z18" ca="1" si="2">SUM(Q8:Y8)</f>
        <v>28</v>
      </c>
      <c r="AA8" s="94" t="str">
        <f t="shared" ref="AA8:AA17" ca="1" si="3">IF(P8=Z8,"reconciled", "check")</f>
        <v>check</v>
      </c>
      <c r="AB8" s="2"/>
      <c r="AC8" s="2"/>
      <c r="AD8" s="2"/>
      <c r="AE8" s="2"/>
      <c r="AF8" s="2"/>
    </row>
    <row r="9" spans="1:32">
      <c r="A9" s="2"/>
      <c r="B9" s="94" t="str">
        <f>Allowance!B16</f>
        <v>HDD</v>
      </c>
      <c r="C9" s="101">
        <f t="array" aca="1" ref="C9" ca="1">VLOOKUP($B9&amp;"|"&amp;'Consolidated Input'!$B$13,CHOOSE({1,2},Table1[Acronym]&amp;"|"&amp;Table1[BON code],Table1[2023-24]),2,FALSE)</f>
        <v>0</v>
      </c>
      <c r="D9" s="101">
        <f t="array" aca="1" ref="D9" ca="1">VLOOKUP($B9&amp;"|"&amp;'Consolidated Input'!$B$16,CHOOSE({1,2},Table1[Acronym]&amp;"|"&amp;Table1[BON code],Table1[2023-24]),2,FALSE)</f>
        <v>0</v>
      </c>
      <c r="E9" s="101">
        <f t="array" aca="1" ref="E9" ca="1">VLOOKUP($B9&amp;"|"&amp;'Consolidated Input'!$B$13,CHOOSE({1,2},Table1[Acronym]&amp;"|"&amp;Table1[BON code],Table1[2024-25]),2,FALSE)</f>
        <v>0</v>
      </c>
      <c r="F9" s="101">
        <f t="array" aca="1" ref="F9" ca="1">VLOOKUP($B9&amp;"|"&amp;'Consolidated Input'!$B$16,CHOOSE({1,2},Table1[Acronym]&amp;"|"&amp;Table1[BON code],Table1[2024-25]),2,FALSE)</f>
        <v>0</v>
      </c>
      <c r="G9" s="102">
        <f t="array" aca="1" ref="G9" ca="1">VLOOKUP($B9&amp;"|"&amp;'Consolidated Input'!$B$7,CHOOSE({1,2},Table1[Acronym]&amp;"|"&amp;Table1[BON code],Table1[2025-26]),2,FALSE)</f>
        <v>0</v>
      </c>
      <c r="H9" s="103">
        <f t="array" aca="1" ref="H9" ca="1">VLOOKUP($B9&amp;"|"&amp;'Consolidated Input'!$B$7,CHOOSE({1,2},Table1[Acronym]&amp;"|"&amp;Table1[BON code],Table1[2026-27]),2,FALSE)</f>
        <v>0</v>
      </c>
      <c r="I9" s="103">
        <f t="array" aca="1" ref="I9" ca="1">VLOOKUP($B9&amp;"|"&amp;'Consolidated Input'!$B$7,CHOOSE({1,2},Table1[Acronym]&amp;"|"&amp;Table1[BON code],Table1[2027-28]),2,FALSE)</f>
        <v>0</v>
      </c>
      <c r="J9" s="103">
        <f t="array" aca="1" ref="J9" ca="1">VLOOKUP($B9&amp;"|"&amp;'Consolidated Input'!$B$7,CHOOSE({1,2},Table1[Acronym]&amp;"|"&amp;Table1[BON code],Table1[2028-29]),2,FALSE)</f>
        <v>0</v>
      </c>
      <c r="K9" s="103">
        <f t="array" aca="1" ref="K9" ca="1">VLOOKUP($B9&amp;"|"&amp;'Consolidated Input'!$B$7,CHOOSE({1,2},Table1[Acronym]&amp;"|"&amp;Table1[BON code],Table1[2029-30]),2,FALSE)</f>
        <v>0</v>
      </c>
      <c r="L9" s="104">
        <f t="shared" ca="1" si="0"/>
        <v>0</v>
      </c>
      <c r="M9" s="2"/>
      <c r="N9" s="2"/>
      <c r="O9" s="94" t="str">
        <f t="shared" si="1"/>
        <v>HDD</v>
      </c>
      <c r="P9" s="104">
        <f ca="1">_xlfn.XLOOKUP(O9,'Modelled Costs'!$A$5:$A$15,'Modelled Costs'!$K$5:$K$15)</f>
        <v>0</v>
      </c>
      <c r="Q9" s="101">
        <f t="array" aca="1" ref="Q9" ca="1">VLOOKUP($B9&amp;"|"&amp;'Final Input'!$B$14,CHOOSE({1,2},Table3[Acronym]&amp;"|"&amp;Table3[BON code],Table3[2023-24]),2,FALSE)</f>
        <v>0</v>
      </c>
      <c r="R9" s="101">
        <f t="array" aca="1" ref="R9" ca="1">VLOOKUP($B9&amp;"|"&amp;'Final Input'!$B$17,CHOOSE({1,2},Table3[Acronym]&amp;"|"&amp;Table3[BON code],Table3[2023-24]),2,FALSE)</f>
        <v>0</v>
      </c>
      <c r="S9" s="101">
        <f t="array" aca="1" ref="S9" ca="1">VLOOKUP($B9&amp;"|"&amp;'Final Input'!$B$14,CHOOSE({1,2},Table3[Acronym]&amp;"|"&amp;Table3[BON code],Table3[2024-25]),2,FALSE)</f>
        <v>0</v>
      </c>
      <c r="T9" s="101">
        <f t="array" aca="1" ref="T9" ca="1">VLOOKUP($B9&amp;"|"&amp;'Final Input'!$B$17,CHOOSE({1,2},Table3[Acronym]&amp;"|"&amp;Table3[BON code],Table3[2024-25]),2,FALSE)</f>
        <v>0</v>
      </c>
      <c r="U9" s="103">
        <f t="array" aca="1" ref="U9" ca="1">VLOOKUP($B9&amp;"|"&amp;'Final Input'!$B$8,CHOOSE({1,2},Table3[Acronym]&amp;"|"&amp;Table3[BON code],Table3[2025-26]),2,FALSE)</f>
        <v>0</v>
      </c>
      <c r="V9" s="103">
        <f t="array" aca="1" ref="V9" ca="1">VLOOKUP($B9&amp;"|"&amp;'Final Input'!$B$8,CHOOSE({1,2},Table3[Acronym]&amp;"|"&amp;Table3[BON code],Table3[2026-27]),2,FALSE)</f>
        <v>0</v>
      </c>
      <c r="W9" s="103">
        <f t="array" aca="1" ref="W9" ca="1">VLOOKUP($B9&amp;"|"&amp;'Final Input'!$B$8,CHOOSE({1,2},Table3[Acronym]&amp;"|"&amp;Table3[BON code],Table3[2027-28]),2,FALSE)</f>
        <v>0</v>
      </c>
      <c r="X9" s="103">
        <f t="array" aca="1" ref="X9" ca="1">VLOOKUP($B9&amp;"|"&amp;'Final Input'!$B$8,CHOOSE({1,2},Table3[Acronym]&amp;"|"&amp;Table3[BON code],Table3[2028-29]),2,FALSE)</f>
        <v>0</v>
      </c>
      <c r="Y9" s="103">
        <f t="array" aca="1" ref="Y9" ca="1">VLOOKUP($B9&amp;"|"&amp;'Final Input'!$B$8,CHOOSE({1,2},Table3[Acronym]&amp;"|"&amp;Table3[BON code],Table3[2029-30]),2,FALSE)</f>
        <v>0</v>
      </c>
      <c r="Z9" s="104">
        <f t="shared" ca="1" si="2"/>
        <v>0</v>
      </c>
      <c r="AA9" s="94" t="str">
        <f t="shared" ca="1" si="3"/>
        <v>reconciled</v>
      </c>
      <c r="AB9" s="2"/>
      <c r="AC9" s="2"/>
      <c r="AD9" s="2"/>
      <c r="AE9" s="2"/>
      <c r="AF9" s="2"/>
    </row>
    <row r="10" spans="1:32">
      <c r="A10" s="2"/>
      <c r="B10" s="94" t="str">
        <f>Allowance!B17</f>
        <v>NES</v>
      </c>
      <c r="C10" s="101">
        <f t="array" aca="1" ref="C10" ca="1">VLOOKUP($B10&amp;"|"&amp;'Consolidated Input'!$B$13,CHOOSE({1,2},Table1[Acronym]&amp;"|"&amp;Table1[BON code],Table1[2023-24]),2,FALSE)</f>
        <v>0</v>
      </c>
      <c r="D10" s="101">
        <f t="array" aca="1" ref="D10" ca="1">VLOOKUP($B10&amp;"|"&amp;'Consolidated Input'!$B$16,CHOOSE({1,2},Table1[Acronym]&amp;"|"&amp;Table1[BON code],Table1[2023-24]),2,FALSE)</f>
        <v>0</v>
      </c>
      <c r="E10" s="101">
        <f t="array" aca="1" ref="E10" ca="1">VLOOKUP($B10&amp;"|"&amp;'Consolidated Input'!$B$13,CHOOSE({1,2},Table1[Acronym]&amp;"|"&amp;Table1[BON code],Table1[2024-25]),2,FALSE)</f>
        <v>0</v>
      </c>
      <c r="F10" s="101">
        <f t="array" aca="1" ref="F10" ca="1">VLOOKUP($B10&amp;"|"&amp;'Consolidated Input'!$B$16,CHOOSE({1,2},Table1[Acronym]&amp;"|"&amp;Table1[BON code],Table1[2024-25]),2,FALSE)</f>
        <v>0</v>
      </c>
      <c r="G10" s="102">
        <f t="array" aca="1" ref="G10" ca="1">VLOOKUP($B10&amp;"|"&amp;'Consolidated Input'!$B$7,CHOOSE({1,2},Table1[Acronym]&amp;"|"&amp;Table1[BON code],Table1[2025-26]),2,FALSE)</f>
        <v>2.718</v>
      </c>
      <c r="H10" s="103">
        <f t="array" aca="1" ref="H10" ca="1">VLOOKUP($B10&amp;"|"&amp;'Consolidated Input'!$B$7,CHOOSE({1,2},Table1[Acronym]&amp;"|"&amp;Table1[BON code],Table1[2026-27]),2,FALSE)</f>
        <v>12.323</v>
      </c>
      <c r="I10" s="103">
        <f t="array" aca="1" ref="I10" ca="1">VLOOKUP($B10&amp;"|"&amp;'Consolidated Input'!$B$7,CHOOSE({1,2},Table1[Acronym]&amp;"|"&amp;Table1[BON code],Table1[2027-28]),2,FALSE)</f>
        <v>12.978</v>
      </c>
      <c r="J10" s="103">
        <f t="array" aca="1" ref="J10" ca="1">VLOOKUP($B10&amp;"|"&amp;'Consolidated Input'!$B$7,CHOOSE({1,2},Table1[Acronym]&amp;"|"&amp;Table1[BON code],Table1[2028-29]),2,FALSE)</f>
        <v>13.387</v>
      </c>
      <c r="K10" s="103">
        <f t="array" aca="1" ref="K10" ca="1">VLOOKUP($B10&amp;"|"&amp;'Consolidated Input'!$B$7,CHOOSE({1,2},Table1[Acronym]&amp;"|"&amp;Table1[BON code],Table1[2029-30]),2,FALSE)</f>
        <v>14.042</v>
      </c>
      <c r="L10" s="104">
        <f t="shared" ca="1" si="0"/>
        <v>55.448</v>
      </c>
      <c r="M10" s="2"/>
      <c r="N10" s="2"/>
      <c r="O10" s="94" t="str">
        <f t="shared" si="1"/>
        <v>NES</v>
      </c>
      <c r="P10" s="104">
        <f ca="1">_xlfn.XLOOKUP(O10,'Modelled Costs'!$A$5:$A$15,'Modelled Costs'!$K$5:$K$15)</f>
        <v>55.448</v>
      </c>
      <c r="Q10" s="101">
        <f t="array" aca="1" ref="Q10" ca="1">VLOOKUP($B10&amp;"|"&amp;'Final Input'!$B$14,CHOOSE({1,2},Table3[Acronym]&amp;"|"&amp;Table3[BON code],Table3[2023-24]),2,FALSE)</f>
        <v>0</v>
      </c>
      <c r="R10" s="101">
        <f t="array" aca="1" ref="R10" ca="1">VLOOKUP($B10&amp;"|"&amp;'Final Input'!$B$17,CHOOSE({1,2},Table3[Acronym]&amp;"|"&amp;Table3[BON code],Table3[2023-24]),2,FALSE)</f>
        <v>0</v>
      </c>
      <c r="S10" s="101">
        <f t="array" aca="1" ref="S10" ca="1">VLOOKUP($B10&amp;"|"&amp;'Final Input'!$B$14,CHOOSE({1,2},Table3[Acronym]&amp;"|"&amp;Table3[BON code],Table3[2024-25]),2,FALSE)</f>
        <v>0</v>
      </c>
      <c r="T10" s="101">
        <f t="array" aca="1" ref="T10" ca="1">VLOOKUP($B10&amp;"|"&amp;'Final Input'!$B$17,CHOOSE({1,2},Table3[Acronym]&amp;"|"&amp;Table3[BON code],Table3[2024-25]),2,FALSE)</f>
        <v>0</v>
      </c>
      <c r="U10" s="103">
        <f t="array" aca="1" ref="U10" ca="1">VLOOKUP($B10&amp;"|"&amp;'Final Input'!$B$8,CHOOSE({1,2},Table3[Acronym]&amp;"|"&amp;Table3[BON code],Table3[2025-26]),2,FALSE)</f>
        <v>0</v>
      </c>
      <c r="V10" s="103">
        <f t="array" aca="1" ref="V10" ca="1">VLOOKUP($B10&amp;"|"&amp;'Final Input'!$B$8,CHOOSE({1,2},Table3[Acronym]&amp;"|"&amp;Table3[BON code],Table3[2026-27]),2,FALSE)</f>
        <v>97</v>
      </c>
      <c r="W10" s="103">
        <f t="array" aca="1" ref="W10" ca="1">VLOOKUP($B10&amp;"|"&amp;'Final Input'!$B$8,CHOOSE({1,2},Table3[Acronym]&amp;"|"&amp;Table3[BON code],Table3[2027-28]),2,FALSE)</f>
        <v>98</v>
      </c>
      <c r="X10" s="103">
        <f t="array" aca="1" ref="X10" ca="1">VLOOKUP($B10&amp;"|"&amp;'Final Input'!$B$8,CHOOSE({1,2},Table3[Acronym]&amp;"|"&amp;Table3[BON code],Table3[2028-29]),2,FALSE)</f>
        <v>97</v>
      </c>
      <c r="Y10" s="103">
        <f t="array" aca="1" ref="Y10" ca="1">VLOOKUP($B10&amp;"|"&amp;'Final Input'!$B$8,CHOOSE({1,2},Table3[Acronym]&amp;"|"&amp;Table3[BON code],Table3[2029-30]),2,FALSE)</f>
        <v>98</v>
      </c>
      <c r="Z10" s="104">
        <f t="shared" ca="1" si="2"/>
        <v>390</v>
      </c>
      <c r="AA10" s="94" t="str">
        <f t="shared" ca="1" si="3"/>
        <v>check</v>
      </c>
      <c r="AB10" s="2"/>
      <c r="AC10" s="2"/>
      <c r="AD10" s="2"/>
      <c r="AE10" s="2"/>
      <c r="AF10" s="2"/>
    </row>
    <row r="11" spans="1:32">
      <c r="A11" s="2"/>
      <c r="B11" s="94" t="str">
        <f>Allowance!B18</f>
        <v>SVE</v>
      </c>
      <c r="C11" s="101">
        <f t="array" aca="1" ref="C11" ca="1">VLOOKUP($B11&amp;"|"&amp;'Consolidated Input'!$B$13,CHOOSE({1,2},Table1[Acronym]&amp;"|"&amp;Table1[BON code],Table1[2023-24]),2,FALSE)</f>
        <v>0</v>
      </c>
      <c r="D11" s="101">
        <f t="array" aca="1" ref="D11" ca="1">VLOOKUP($B11&amp;"|"&amp;'Consolidated Input'!$B$16,CHOOSE({1,2},Table1[Acronym]&amp;"|"&amp;Table1[BON code],Table1[2023-24]),2,FALSE)</f>
        <v>0</v>
      </c>
      <c r="E11" s="101">
        <f t="array" aca="1" ref="E11" ca="1">VLOOKUP($B11&amp;"|"&amp;'Consolidated Input'!$B$13,CHOOSE({1,2},Table1[Acronym]&amp;"|"&amp;Table1[BON code],Table1[2024-25]),2,FALSE)</f>
        <v>0.7524168125794064</v>
      </c>
      <c r="F11" s="101">
        <f t="array" aca="1" ref="F11" ca="1">VLOOKUP($B11&amp;"|"&amp;'Consolidated Input'!$B$16,CHOOSE({1,2},Table1[Acronym]&amp;"|"&amp;Table1[BON code],Table1[2024-25]),2,FALSE)</f>
        <v>0</v>
      </c>
      <c r="G11" s="102">
        <f t="array" aca="1" ref="G11" ca="1">VLOOKUP($B11&amp;"|"&amp;'Consolidated Input'!$B$7,CHOOSE({1,2},Table1[Acronym]&amp;"|"&amp;Table1[BON code],Table1[2025-26]),2,FALSE)</f>
        <v>9.5366632622977665</v>
      </c>
      <c r="H11" s="103">
        <f t="array" aca="1" ref="H11" ca="1">VLOOKUP($B11&amp;"|"&amp;'Consolidated Input'!$B$7,CHOOSE({1,2},Table1[Acronym]&amp;"|"&amp;Table1[BON code],Table1[2026-27]),2,FALSE)</f>
        <v>26.538144298272439</v>
      </c>
      <c r="I11" s="103">
        <f t="array" aca="1" ref="I11" ca="1">VLOOKUP($B11&amp;"|"&amp;'Consolidated Input'!$B$7,CHOOSE({1,2},Table1[Acronym]&amp;"|"&amp;Table1[BON code],Table1[2027-28]),2,FALSE)</f>
        <v>29.62432710420288</v>
      </c>
      <c r="J11" s="103">
        <f t="array" aca="1" ref="J11" ca="1">VLOOKUP($B11&amp;"|"&amp;'Consolidated Input'!$B$7,CHOOSE({1,2},Table1[Acronym]&amp;"|"&amp;Table1[BON code],Table1[2028-29]),2,FALSE)</f>
        <v>32.589070209772828</v>
      </c>
      <c r="K11" s="103">
        <f t="array" aca="1" ref="K11" ca="1">VLOOKUP($B11&amp;"|"&amp;'Consolidated Input'!$B$7,CHOOSE({1,2},Table1[Acronym]&amp;"|"&amp;Table1[BON code],Table1[2029-30]),2,FALSE)</f>
        <v>35.306541762076343</v>
      </c>
      <c r="L11" s="104">
        <f t="shared" ca="1" si="0"/>
        <v>134.34716344920167</v>
      </c>
      <c r="M11" s="2"/>
      <c r="N11" s="2"/>
      <c r="O11" s="94" t="str">
        <f t="shared" si="1"/>
        <v>SVE</v>
      </c>
      <c r="P11" s="104">
        <f ca="1">_xlfn.XLOOKUP(O11,'Modelled Costs'!$A$5:$A$15,'Modelled Costs'!$K$5:$K$15)</f>
        <v>134.34716344920167</v>
      </c>
      <c r="Q11" s="101">
        <f t="array" aca="1" ref="Q11" ca="1">VLOOKUP($B11&amp;"|"&amp;'Final Input'!$B$14,CHOOSE({1,2},Table3[Acronym]&amp;"|"&amp;Table3[BON code],Table3[2023-24]),2,FALSE)</f>
        <v>0</v>
      </c>
      <c r="R11" s="101">
        <f t="array" aca="1" ref="R11" ca="1">VLOOKUP($B11&amp;"|"&amp;'Final Input'!$B$17,CHOOSE({1,2},Table3[Acronym]&amp;"|"&amp;Table3[BON code],Table3[2023-24]),2,FALSE)</f>
        <v>0</v>
      </c>
      <c r="S11" s="101">
        <f t="array" aca="1" ref="S11" ca="1">VLOOKUP($B11&amp;"|"&amp;'Final Input'!$B$14,CHOOSE({1,2},Table3[Acronym]&amp;"|"&amp;Table3[BON code],Table3[2024-25]),2,FALSE)</f>
        <v>0</v>
      </c>
      <c r="T11" s="101">
        <f t="array" aca="1" ref="T11" ca="1">VLOOKUP($B11&amp;"|"&amp;'Final Input'!$B$17,CHOOSE({1,2},Table3[Acronym]&amp;"|"&amp;Table3[BON code],Table3[2024-25]),2,FALSE)</f>
        <v>0</v>
      </c>
      <c r="U11" s="103">
        <f t="array" aca="1" ref="U11" ca="1">VLOOKUP($B11&amp;"|"&amp;'Final Input'!$B$8,CHOOSE({1,2},Table3[Acronym]&amp;"|"&amp;Table3[BON code],Table3[2025-26]),2,FALSE)</f>
        <v>0</v>
      </c>
      <c r="V11" s="103">
        <f t="array" aca="1" ref="V11" ca="1">VLOOKUP($B11&amp;"|"&amp;'Final Input'!$B$8,CHOOSE({1,2},Table3[Acronym]&amp;"|"&amp;Table3[BON code],Table3[2026-27]),2,FALSE)</f>
        <v>250</v>
      </c>
      <c r="W11" s="103">
        <f t="array" aca="1" ref="W11" ca="1">VLOOKUP($B11&amp;"|"&amp;'Final Input'!$B$8,CHOOSE({1,2},Table3[Acronym]&amp;"|"&amp;Table3[BON code],Table3[2027-28]),2,FALSE)</f>
        <v>250</v>
      </c>
      <c r="X11" s="103">
        <f t="array" aca="1" ref="X11" ca="1">VLOOKUP($B11&amp;"|"&amp;'Final Input'!$B$8,CHOOSE({1,2},Table3[Acronym]&amp;"|"&amp;Table3[BON code],Table3[2028-29]),2,FALSE)</f>
        <v>250</v>
      </c>
      <c r="Y11" s="103">
        <f t="array" aca="1" ref="Y11" ca="1">VLOOKUP($B11&amp;"|"&amp;'Final Input'!$B$8,CHOOSE({1,2},Table3[Acronym]&amp;"|"&amp;Table3[BON code],Table3[2029-30]),2,FALSE)</f>
        <v>250</v>
      </c>
      <c r="Z11" s="104">
        <f t="shared" ca="1" si="2"/>
        <v>1000</v>
      </c>
      <c r="AA11" s="94" t="str">
        <f t="shared" ca="1" si="3"/>
        <v>check</v>
      </c>
      <c r="AB11" s="2"/>
      <c r="AC11" s="2"/>
      <c r="AD11" s="2"/>
      <c r="AE11" s="2"/>
      <c r="AF11" s="2"/>
    </row>
    <row r="12" spans="1:32">
      <c r="A12" s="2"/>
      <c r="B12" s="94" t="str">
        <f>Allowance!B19</f>
        <v>SWB</v>
      </c>
      <c r="C12" s="101">
        <f t="array" aca="1" ref="C12" ca="1">VLOOKUP($B12&amp;"|"&amp;'Consolidated Input'!$B$13,CHOOSE({1,2},Table1[Acronym]&amp;"|"&amp;Table1[BON code],Table1[2023-24]),2,FALSE)</f>
        <v>0</v>
      </c>
      <c r="D12" s="101">
        <f t="array" aca="1" ref="D12" ca="1">VLOOKUP($B12&amp;"|"&amp;'Consolidated Input'!$B$16,CHOOSE({1,2},Table1[Acronym]&amp;"|"&amp;Table1[BON code],Table1[2023-24]),2,FALSE)</f>
        <v>0</v>
      </c>
      <c r="E12" s="101">
        <f t="array" aca="1" ref="E12" ca="1">VLOOKUP($B12&amp;"|"&amp;'Consolidated Input'!$B$13,CHOOSE({1,2},Table1[Acronym]&amp;"|"&amp;Table1[BON code],Table1[2024-25]),2,FALSE)</f>
        <v>0</v>
      </c>
      <c r="F12" s="101">
        <f t="array" aca="1" ref="F12" ca="1">VLOOKUP($B12&amp;"|"&amp;'Consolidated Input'!$B$16,CHOOSE({1,2},Table1[Acronym]&amp;"|"&amp;Table1[BON code],Table1[2024-25]),2,FALSE)</f>
        <v>0</v>
      </c>
      <c r="G12" s="102">
        <f t="array" aca="1" ref="G12" ca="1">VLOOKUP($B12&amp;"|"&amp;'Consolidated Input'!$B$7,CHOOSE({1,2},Table1[Acronym]&amp;"|"&amp;Table1[BON code],Table1[2025-26]),2,FALSE)</f>
        <v>9.282</v>
      </c>
      <c r="H12" s="103">
        <f t="array" aca="1" ref="H12" ca="1">VLOOKUP($B12&amp;"|"&amp;'Consolidated Input'!$B$7,CHOOSE({1,2},Table1[Acronym]&amp;"|"&amp;Table1[BON code],Table1[2026-27]),2,FALSE)</f>
        <v>10.082000000000001</v>
      </c>
      <c r="I12" s="103">
        <f t="array" aca="1" ref="I12" ca="1">VLOOKUP($B12&amp;"|"&amp;'Consolidated Input'!$B$7,CHOOSE({1,2},Table1[Acronym]&amp;"|"&amp;Table1[BON code],Table1[2027-28]),2,FALSE)</f>
        <v>10.882</v>
      </c>
      <c r="J12" s="103">
        <f t="array" aca="1" ref="J12" ca="1">VLOOKUP($B12&amp;"|"&amp;'Consolidated Input'!$B$7,CHOOSE({1,2},Table1[Acronym]&amp;"|"&amp;Table1[BON code],Table1[2028-29]),2,FALSE)</f>
        <v>11.693</v>
      </c>
      <c r="K12" s="103">
        <f t="array" aca="1" ref="K12" ca="1">VLOOKUP($B12&amp;"|"&amp;'Consolidated Input'!$B$7,CHOOSE({1,2},Table1[Acronym]&amp;"|"&amp;Table1[BON code],Table1[2029-30]),2,FALSE)</f>
        <v>12.494</v>
      </c>
      <c r="L12" s="104">
        <f t="shared" ca="1" si="0"/>
        <v>54.433</v>
      </c>
      <c r="M12" s="2"/>
      <c r="N12" s="2"/>
      <c r="O12" s="94" t="str">
        <f t="shared" si="1"/>
        <v>SWB</v>
      </c>
      <c r="P12" s="104">
        <f ca="1">_xlfn.XLOOKUP(O12,'Modelled Costs'!$A$5:$A$15,'Modelled Costs'!$K$5:$K$15)</f>
        <v>54.433</v>
      </c>
      <c r="Q12" s="101">
        <f t="array" aca="1" ref="Q12" ca="1">VLOOKUP($B12&amp;"|"&amp;'Final Input'!$B$14,CHOOSE({1,2},Table3[Acronym]&amp;"|"&amp;Table3[BON code],Table3[2023-24]),2,FALSE)</f>
        <v>0</v>
      </c>
      <c r="R12" s="101">
        <f t="array" aca="1" ref="R12" ca="1">VLOOKUP($B12&amp;"|"&amp;'Final Input'!$B$17,CHOOSE({1,2},Table3[Acronym]&amp;"|"&amp;Table3[BON code],Table3[2023-24]),2,FALSE)</f>
        <v>0</v>
      </c>
      <c r="S12" s="101">
        <f t="array" aca="1" ref="S12" ca="1">VLOOKUP($B12&amp;"|"&amp;'Final Input'!$B$14,CHOOSE({1,2},Table3[Acronym]&amp;"|"&amp;Table3[BON code],Table3[2024-25]),2,FALSE)</f>
        <v>0</v>
      </c>
      <c r="T12" s="101">
        <f t="array" aca="1" ref="T12" ca="1">VLOOKUP($B12&amp;"|"&amp;'Final Input'!$B$17,CHOOSE({1,2},Table3[Acronym]&amp;"|"&amp;Table3[BON code],Table3[2024-25]),2,FALSE)</f>
        <v>0</v>
      </c>
      <c r="U12" s="103">
        <f t="array" aca="1" ref="U12" ca="1">VLOOKUP($B12&amp;"|"&amp;'Final Input'!$B$8,CHOOSE({1,2},Table3[Acronym]&amp;"|"&amp;Table3[BON code],Table3[2025-26]),2,FALSE)</f>
        <v>82</v>
      </c>
      <c r="V12" s="103">
        <f t="array" aca="1" ref="V12" ca="1">VLOOKUP($B12&amp;"|"&amp;'Final Input'!$B$8,CHOOSE({1,2},Table3[Acronym]&amp;"|"&amp;Table3[BON code],Table3[2026-27]),2,FALSE)</f>
        <v>82</v>
      </c>
      <c r="W12" s="103">
        <f t="array" aca="1" ref="W12" ca="1">VLOOKUP($B12&amp;"|"&amp;'Final Input'!$B$8,CHOOSE({1,2},Table3[Acronym]&amp;"|"&amp;Table3[BON code],Table3[2027-28]),2,FALSE)</f>
        <v>82</v>
      </c>
      <c r="X12" s="103">
        <f t="array" aca="1" ref="X12" ca="1">VLOOKUP($B12&amp;"|"&amp;'Final Input'!$B$8,CHOOSE({1,2},Table3[Acronym]&amp;"|"&amp;Table3[BON code],Table3[2028-29]),2,FALSE)</f>
        <v>82</v>
      </c>
      <c r="Y12" s="103">
        <f t="array" aca="1" ref="Y12" ca="1">VLOOKUP($B12&amp;"|"&amp;'Final Input'!$B$8,CHOOSE({1,2},Table3[Acronym]&amp;"|"&amp;Table3[BON code],Table3[2029-30]),2,FALSE)</f>
        <v>81</v>
      </c>
      <c r="Z12" s="104">
        <f t="shared" ca="1" si="2"/>
        <v>409</v>
      </c>
      <c r="AA12" s="94" t="str">
        <f t="shared" ca="1" si="3"/>
        <v>check</v>
      </c>
      <c r="AB12" s="2"/>
      <c r="AC12" s="2"/>
      <c r="AD12" s="2"/>
      <c r="AE12" s="2"/>
      <c r="AF12" s="2"/>
    </row>
    <row r="13" spans="1:32">
      <c r="A13" s="2"/>
      <c r="B13" s="94" t="str">
        <f>Allowance!B20</f>
        <v>SRN</v>
      </c>
      <c r="C13" s="101">
        <f t="array" aca="1" ref="C13" ca="1">VLOOKUP($B13&amp;"|"&amp;'Consolidated Input'!$B$13,CHOOSE({1,2},Table1[Acronym]&amp;"|"&amp;Table1[BON code],Table1[2023-24]),2,FALSE)</f>
        <v>0</v>
      </c>
      <c r="D13" s="101">
        <f t="array" aca="1" ref="D13" ca="1">VLOOKUP($B13&amp;"|"&amp;'Consolidated Input'!$B$16,CHOOSE({1,2},Table1[Acronym]&amp;"|"&amp;Table1[BON code],Table1[2023-24]),2,FALSE)</f>
        <v>0</v>
      </c>
      <c r="E13" s="101">
        <f t="array" aca="1" ref="E13" ca="1">VLOOKUP($B13&amp;"|"&amp;'Consolidated Input'!$B$13,CHOOSE({1,2},Table1[Acronym]&amp;"|"&amp;Table1[BON code],Table1[2024-25]),2,FALSE)</f>
        <v>0</v>
      </c>
      <c r="F13" s="101">
        <f t="array" aca="1" ref="F13" ca="1">VLOOKUP($B13&amp;"|"&amp;'Consolidated Input'!$B$16,CHOOSE({1,2},Table1[Acronym]&amp;"|"&amp;Table1[BON code],Table1[2024-25]),2,FALSE)</f>
        <v>0</v>
      </c>
      <c r="G13" s="102">
        <f t="array" aca="1" ref="G13" ca="1">VLOOKUP($B13&amp;"|"&amp;'Consolidated Input'!$B$7,CHOOSE({1,2},Table1[Acronym]&amp;"|"&amp;Table1[BON code],Table1[2025-26]),2,FALSE)</f>
        <v>8.6729999999999983</v>
      </c>
      <c r="H13" s="103">
        <f t="array" aca="1" ref="H13" ca="1">VLOOKUP($B13&amp;"|"&amp;'Consolidated Input'!$B$7,CHOOSE({1,2},Table1[Acronym]&amp;"|"&amp;Table1[BON code],Table1[2026-27]),2,FALSE)</f>
        <v>9.9629999999999992</v>
      </c>
      <c r="I13" s="103">
        <f t="array" aca="1" ref="I13" ca="1">VLOOKUP($B13&amp;"|"&amp;'Consolidated Input'!$B$7,CHOOSE({1,2},Table1[Acronym]&amp;"|"&amp;Table1[BON code],Table1[2027-28]),2,FALSE)</f>
        <v>9.8889999999999993</v>
      </c>
      <c r="J13" s="103">
        <f t="array" aca="1" ref="J13" ca="1">VLOOKUP($B13&amp;"|"&amp;'Consolidated Input'!$B$7,CHOOSE({1,2},Table1[Acronym]&amp;"|"&amp;Table1[BON code],Table1[2028-29]),2,FALSE)</f>
        <v>10.321</v>
      </c>
      <c r="K13" s="103">
        <f t="array" aca="1" ref="K13" ca="1">VLOOKUP($B13&amp;"|"&amp;'Consolidated Input'!$B$7,CHOOSE({1,2},Table1[Acronym]&amp;"|"&amp;Table1[BON code],Table1[2029-30]),2,FALSE)</f>
        <v>4.3010000000000002</v>
      </c>
      <c r="L13" s="104">
        <f t="shared" ca="1" si="0"/>
        <v>43.146999999999998</v>
      </c>
      <c r="M13" s="2"/>
      <c r="N13" s="2"/>
      <c r="O13" s="94" t="str">
        <f t="shared" si="1"/>
        <v>SRN</v>
      </c>
      <c r="P13" s="104">
        <f ca="1">_xlfn.XLOOKUP(O13,'Modelled Costs'!$A$5:$A$15,'Modelled Costs'!$K$5:$K$15)</f>
        <v>43.146999999999998</v>
      </c>
      <c r="Q13" s="101">
        <f t="array" aca="1" ref="Q13" ca="1">VLOOKUP($B13&amp;"|"&amp;'Final Input'!$B$14,CHOOSE({1,2},Table3[Acronym]&amp;"|"&amp;Table3[BON code],Table3[2023-24]),2,FALSE)</f>
        <v>0</v>
      </c>
      <c r="R13" s="101">
        <f t="array" aca="1" ref="R13" ca="1">VLOOKUP($B13&amp;"|"&amp;'Final Input'!$B$17,CHOOSE({1,2},Table3[Acronym]&amp;"|"&amp;Table3[BON code],Table3[2023-24]),2,FALSE)</f>
        <v>0</v>
      </c>
      <c r="S13" s="101">
        <f t="array" aca="1" ref="S13" ca="1">VLOOKUP($B13&amp;"|"&amp;'Final Input'!$B$14,CHOOSE({1,2},Table3[Acronym]&amp;"|"&amp;Table3[BON code],Table3[2024-25]),2,FALSE)</f>
        <v>0</v>
      </c>
      <c r="T13" s="101">
        <f t="array" aca="1" ref="T13" ca="1">VLOOKUP($B13&amp;"|"&amp;'Final Input'!$B$17,CHOOSE({1,2},Table3[Acronym]&amp;"|"&amp;Table3[BON code],Table3[2024-25]),2,FALSE)</f>
        <v>0</v>
      </c>
      <c r="U13" s="103">
        <f t="array" aca="1" ref="U13" ca="1">VLOOKUP($B13&amp;"|"&amp;'Final Input'!$B$8,CHOOSE({1,2},Table3[Acronym]&amp;"|"&amp;Table3[BON code],Table3[2025-26]),2,FALSE)</f>
        <v>0</v>
      </c>
      <c r="V13" s="103">
        <f t="array" aca="1" ref="V13" ca="1">VLOOKUP($B13&amp;"|"&amp;'Final Input'!$B$8,CHOOSE({1,2},Table3[Acronym]&amp;"|"&amp;Table3[BON code],Table3[2026-27]),2,FALSE)</f>
        <v>0</v>
      </c>
      <c r="W13" s="103">
        <f t="array" aca="1" ref="W13" ca="1">VLOOKUP($B13&amp;"|"&amp;'Final Input'!$B$8,CHOOSE({1,2},Table3[Acronym]&amp;"|"&amp;Table3[BON code],Table3[2027-28]),2,FALSE)</f>
        <v>0</v>
      </c>
      <c r="X13" s="103">
        <f t="array" aca="1" ref="X13" ca="1">VLOOKUP($B13&amp;"|"&amp;'Final Input'!$B$8,CHOOSE({1,2},Table3[Acronym]&amp;"|"&amp;Table3[BON code],Table3[2028-29]),2,FALSE)</f>
        <v>0</v>
      </c>
      <c r="Y13" s="103">
        <f t="array" aca="1" ref="Y13" ca="1">VLOOKUP($B13&amp;"|"&amp;'Final Input'!$B$8,CHOOSE({1,2},Table3[Acronym]&amp;"|"&amp;Table3[BON code],Table3[2029-30]),2,FALSE)</f>
        <v>304</v>
      </c>
      <c r="Z13" s="104">
        <f t="shared" ca="1" si="2"/>
        <v>304</v>
      </c>
      <c r="AA13" s="94" t="str">
        <f t="shared" ca="1" si="3"/>
        <v>check</v>
      </c>
      <c r="AB13" s="2"/>
      <c r="AC13" s="2"/>
      <c r="AD13" s="2"/>
      <c r="AE13" s="2"/>
      <c r="AF13" s="2"/>
    </row>
    <row r="14" spans="1:32">
      <c r="A14" s="2"/>
      <c r="B14" s="94" t="str">
        <f>Allowance!B21</f>
        <v>TMS</v>
      </c>
      <c r="C14" s="101">
        <f t="array" aca="1" ref="C14" ca="1">VLOOKUP($B14&amp;"|"&amp;'Consolidated Input'!$B$13,CHOOSE({1,2},Table1[Acronym]&amp;"|"&amp;Table1[BON code],Table1[2023-24]),2,FALSE)</f>
        <v>0</v>
      </c>
      <c r="D14" s="101">
        <f t="array" aca="1" ref="D14" ca="1">VLOOKUP($B14&amp;"|"&amp;'Consolidated Input'!$B$16,CHOOSE({1,2},Table1[Acronym]&amp;"|"&amp;Table1[BON code],Table1[2023-24]),2,FALSE)</f>
        <v>0</v>
      </c>
      <c r="E14" s="101">
        <f t="array" aca="1" ref="E14" ca="1">VLOOKUP($B14&amp;"|"&amp;'Consolidated Input'!$B$13,CHOOSE({1,2},Table1[Acronym]&amp;"|"&amp;Table1[BON code],Table1[2024-25]),2,FALSE)</f>
        <v>0</v>
      </c>
      <c r="F14" s="101">
        <f t="array" aca="1" ref="F14" ca="1">VLOOKUP($B14&amp;"|"&amp;'Consolidated Input'!$B$16,CHOOSE({1,2},Table1[Acronym]&amp;"|"&amp;Table1[BON code],Table1[2024-25]),2,FALSE)</f>
        <v>0</v>
      </c>
      <c r="G14" s="102">
        <f t="array" aca="1" ref="G14" ca="1">VLOOKUP($B14&amp;"|"&amp;'Consolidated Input'!$B$7,CHOOSE({1,2},Table1[Acronym]&amp;"|"&amp;Table1[BON code],Table1[2025-26]),2,FALSE)</f>
        <v>16.802</v>
      </c>
      <c r="H14" s="103">
        <f t="array" aca="1" ref="H14" ca="1">VLOOKUP($B14&amp;"|"&amp;'Consolidated Input'!$B$7,CHOOSE({1,2},Table1[Acronym]&amp;"|"&amp;Table1[BON code],Table1[2026-27]),2,FALSE)</f>
        <v>18.088999999999999</v>
      </c>
      <c r="I14" s="103">
        <f t="array" aca="1" ref="I14" ca="1">VLOOKUP($B14&amp;"|"&amp;'Consolidated Input'!$B$7,CHOOSE({1,2},Table1[Acronym]&amp;"|"&amp;Table1[BON code],Table1[2027-28]),2,FALSE)</f>
        <v>6.0679999999999996</v>
      </c>
      <c r="J14" s="103">
        <f t="array" aca="1" ref="J14" ca="1">VLOOKUP($B14&amp;"|"&amp;'Consolidated Input'!$B$7,CHOOSE({1,2},Table1[Acronym]&amp;"|"&amp;Table1[BON code],Table1[2028-29]),2,FALSE)</f>
        <v>5.77</v>
      </c>
      <c r="K14" s="103">
        <f t="array" aca="1" ref="K14" ca="1">VLOOKUP($B14&amp;"|"&amp;'Consolidated Input'!$B$7,CHOOSE({1,2},Table1[Acronym]&amp;"|"&amp;Table1[BON code],Table1[2029-30]),2,FALSE)</f>
        <v>6.2569999999999997</v>
      </c>
      <c r="L14" s="104">
        <f t="shared" ca="1" si="0"/>
        <v>52.985999999999997</v>
      </c>
      <c r="M14" s="2"/>
      <c r="N14" s="2"/>
      <c r="O14" s="94" t="str">
        <f t="shared" si="1"/>
        <v>TMS</v>
      </c>
      <c r="P14" s="104">
        <f ca="1">_xlfn.XLOOKUP(O14,'Modelled Costs'!$A$5:$A$15,'Modelled Costs'!$K$5:$K$15)</f>
        <v>52.985999999999997</v>
      </c>
      <c r="Q14" s="101">
        <f t="array" aca="1" ref="Q14" ca="1">VLOOKUP($B14&amp;"|"&amp;'Final Input'!$B$14,CHOOSE({1,2},Table3[Acronym]&amp;"|"&amp;Table3[BON code],Table3[2023-24]),2,FALSE)</f>
        <v>0</v>
      </c>
      <c r="R14" s="101">
        <f t="array" aca="1" ref="R14" ca="1">VLOOKUP($B14&amp;"|"&amp;'Final Input'!$B$17,CHOOSE({1,2},Table3[Acronym]&amp;"|"&amp;Table3[BON code],Table3[2023-24]),2,FALSE)</f>
        <v>0</v>
      </c>
      <c r="S14" s="101">
        <f t="array" aca="1" ref="S14" ca="1">VLOOKUP($B14&amp;"|"&amp;'Final Input'!$B$14,CHOOSE({1,2},Table3[Acronym]&amp;"|"&amp;Table3[BON code],Table3[2024-25]),2,FALSE)</f>
        <v>0</v>
      </c>
      <c r="T14" s="101">
        <f t="array" aca="1" ref="T14" ca="1">VLOOKUP($B14&amp;"|"&amp;'Final Input'!$B$17,CHOOSE({1,2},Table3[Acronym]&amp;"|"&amp;Table3[BON code],Table3[2024-25]),2,FALSE)</f>
        <v>0</v>
      </c>
      <c r="U14" s="103">
        <f t="array" aca="1" ref="U14" ca="1">VLOOKUP($B14&amp;"|"&amp;'Final Input'!$B$8,CHOOSE({1,2},Table3[Acronym]&amp;"|"&amp;Table3[BON code],Table3[2025-26]),2,FALSE)</f>
        <v>63</v>
      </c>
      <c r="V14" s="103">
        <f t="array" aca="1" ref="V14" ca="1">VLOOKUP($B14&amp;"|"&amp;'Final Input'!$B$8,CHOOSE({1,2},Table3[Acronym]&amp;"|"&amp;Table3[BON code],Table3[2026-27]),2,FALSE)</f>
        <v>63</v>
      </c>
      <c r="W14" s="103">
        <f t="array" aca="1" ref="W14" ca="1">VLOOKUP($B14&amp;"|"&amp;'Final Input'!$B$8,CHOOSE({1,2},Table3[Acronym]&amp;"|"&amp;Table3[BON code],Table3[2027-28]),2,FALSE)</f>
        <v>63</v>
      </c>
      <c r="X14" s="103">
        <f t="array" aca="1" ref="X14" ca="1">VLOOKUP($B14&amp;"|"&amp;'Final Input'!$B$8,CHOOSE({1,2},Table3[Acronym]&amp;"|"&amp;Table3[BON code],Table3[2028-29]),2,FALSE)</f>
        <v>63</v>
      </c>
      <c r="Y14" s="103">
        <f t="array" aca="1" ref="Y14" ca="1">VLOOKUP($B14&amp;"|"&amp;'Final Input'!$B$8,CHOOSE({1,2},Table3[Acronym]&amp;"|"&amp;Table3[BON code],Table3[2029-30]),2,FALSE)</f>
        <v>62</v>
      </c>
      <c r="Z14" s="104">
        <f t="shared" ca="1" si="2"/>
        <v>314</v>
      </c>
      <c r="AA14" s="94" t="str">
        <f t="shared" ca="1" si="3"/>
        <v>check</v>
      </c>
      <c r="AB14" s="2"/>
      <c r="AC14" s="2"/>
      <c r="AD14" s="2"/>
      <c r="AE14" s="2"/>
      <c r="AF14" s="2"/>
    </row>
    <row r="15" spans="1:32">
      <c r="A15" s="2"/>
      <c r="B15" s="94" t="str">
        <f>Allowance!B22</f>
        <v>NWT</v>
      </c>
      <c r="C15" s="101">
        <f t="array" aca="1" ref="C15" ca="1">VLOOKUP($B15&amp;"|"&amp;'Consolidated Input'!$B$13,CHOOSE({1,2},Table1[Acronym]&amp;"|"&amp;Table1[BON code],Table1[2023-24]),2,FALSE)</f>
        <v>0</v>
      </c>
      <c r="D15" s="101">
        <f t="array" aca="1" ref="D15" ca="1">VLOOKUP($B15&amp;"|"&amp;'Consolidated Input'!$B$16,CHOOSE({1,2},Table1[Acronym]&amp;"|"&amp;Table1[BON code],Table1[2023-24]),2,FALSE)</f>
        <v>0</v>
      </c>
      <c r="E15" s="101">
        <f t="array" aca="1" ref="E15" ca="1">VLOOKUP($B15&amp;"|"&amp;'Consolidated Input'!$B$13,CHOOSE({1,2},Table1[Acronym]&amp;"|"&amp;Table1[BON code],Table1[2024-25]),2,FALSE)</f>
        <v>0</v>
      </c>
      <c r="F15" s="101">
        <f t="array" aca="1" ref="F15" ca="1">VLOOKUP($B15&amp;"|"&amp;'Consolidated Input'!$B$16,CHOOSE({1,2},Table1[Acronym]&amp;"|"&amp;Table1[BON code],Table1[2024-25]),2,FALSE)</f>
        <v>0</v>
      </c>
      <c r="G15" s="102">
        <f t="array" aca="1" ref="G15" ca="1">VLOOKUP($B15&amp;"|"&amp;'Consolidated Input'!$B$7,CHOOSE({1,2},Table1[Acronym]&amp;"|"&amp;Table1[BON code],Table1[2025-26]),2,FALSE)</f>
        <v>15.435637619025091</v>
      </c>
      <c r="H15" s="103">
        <f t="array" aca="1" ref="H15" ca="1">VLOOKUP($B15&amp;"|"&amp;'Consolidated Input'!$B$7,CHOOSE({1,2},Table1[Acronym]&amp;"|"&amp;Table1[BON code],Table1[2026-27]),2,FALSE)</f>
        <v>16.350592020793108</v>
      </c>
      <c r="I15" s="103">
        <f t="array" aca="1" ref="I15" ca="1">VLOOKUP($B15&amp;"|"&amp;'Consolidated Input'!$B$7,CHOOSE({1,2},Table1[Acronym]&amp;"|"&amp;Table1[BON code],Table1[2027-28]),2,FALSE)</f>
        <v>16.872155217518529</v>
      </c>
      <c r="J15" s="103">
        <f t="array" aca="1" ref="J15" ca="1">VLOOKUP($B15&amp;"|"&amp;'Consolidated Input'!$B$7,CHOOSE({1,2},Table1[Acronym]&amp;"|"&amp;Table1[BON code],Table1[2028-29]),2,FALSE)</f>
        <v>17.789417828071741</v>
      </c>
      <c r="K15" s="103">
        <f t="array" aca="1" ref="K15" ca="1">VLOOKUP($B15&amp;"|"&amp;'Consolidated Input'!$B$7,CHOOSE({1,2},Table1[Acronym]&amp;"|"&amp;Table1[BON code],Table1[2029-30]),2,FALSE)</f>
        <v>18.386817117704751</v>
      </c>
      <c r="L15" s="104">
        <f t="shared" ca="1" si="0"/>
        <v>84.834619803113227</v>
      </c>
      <c r="M15" s="2"/>
      <c r="N15" s="2"/>
      <c r="O15" s="94" t="str">
        <f t="shared" si="1"/>
        <v>NWT</v>
      </c>
      <c r="P15" s="104">
        <f ca="1">_xlfn.XLOOKUP(O15,'Modelled Costs'!$A$5:$A$15,'Modelled Costs'!$K$5:$K$15)</f>
        <v>84.326432149260754</v>
      </c>
      <c r="Q15" s="101">
        <f t="array" aca="1" ref="Q15" ca="1">VLOOKUP($B15&amp;"|"&amp;'Final Input'!$B$14,CHOOSE({1,2},Table3[Acronym]&amp;"|"&amp;Table3[BON code],Table3[2023-24]),2,FALSE)</f>
        <v>0</v>
      </c>
      <c r="R15" s="101">
        <f t="array" aca="1" ref="R15" ca="1">VLOOKUP($B15&amp;"|"&amp;'Final Input'!$B$17,CHOOSE({1,2},Table3[Acronym]&amp;"|"&amp;Table3[BON code],Table3[2023-24]),2,FALSE)</f>
        <v>0</v>
      </c>
      <c r="S15" s="101">
        <f t="array" aca="1" ref="S15" ca="1">VLOOKUP($B15&amp;"|"&amp;'Final Input'!$B$14,CHOOSE({1,2},Table3[Acronym]&amp;"|"&amp;Table3[BON code],Table3[2024-25]),2,FALSE)</f>
        <v>0</v>
      </c>
      <c r="T15" s="101">
        <f t="array" aca="1" ref="T15" ca="1">VLOOKUP($B15&amp;"|"&amp;'Final Input'!$B$17,CHOOSE({1,2},Table3[Acronym]&amp;"|"&amp;Table3[BON code],Table3[2024-25]),2,FALSE)</f>
        <v>0</v>
      </c>
      <c r="U15" s="103">
        <f t="array" aca="1" ref="U15" ca="1">VLOOKUP($B15&amp;"|"&amp;'Final Input'!$B$8,CHOOSE({1,2},Table3[Acronym]&amp;"|"&amp;Table3[BON code],Table3[2025-26]),2,FALSE)</f>
        <v>120</v>
      </c>
      <c r="V15" s="103">
        <f t="array" aca="1" ref="V15" ca="1">VLOOKUP($B15&amp;"|"&amp;'Final Input'!$B$8,CHOOSE({1,2},Table3[Acronym]&amp;"|"&amp;Table3[BON code],Table3[2026-27]),2,FALSE)</f>
        <v>120</v>
      </c>
      <c r="W15" s="103">
        <f t="array" aca="1" ref="W15" ca="1">VLOOKUP($B15&amp;"|"&amp;'Final Input'!$B$8,CHOOSE({1,2},Table3[Acronym]&amp;"|"&amp;Table3[BON code],Table3[2027-28]),2,FALSE)</f>
        <v>120</v>
      </c>
      <c r="X15" s="103">
        <f t="array" aca="1" ref="X15" ca="1">VLOOKUP($B15&amp;"|"&amp;'Final Input'!$B$8,CHOOSE({1,2},Table3[Acronym]&amp;"|"&amp;Table3[BON code],Table3[2028-29]),2,FALSE)</f>
        <v>120</v>
      </c>
      <c r="Y15" s="103">
        <f t="array" aca="1" ref="Y15" ca="1">VLOOKUP($B15&amp;"|"&amp;'Final Input'!$B$8,CHOOSE({1,2},Table3[Acronym]&amp;"|"&amp;Table3[BON code],Table3[2029-30]),2,FALSE)</f>
        <v>153</v>
      </c>
      <c r="Z15" s="104">
        <f t="shared" ca="1" si="2"/>
        <v>633</v>
      </c>
      <c r="AA15" s="94" t="str">
        <f t="shared" ca="1" si="3"/>
        <v>check</v>
      </c>
      <c r="AB15" s="2"/>
      <c r="AC15" s="2"/>
      <c r="AD15" s="2"/>
      <c r="AE15" s="2"/>
      <c r="AF15" s="2"/>
    </row>
    <row r="16" spans="1:32">
      <c r="A16" s="2"/>
      <c r="B16" s="94" t="str">
        <f>Allowance!B23</f>
        <v>WSX</v>
      </c>
      <c r="C16" s="191">
        <f t="array" aca="1" ref="C16" ca="1">VLOOKUP($B16&amp;"|"&amp;'Consolidated Input'!$B$13,CHOOSE({1,2},Table1[Acronym]&amp;"|"&amp;Table1[BON code],Table1[2023-24]),2,FALSE)</f>
        <v>0.17294799999999999</v>
      </c>
      <c r="D16" s="101">
        <f t="array" aca="1" ref="D16" ca="1">VLOOKUP($B16&amp;"|"&amp;'Consolidated Input'!$B$16,CHOOSE({1,2},Table1[Acronym]&amp;"|"&amp;Table1[BON code],Table1[2023-24]),2,FALSE)</f>
        <v>0</v>
      </c>
      <c r="E16" s="191">
        <f t="array" aca="1" ref="E16" ca="1">VLOOKUP($B16&amp;"|"&amp;'Consolidated Input'!$B$13,CHOOSE({1,2},Table1[Acronym]&amp;"|"&amp;Table1[BON code],Table1[2024-25]),2,FALSE)</f>
        <v>1.787744</v>
      </c>
      <c r="F16" s="101">
        <f t="array" aca="1" ref="F16" ca="1">VLOOKUP($B16&amp;"|"&amp;'Consolidated Input'!$B$16,CHOOSE({1,2},Table1[Acronym]&amp;"|"&amp;Table1[BON code],Table1[2024-25]),2,FALSE)</f>
        <v>0</v>
      </c>
      <c r="G16" s="102">
        <f t="array" aca="1" ref="G16" ca="1">VLOOKUP($B16&amp;"|"&amp;'Consolidated Input'!$B$7,CHOOSE({1,2},Table1[Acronym]&amp;"|"&amp;Table1[BON code],Table1[2025-26]),2,FALSE)</f>
        <v>10.012511999999999</v>
      </c>
      <c r="H16" s="103">
        <f t="array" aca="1" ref="H16" ca="1">VLOOKUP($B16&amp;"|"&amp;'Consolidated Input'!$B$7,CHOOSE({1,2},Table1[Acronym]&amp;"|"&amp;Table1[BON code],Table1[2026-27]),2,FALSE)</f>
        <v>11.743107999999999</v>
      </c>
      <c r="I16" s="103">
        <f t="array" aca="1" ref="I16" ca="1">VLOOKUP($B16&amp;"|"&amp;'Consolidated Input'!$B$7,CHOOSE({1,2},Table1[Acronym]&amp;"|"&amp;Table1[BON code],Table1[2027-28]),2,FALSE)</f>
        <v>12.551933</v>
      </c>
      <c r="J16" s="103">
        <f t="array" aca="1" ref="J16" ca="1">VLOOKUP($B16&amp;"|"&amp;'Consolidated Input'!$B$7,CHOOSE({1,2},Table1[Acronym]&amp;"|"&amp;Table1[BON code],Table1[2028-29]),2,FALSE)</f>
        <v>11.761711999999999</v>
      </c>
      <c r="K16" s="103">
        <f t="array" aca="1" ref="K16" ca="1">VLOOKUP($B16&amp;"|"&amp;'Consolidated Input'!$B$7,CHOOSE({1,2},Table1[Acronym]&amp;"|"&amp;Table1[BON code],Table1[2029-30]),2,FALSE)</f>
        <v>14.565348999999999</v>
      </c>
      <c r="L16" s="104">
        <f ca="1">SUM(C16:K16)</f>
        <v>62.595305999999994</v>
      </c>
      <c r="M16" s="2"/>
      <c r="N16" s="2"/>
      <c r="O16" s="94" t="str">
        <f t="shared" si="1"/>
        <v>WSX</v>
      </c>
      <c r="P16" s="104">
        <f ca="1">_xlfn.XLOOKUP(O16,'Modelled Costs'!$A$5:$A$15,'Modelled Costs'!$K$5:$K$15)</f>
        <v>62.595305999999994</v>
      </c>
      <c r="Q16" s="101">
        <f t="array" aca="1" ref="Q16" ca="1">VLOOKUP($B16&amp;"|"&amp;'Final Input'!$B$14,CHOOSE({1,2},Table3[Acronym]&amp;"|"&amp;Table3[BON code],Table3[2023-24]),2,FALSE)</f>
        <v>0</v>
      </c>
      <c r="R16" s="101">
        <f t="array" aca="1" ref="R16" ca="1">VLOOKUP($B16&amp;"|"&amp;'Final Input'!$B$17,CHOOSE({1,2},Table3[Acronym]&amp;"|"&amp;Table3[BON code],Table3[2023-24]),2,FALSE)</f>
        <v>0</v>
      </c>
      <c r="S16" s="101">
        <f t="array" aca="1" ref="S16" ca="1">VLOOKUP($B16&amp;"|"&amp;'Final Input'!$B$14,CHOOSE({1,2},Table3[Acronym]&amp;"|"&amp;Table3[BON code],Table3[2024-25]),2,FALSE)</f>
        <v>0</v>
      </c>
      <c r="T16" s="101">
        <f t="array" aca="1" ref="T16" ca="1">VLOOKUP($B16&amp;"|"&amp;'Final Input'!$B$17,CHOOSE({1,2},Table3[Acronym]&amp;"|"&amp;Table3[BON code],Table3[2024-25]),2,FALSE)</f>
        <v>0</v>
      </c>
      <c r="U16" s="103">
        <f t="array" aca="1" ref="U16" ca="1">VLOOKUP($B16&amp;"|"&amp;'Final Input'!$B$8,CHOOSE({1,2},Table3[Acronym]&amp;"|"&amp;Table3[BON code],Table3[2025-26]),2,FALSE)</f>
        <v>10</v>
      </c>
      <c r="V16" s="103">
        <f t="array" aca="1" ref="V16" ca="1">VLOOKUP($B16&amp;"|"&amp;'Final Input'!$B$8,CHOOSE({1,2},Table3[Acronym]&amp;"|"&amp;Table3[BON code],Table3[2026-27]),2,FALSE)</f>
        <v>100</v>
      </c>
      <c r="W16" s="103">
        <f t="array" aca="1" ref="W16" ca="1">VLOOKUP($B16&amp;"|"&amp;'Final Input'!$B$8,CHOOSE({1,2},Table3[Acronym]&amp;"|"&amp;Table3[BON code],Table3[2027-28]),2,FALSE)</f>
        <v>100</v>
      </c>
      <c r="X16" s="103">
        <f t="array" aca="1" ref="X16" ca="1">VLOOKUP($B16&amp;"|"&amp;'Final Input'!$B$8,CHOOSE({1,2},Table3[Acronym]&amp;"|"&amp;Table3[BON code],Table3[2028-29]),2,FALSE)</f>
        <v>120</v>
      </c>
      <c r="Y16" s="103">
        <f t="array" aca="1" ref="Y16" ca="1">VLOOKUP($B16&amp;"|"&amp;'Final Input'!$B$8,CHOOSE({1,2},Table3[Acronym]&amp;"|"&amp;Table3[BON code],Table3[2029-30]),2,FALSE)</f>
        <v>140</v>
      </c>
      <c r="Z16" s="104">
        <f t="shared" ca="1" si="2"/>
        <v>470</v>
      </c>
      <c r="AA16" s="94" t="str">
        <f t="shared" ca="1" si="3"/>
        <v>check</v>
      </c>
      <c r="AB16" s="2"/>
      <c r="AC16" s="2"/>
      <c r="AD16" s="2"/>
      <c r="AE16" s="2"/>
      <c r="AF16" s="2"/>
    </row>
    <row r="17" spans="1:32">
      <c r="A17" s="2"/>
      <c r="B17" s="94" t="str">
        <f>Allowance!B24</f>
        <v>YKY</v>
      </c>
      <c r="C17" s="101">
        <f t="array" aca="1" ref="C17" ca="1">VLOOKUP($B17&amp;"|"&amp;'Consolidated Input'!$B$13,CHOOSE({1,2},Table1[Acronym]&amp;"|"&amp;Table1[BON code],Table1[2023-24]),2,FALSE)</f>
        <v>0</v>
      </c>
      <c r="D17" s="101">
        <f t="array" aca="1" ref="D17" ca="1">VLOOKUP($B17&amp;"|"&amp;'Consolidated Input'!$B$16,CHOOSE({1,2},Table1[Acronym]&amp;"|"&amp;Table1[BON code],Table1[2023-24]),2,FALSE)</f>
        <v>0</v>
      </c>
      <c r="E17" s="101">
        <f t="array" aca="1" ref="E17" ca="1">VLOOKUP($B17&amp;"|"&amp;'Consolidated Input'!$B$13,CHOOSE({1,2},Table1[Acronym]&amp;"|"&amp;Table1[BON code],Table1[2024-25]),2,FALSE)</f>
        <v>0</v>
      </c>
      <c r="F17" s="101">
        <f t="array" aca="1" ref="F17" ca="1">VLOOKUP($B17&amp;"|"&amp;'Consolidated Input'!$B$16,CHOOSE({1,2},Table1[Acronym]&amp;"|"&amp;Table1[BON code],Table1[2024-25]),2,FALSE)</f>
        <v>0</v>
      </c>
      <c r="G17" s="102">
        <f t="array" aca="1" ref="G17" ca="1">VLOOKUP($B17&amp;"|"&amp;'Consolidated Input'!$B$7,CHOOSE({1,2},Table1[Acronym]&amp;"|"&amp;Table1[BON code],Table1[2025-26]),2,FALSE)</f>
        <v>4.796672</v>
      </c>
      <c r="H17" s="103">
        <f t="array" aca="1" ref="H17" ca="1">VLOOKUP($B17&amp;"|"&amp;'Consolidated Input'!$B$7,CHOOSE({1,2},Table1[Acronym]&amp;"|"&amp;Table1[BON code],Table1[2026-27]),2,FALSE)</f>
        <v>6.7326816000000003</v>
      </c>
      <c r="I17" s="103">
        <f t="array" aca="1" ref="I17" ca="1">VLOOKUP($B17&amp;"|"&amp;'Consolidated Input'!$B$7,CHOOSE({1,2},Table1[Acronym]&amp;"|"&amp;Table1[BON code],Table1[2027-28]),2,FALSE)</f>
        <v>15.783884799999999</v>
      </c>
      <c r="J17" s="103">
        <f t="array" aca="1" ref="J17" ca="1">VLOOKUP($B17&amp;"|"&amp;'Consolidated Input'!$B$7,CHOOSE({1,2},Table1[Acronym]&amp;"|"&amp;Table1[BON code],Table1[2028-29]),2,FALSE)</f>
        <v>31.6003072</v>
      </c>
      <c r="K17" s="103">
        <f t="array" aca="1" ref="K17" ca="1">VLOOKUP($B17&amp;"|"&amp;'Consolidated Input'!$B$7,CHOOSE({1,2},Table1[Acronym]&amp;"|"&amp;Table1[BON code],Table1[2029-30]),2,FALSE)</f>
        <v>38.580147199999999</v>
      </c>
      <c r="L17" s="104">
        <f t="shared" ca="1" si="0"/>
        <v>97.493692799999991</v>
      </c>
      <c r="M17" s="2"/>
      <c r="N17" s="2"/>
      <c r="O17" s="94" t="str">
        <f t="shared" si="1"/>
        <v>YKY</v>
      </c>
      <c r="P17" s="104">
        <f ca="1">_xlfn.XLOOKUP(O17,'Modelled Costs'!$A$5:$A$15,'Modelled Costs'!$K$5:$K$15)</f>
        <v>97.493692799999991</v>
      </c>
      <c r="Q17" s="101">
        <f t="array" aca="1" ref="Q17" ca="1">VLOOKUP($B17&amp;"|"&amp;'Final Input'!$B$14,CHOOSE({1,2},Table3[Acronym]&amp;"|"&amp;Table3[BON code],Table3[2023-24]),2,FALSE)</f>
        <v>0</v>
      </c>
      <c r="R17" s="101">
        <f t="array" aca="1" ref="R17" ca="1">VLOOKUP($B17&amp;"|"&amp;'Final Input'!$B$17,CHOOSE({1,2},Table3[Acronym]&amp;"|"&amp;Table3[BON code],Table3[2023-24]),2,FALSE)</f>
        <v>0</v>
      </c>
      <c r="S17" s="101">
        <f t="array" aca="1" ref="S17" ca="1">VLOOKUP($B17&amp;"|"&amp;'Final Input'!$B$14,CHOOSE({1,2},Table3[Acronym]&amp;"|"&amp;Table3[BON code],Table3[2024-25]),2,FALSE)</f>
        <v>0</v>
      </c>
      <c r="T17" s="101">
        <f t="array" aca="1" ref="T17" ca="1">VLOOKUP($B17&amp;"|"&amp;'Final Input'!$B$17,CHOOSE({1,2},Table3[Acronym]&amp;"|"&amp;Table3[BON code],Table3[2024-25]),2,FALSE)</f>
        <v>0</v>
      </c>
      <c r="U17" s="103">
        <f t="array" aca="1" ref="U17" ca="1">VLOOKUP($B17&amp;"|"&amp;'Final Input'!$B$8,CHOOSE({1,2},Table3[Acronym]&amp;"|"&amp;Table3[BON code],Table3[2025-26]),2,FALSE)</f>
        <v>22</v>
      </c>
      <c r="V17" s="103">
        <f t="array" aca="1" ref="V17" ca="1">VLOOKUP($B17&amp;"|"&amp;'Final Input'!$B$8,CHOOSE({1,2},Table3[Acronym]&amp;"|"&amp;Table3[BON code],Table3[2026-27]),2,FALSE)</f>
        <v>41</v>
      </c>
      <c r="W17" s="103">
        <f t="array" aca="1" ref="W17" ca="1">VLOOKUP($B17&amp;"|"&amp;'Final Input'!$B$8,CHOOSE({1,2},Table3[Acronym]&amp;"|"&amp;Table3[BON code],Table3[2027-28]),2,FALSE)</f>
        <v>143</v>
      </c>
      <c r="X17" s="103">
        <f t="array" aca="1" ref="X17" ca="1">VLOOKUP($B17&amp;"|"&amp;'Final Input'!$B$8,CHOOSE({1,2},Table3[Acronym]&amp;"|"&amp;Table3[BON code],Table3[2028-29]),2,FALSE)</f>
        <v>265</v>
      </c>
      <c r="Y17" s="103">
        <f t="array" aca="1" ref="Y17" ca="1">VLOOKUP($B17&amp;"|"&amp;'Final Input'!$B$8,CHOOSE({1,2},Table3[Acronym]&amp;"|"&amp;Table3[BON code],Table3[2029-30]),2,FALSE)</f>
        <v>265</v>
      </c>
      <c r="Z17" s="104">
        <f t="shared" ca="1" si="2"/>
        <v>736</v>
      </c>
      <c r="AA17" s="94" t="str">
        <f t="shared" ca="1" si="3"/>
        <v>check</v>
      </c>
      <c r="AB17" s="2"/>
      <c r="AC17" s="2"/>
      <c r="AD17" s="2"/>
      <c r="AE17" s="2"/>
      <c r="AF17" s="2"/>
    </row>
    <row r="18" spans="1:32">
      <c r="A18" s="2"/>
      <c r="B18" s="94" t="str">
        <f>Allowance!B25</f>
        <v>Total</v>
      </c>
      <c r="C18" s="101">
        <f ca="1">SUM(C7:C17)</f>
        <v>0.17294799999999999</v>
      </c>
      <c r="D18" s="101">
        <f t="shared" ref="D18:F18" ca="1" si="4">SUM(D7:D17)</f>
        <v>0</v>
      </c>
      <c r="E18" s="101">
        <f t="shared" ca="1" si="4"/>
        <v>2.5401608125794066</v>
      </c>
      <c r="F18" s="101">
        <f t="shared" ca="1" si="4"/>
        <v>0</v>
      </c>
      <c r="G18" s="102">
        <f ca="1">SUM(G7:G17)</f>
        <v>80.630484881322857</v>
      </c>
      <c r="H18" s="102">
        <f t="shared" ref="H18:K18" ca="1" si="5">SUM(H7:H17)</f>
        <v>132.16852591906556</v>
      </c>
      <c r="I18" s="102">
        <f t="shared" ca="1" si="5"/>
        <v>134.08630012172142</v>
      </c>
      <c r="J18" s="102">
        <f t="shared" ca="1" si="5"/>
        <v>154.85550723784456</v>
      </c>
      <c r="K18" s="102">
        <f t="shared" ca="1" si="5"/>
        <v>164.72285507978108</v>
      </c>
      <c r="L18" s="104">
        <f t="shared" ca="1" si="0"/>
        <v>669.17678205231482</v>
      </c>
      <c r="M18" s="2"/>
      <c r="N18" s="2"/>
      <c r="O18" s="94" t="str">
        <f t="shared" si="1"/>
        <v>Total</v>
      </c>
      <c r="P18" s="104">
        <f ca="1">SUM(P7:P17)</f>
        <v>668.66859439846235</v>
      </c>
      <c r="Q18" s="101">
        <f t="shared" ref="Q18:Y18" ca="1" si="6">SUM(Q7:Q17)</f>
        <v>0</v>
      </c>
      <c r="R18" s="101">
        <f t="shared" ca="1" si="6"/>
        <v>0</v>
      </c>
      <c r="S18" s="101">
        <f t="shared" ca="1" si="6"/>
        <v>0</v>
      </c>
      <c r="T18" s="101">
        <f t="shared" ca="1" si="6"/>
        <v>0</v>
      </c>
      <c r="U18" s="103">
        <f t="shared" ca="1" si="6"/>
        <v>311</v>
      </c>
      <c r="V18" s="103">
        <f t="shared" ca="1" si="6"/>
        <v>884</v>
      </c>
      <c r="W18" s="103">
        <f t="shared" ca="1" si="6"/>
        <v>973</v>
      </c>
      <c r="X18" s="103">
        <f t="shared" ca="1" si="6"/>
        <v>1172</v>
      </c>
      <c r="Y18" s="103">
        <f t="shared" ca="1" si="6"/>
        <v>1528</v>
      </c>
      <c r="Z18" s="104">
        <f t="shared" ca="1" si="2"/>
        <v>4868</v>
      </c>
      <c r="AA18" s="94"/>
      <c r="AB18" s="2"/>
      <c r="AC18" s="2"/>
      <c r="AD18" s="2"/>
      <c r="AE18" s="2"/>
      <c r="AF18" s="2"/>
    </row>
    <row r="19" spans="1:3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8.75">
      <c r="A20" s="222" t="s">
        <v>267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</row>
    <row r="21" spans="1:3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>
      <c r="A22" s="2"/>
      <c r="B22" s="100" t="s">
        <v>268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100" t="s">
        <v>269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51">
      <c r="A23" s="2"/>
      <c r="B23" s="13" t="s">
        <v>52</v>
      </c>
      <c r="C23" s="21" t="s">
        <v>256</v>
      </c>
      <c r="D23" s="21" t="s">
        <v>257</v>
      </c>
      <c r="E23" s="21" t="s">
        <v>258</v>
      </c>
      <c r="F23" s="21" t="s">
        <v>259</v>
      </c>
      <c r="G23" s="21" t="s">
        <v>260</v>
      </c>
      <c r="H23" s="21" t="s">
        <v>261</v>
      </c>
      <c r="I23" s="21" t="s">
        <v>262</v>
      </c>
      <c r="J23" s="21" t="s">
        <v>263</v>
      </c>
      <c r="K23" s="31" t="s">
        <v>264</v>
      </c>
      <c r="L23" s="21" t="s">
        <v>266</v>
      </c>
      <c r="M23" s="2"/>
      <c r="N23" s="2"/>
      <c r="O23" s="21" t="s">
        <v>52</v>
      </c>
      <c r="P23" s="21" t="s">
        <v>270</v>
      </c>
      <c r="Q23" s="21" t="s">
        <v>256</v>
      </c>
      <c r="R23" s="21" t="s">
        <v>257</v>
      </c>
      <c r="S23" s="21" t="s">
        <v>258</v>
      </c>
      <c r="T23" s="21" t="s">
        <v>259</v>
      </c>
      <c r="U23" s="21" t="s">
        <v>260</v>
      </c>
      <c r="V23" s="21" t="s">
        <v>261</v>
      </c>
      <c r="W23" s="21" t="s">
        <v>262</v>
      </c>
      <c r="X23" s="21" t="s">
        <v>263</v>
      </c>
      <c r="Y23" s="21" t="s">
        <v>264</v>
      </c>
      <c r="Z23" s="2"/>
      <c r="AA23" s="2"/>
      <c r="AB23" s="2"/>
      <c r="AC23" s="2"/>
      <c r="AD23" s="2"/>
      <c r="AE23" s="2"/>
      <c r="AF23" s="2"/>
    </row>
    <row r="24" spans="1:32">
      <c r="A24" s="2"/>
      <c r="B24" s="95" t="str">
        <f t="shared" ref="B24:B35" si="7">B7</f>
        <v>ANH</v>
      </c>
      <c r="C24" s="127">
        <f ca="1">IFERROR(C7/SUM($C7:$K7), 0)</f>
        <v>0</v>
      </c>
      <c r="D24" s="127">
        <f t="shared" ref="D24:K24" ca="1" si="8">IFERROR(D7/SUM($C7:$K7), 0)</f>
        <v>0</v>
      </c>
      <c r="E24" s="127">
        <f t="shared" ca="1" si="8"/>
        <v>0</v>
      </c>
      <c r="F24" s="127">
        <f t="shared" ca="1" si="8"/>
        <v>0</v>
      </c>
      <c r="G24" s="127">
        <f t="shared" ca="1" si="8"/>
        <v>1.1153945001285016E-2</v>
      </c>
      <c r="H24" s="127">
        <f t="shared" ca="1" si="8"/>
        <v>0.22800051400668206</v>
      </c>
      <c r="I24" s="127">
        <f t="shared" ca="1" si="8"/>
        <v>0.24566949370341809</v>
      </c>
      <c r="J24" s="127">
        <f t="shared" ca="1" si="8"/>
        <v>0.25215882806476481</v>
      </c>
      <c r="K24" s="127">
        <f t="shared" ca="1" si="8"/>
        <v>0.26301721922384991</v>
      </c>
      <c r="L24" s="128" t="str">
        <f ca="1">IF(SUM(C24:K24)=1, "reconciled","check")</f>
        <v>reconciled</v>
      </c>
      <c r="M24" s="2"/>
      <c r="N24" s="2"/>
      <c r="O24" s="94" t="str">
        <f t="shared" ref="O24:O35" si="9">B7</f>
        <v>ANH</v>
      </c>
      <c r="P24" s="165">
        <f ca="1">VLOOKUP(O24,Allowance!B$14:I$24,8,FALSE)</f>
        <v>77.820000000000007</v>
      </c>
      <c r="Q24" s="101">
        <f ca="1">C24*$P24</f>
        <v>0</v>
      </c>
      <c r="R24" s="101">
        <f t="shared" ref="R24:Y35" ca="1" si="10">D24*$P24</f>
        <v>0</v>
      </c>
      <c r="S24" s="101">
        <f t="shared" ca="1" si="10"/>
        <v>0</v>
      </c>
      <c r="T24" s="101">
        <f t="shared" ca="1" si="10"/>
        <v>0</v>
      </c>
      <c r="U24" s="103">
        <f t="shared" ca="1" si="10"/>
        <v>0.86799999999999999</v>
      </c>
      <c r="V24" s="103">
        <f t="shared" ca="1" si="10"/>
        <v>17.742999999999999</v>
      </c>
      <c r="W24" s="103">
        <f t="shared" ca="1" si="10"/>
        <v>19.117999999999999</v>
      </c>
      <c r="X24" s="103">
        <f t="shared" ca="1" si="10"/>
        <v>19.622999999999998</v>
      </c>
      <c r="Y24" s="103">
        <f t="shared" ca="1" si="10"/>
        <v>20.468</v>
      </c>
      <c r="Z24" s="2"/>
      <c r="AA24" s="2"/>
      <c r="AB24" s="2"/>
      <c r="AC24" s="2"/>
      <c r="AD24" s="2"/>
      <c r="AE24" s="2"/>
      <c r="AF24" s="2"/>
    </row>
    <row r="25" spans="1:32">
      <c r="A25" s="2"/>
      <c r="B25" s="129" t="str">
        <f t="shared" si="7"/>
        <v>WSH</v>
      </c>
      <c r="C25" s="127">
        <f t="shared" ref="C25:K25" ca="1" si="11">IFERROR(C8/SUM($C8:$K8), 0)</f>
        <v>0</v>
      </c>
      <c r="D25" s="127">
        <f t="shared" ca="1" si="11"/>
        <v>0</v>
      </c>
      <c r="E25" s="127">
        <f t="shared" ca="1" si="11"/>
        <v>0</v>
      </c>
      <c r="F25" s="127">
        <f t="shared" ca="1" si="11"/>
        <v>0</v>
      </c>
      <c r="G25" s="127">
        <f t="shared" ca="1" si="11"/>
        <v>0.41271409749670623</v>
      </c>
      <c r="H25" s="127">
        <f t="shared" ca="1" si="11"/>
        <v>0.42885375494071137</v>
      </c>
      <c r="I25" s="127">
        <f t="shared" ca="1" si="11"/>
        <v>5.2536231884057996E-2</v>
      </c>
      <c r="J25" s="127">
        <f t="shared" ca="1" si="11"/>
        <v>5.2865612648221372E-2</v>
      </c>
      <c r="K25" s="127">
        <f t="shared" ca="1" si="11"/>
        <v>5.303030303030306E-2</v>
      </c>
      <c r="L25" s="130" t="str">
        <f t="shared" ref="L25:L35" ca="1" si="12">IF(SUM(C25:K25)=1, "reconciled","check")</f>
        <v>reconciled</v>
      </c>
      <c r="M25" s="2"/>
      <c r="N25" s="2"/>
      <c r="O25" s="94" t="str">
        <f t="shared" si="9"/>
        <v>WSH</v>
      </c>
      <c r="P25" s="165">
        <f ca="1">VLOOKUP(O25,Allowance!B$14:I$24,8,FALSE)</f>
        <v>6.0719999999999992</v>
      </c>
      <c r="Q25" s="101">
        <f t="shared" ref="Q25:Q35" ca="1" si="13">C25*$P25</f>
        <v>0</v>
      </c>
      <c r="R25" s="101">
        <f t="shared" ca="1" si="10"/>
        <v>0</v>
      </c>
      <c r="S25" s="101">
        <f t="shared" ca="1" si="10"/>
        <v>0</v>
      </c>
      <c r="T25" s="101">
        <f t="shared" ca="1" si="10"/>
        <v>0</v>
      </c>
      <c r="U25" s="103">
        <f t="shared" ca="1" si="10"/>
        <v>2.5059999999999998</v>
      </c>
      <c r="V25" s="103">
        <f t="shared" ca="1" si="10"/>
        <v>2.6039999999999992</v>
      </c>
      <c r="W25" s="103">
        <f t="shared" ca="1" si="10"/>
        <v>0.31900000000000012</v>
      </c>
      <c r="X25" s="103">
        <f t="shared" ca="1" si="10"/>
        <v>0.32100000000000012</v>
      </c>
      <c r="Y25" s="103">
        <f t="shared" ca="1" si="10"/>
        <v>0.32200000000000012</v>
      </c>
      <c r="Z25" s="2"/>
      <c r="AA25" s="2"/>
      <c r="AB25" s="2"/>
      <c r="AC25" s="2"/>
      <c r="AD25" s="2"/>
      <c r="AE25" s="2"/>
      <c r="AF25" s="2"/>
    </row>
    <row r="26" spans="1:32">
      <c r="A26" s="2"/>
      <c r="B26" s="129" t="str">
        <f t="shared" si="7"/>
        <v>HDD</v>
      </c>
      <c r="C26" s="127">
        <f t="shared" ref="C26:K26" ca="1" si="14">IFERROR(C9/SUM($C9:$K9), 0)</f>
        <v>0</v>
      </c>
      <c r="D26" s="127">
        <f t="shared" ca="1" si="14"/>
        <v>0</v>
      </c>
      <c r="E26" s="127">
        <f t="shared" ca="1" si="14"/>
        <v>0</v>
      </c>
      <c r="F26" s="127">
        <f t="shared" ca="1" si="14"/>
        <v>0</v>
      </c>
      <c r="G26" s="127">
        <f t="shared" ca="1" si="14"/>
        <v>0</v>
      </c>
      <c r="H26" s="127">
        <f t="shared" ca="1" si="14"/>
        <v>0</v>
      </c>
      <c r="I26" s="127">
        <f t="shared" ca="1" si="14"/>
        <v>0</v>
      </c>
      <c r="J26" s="127">
        <f t="shared" ca="1" si="14"/>
        <v>0</v>
      </c>
      <c r="K26" s="127">
        <f t="shared" ca="1" si="14"/>
        <v>0</v>
      </c>
      <c r="L26" s="130" t="s">
        <v>271</v>
      </c>
      <c r="M26" s="2"/>
      <c r="N26" s="2"/>
      <c r="O26" s="94" t="str">
        <f t="shared" si="9"/>
        <v>HDD</v>
      </c>
      <c r="P26" s="165">
        <f ca="1">VLOOKUP(O26,Allowance!B$14:I$24,8,FALSE)</f>
        <v>0</v>
      </c>
      <c r="Q26" s="101">
        <f t="shared" ca="1" si="13"/>
        <v>0</v>
      </c>
      <c r="R26" s="101">
        <f t="shared" ca="1" si="10"/>
        <v>0</v>
      </c>
      <c r="S26" s="101">
        <f t="shared" ca="1" si="10"/>
        <v>0</v>
      </c>
      <c r="T26" s="101">
        <f t="shared" ca="1" si="10"/>
        <v>0</v>
      </c>
      <c r="U26" s="103">
        <f t="shared" ca="1" si="10"/>
        <v>0</v>
      </c>
      <c r="V26" s="103">
        <f t="shared" ca="1" si="10"/>
        <v>0</v>
      </c>
      <c r="W26" s="103">
        <f t="shared" ca="1" si="10"/>
        <v>0</v>
      </c>
      <c r="X26" s="103">
        <f t="shared" ca="1" si="10"/>
        <v>0</v>
      </c>
      <c r="Y26" s="103">
        <f t="shared" ca="1" si="10"/>
        <v>0</v>
      </c>
      <c r="Z26" s="2"/>
      <c r="AA26" s="2"/>
      <c r="AB26" s="2"/>
      <c r="AC26" s="2"/>
      <c r="AD26" s="2"/>
      <c r="AE26" s="2"/>
      <c r="AF26" s="2"/>
    </row>
    <row r="27" spans="1:32">
      <c r="A27" s="2"/>
      <c r="B27" s="129" t="str">
        <f t="shared" si="7"/>
        <v>NES</v>
      </c>
      <c r="C27" s="127">
        <f t="shared" ref="C27:K27" ca="1" si="15">IFERROR(C10/SUM($C10:$K10), 0)</f>
        <v>0</v>
      </c>
      <c r="D27" s="127">
        <f t="shared" ca="1" si="15"/>
        <v>0</v>
      </c>
      <c r="E27" s="127">
        <f t="shared" ca="1" si="15"/>
        <v>0</v>
      </c>
      <c r="F27" s="127">
        <f t="shared" ca="1" si="15"/>
        <v>0</v>
      </c>
      <c r="G27" s="127">
        <f t="shared" ca="1" si="15"/>
        <v>4.9018900591545234E-2</v>
      </c>
      <c r="H27" s="127">
        <f t="shared" ca="1" si="15"/>
        <v>0.22224426489684029</v>
      </c>
      <c r="I27" s="127">
        <f t="shared" ca="1" si="15"/>
        <v>0.23405713461261002</v>
      </c>
      <c r="J27" s="127">
        <f t="shared" ca="1" si="15"/>
        <v>0.24143341509161736</v>
      </c>
      <c r="K27" s="127">
        <f t="shared" ca="1" si="15"/>
        <v>0.25324628480738709</v>
      </c>
      <c r="L27" s="130" t="str">
        <f t="shared" ca="1" si="12"/>
        <v>reconciled</v>
      </c>
      <c r="M27" s="2"/>
      <c r="N27" s="2"/>
      <c r="O27" s="94" t="str">
        <f t="shared" si="9"/>
        <v>NES</v>
      </c>
      <c r="P27" s="165">
        <f ca="1">VLOOKUP(O27,Allowance!B$14:I$24,8,FALSE)</f>
        <v>51.968835616438362</v>
      </c>
      <c r="Q27" s="101">
        <f t="shared" ca="1" si="13"/>
        <v>0</v>
      </c>
      <c r="R27" s="101">
        <f t="shared" ca="1" si="10"/>
        <v>0</v>
      </c>
      <c r="S27" s="101">
        <f t="shared" ca="1" si="10"/>
        <v>0</v>
      </c>
      <c r="T27" s="101">
        <f t="shared" ca="1" si="10"/>
        <v>0</v>
      </c>
      <c r="U27" s="103">
        <f t="shared" ca="1" si="10"/>
        <v>2.5474551869405473</v>
      </c>
      <c r="V27" s="103">
        <f t="shared" ca="1" si="10"/>
        <v>11.549775669120075</v>
      </c>
      <c r="W27" s="103">
        <f t="shared" ca="1" si="10"/>
        <v>12.163676753537315</v>
      </c>
      <c r="X27" s="103">
        <f t="shared" ca="1" si="10"/>
        <v>12.547013461211591</v>
      </c>
      <c r="Y27" s="103">
        <f t="shared" ca="1" si="10"/>
        <v>13.160914545628831</v>
      </c>
      <c r="Z27" s="2"/>
      <c r="AA27" s="2"/>
      <c r="AB27" s="2"/>
      <c r="AC27" s="2"/>
      <c r="AD27" s="2"/>
      <c r="AE27" s="2"/>
      <c r="AF27" s="2"/>
    </row>
    <row r="28" spans="1:32">
      <c r="A28" s="2"/>
      <c r="B28" s="129" t="str">
        <f t="shared" si="7"/>
        <v>SVE</v>
      </c>
      <c r="C28" s="127">
        <f t="shared" ref="C28:K28" ca="1" si="16">IFERROR(C11/SUM($C11:$K11), 0)</f>
        <v>0</v>
      </c>
      <c r="D28" s="127">
        <f t="shared" ca="1" si="16"/>
        <v>0</v>
      </c>
      <c r="E28" s="127">
        <f t="shared" ca="1" si="16"/>
        <v>5.6005411149890371E-3</v>
      </c>
      <c r="F28" s="127">
        <f t="shared" ca="1" si="16"/>
        <v>0</v>
      </c>
      <c r="G28" s="127">
        <f t="shared" ca="1" si="16"/>
        <v>7.0985222296142458E-2</v>
      </c>
      <c r="H28" s="127">
        <f t="shared" ca="1" si="16"/>
        <v>0.197534087188278</v>
      </c>
      <c r="I28" s="127">
        <f t="shared" ca="1" si="16"/>
        <v>0.22050578771917431</v>
      </c>
      <c r="J28" s="127">
        <f t="shared" ca="1" si="16"/>
        <v>0.24257356369191344</v>
      </c>
      <c r="K28" s="127">
        <f t="shared" ca="1" si="16"/>
        <v>0.26280079798950262</v>
      </c>
      <c r="L28" s="130" t="str">
        <f t="shared" ca="1" si="12"/>
        <v>reconciled</v>
      </c>
      <c r="M28" s="2"/>
      <c r="N28" s="2"/>
      <c r="O28" s="94" t="str">
        <f t="shared" si="9"/>
        <v>SVE</v>
      </c>
      <c r="P28" s="165">
        <f ca="1">VLOOKUP(O28,Allowance!B$14:I$24,8,FALSE)</f>
        <v>133.25342465753425</v>
      </c>
      <c r="Q28" s="101">
        <f t="shared" ca="1" si="13"/>
        <v>0</v>
      </c>
      <c r="R28" s="101">
        <f t="shared" ca="1" si="10"/>
        <v>0</v>
      </c>
      <c r="S28" s="191">
        <f t="shared" ca="1" si="10"/>
        <v>0.74629128350761453</v>
      </c>
      <c r="T28" s="101">
        <f t="shared" ca="1" si="10"/>
        <v>0</v>
      </c>
      <c r="U28" s="103">
        <f t="shared" ca="1" si="10"/>
        <v>9.4590239710373396</v>
      </c>
      <c r="V28" s="103">
        <f t="shared" ca="1" si="10"/>
        <v>26.322093604438006</v>
      </c>
      <c r="W28" s="103">
        <f t="shared" ca="1" si="10"/>
        <v>29.383151370387235</v>
      </c>
      <c r="X28" s="103">
        <f t="shared" ca="1" si="10"/>
        <v>32.323758093329971</v>
      </c>
      <c r="Y28" s="103">
        <f t="shared" ca="1" si="10"/>
        <v>35.019106334834063</v>
      </c>
      <c r="Z28" s="2"/>
      <c r="AA28" s="2"/>
      <c r="AB28" s="2"/>
      <c r="AC28" s="2"/>
      <c r="AD28" s="2"/>
      <c r="AE28" s="2"/>
      <c r="AF28" s="2"/>
    </row>
    <row r="29" spans="1:32">
      <c r="A29" s="2"/>
      <c r="B29" s="129" t="str">
        <f t="shared" si="7"/>
        <v>SWB</v>
      </c>
      <c r="C29" s="127">
        <f t="shared" ref="C29:K29" ca="1" si="17">IFERROR(C12/SUM($C12:$K12), 0)</f>
        <v>0</v>
      </c>
      <c r="D29" s="127">
        <f t="shared" ca="1" si="17"/>
        <v>0</v>
      </c>
      <c r="E29" s="127">
        <f t="shared" ca="1" si="17"/>
        <v>0</v>
      </c>
      <c r="F29" s="127">
        <f t="shared" ca="1" si="17"/>
        <v>0</v>
      </c>
      <c r="G29" s="127">
        <f t="shared" ca="1" si="17"/>
        <v>0.17052155861334117</v>
      </c>
      <c r="H29" s="127">
        <f t="shared" ca="1" si="17"/>
        <v>0.18521852552679441</v>
      </c>
      <c r="I29" s="127">
        <f t="shared" ca="1" si="17"/>
        <v>0.19991549244024764</v>
      </c>
      <c r="J29" s="127">
        <f t="shared" ca="1" si="17"/>
        <v>0.21481454264876085</v>
      </c>
      <c r="K29" s="127">
        <f t="shared" ca="1" si="17"/>
        <v>0.2295298807708559</v>
      </c>
      <c r="L29" s="130" t="str">
        <f t="shared" ca="1" si="12"/>
        <v>reconciled</v>
      </c>
      <c r="M29" s="2"/>
      <c r="N29" s="2"/>
      <c r="O29" s="94" t="str">
        <f t="shared" si="9"/>
        <v>SWB</v>
      </c>
      <c r="P29" s="165">
        <f ca="1">VLOOKUP(O29,Allowance!B$14:I$24,8,FALSE)</f>
        <v>54.500650684931514</v>
      </c>
      <c r="Q29" s="101">
        <f t="shared" ca="1" si="13"/>
        <v>0</v>
      </c>
      <c r="R29" s="101">
        <f t="shared" ca="1" si="10"/>
        <v>0</v>
      </c>
      <c r="S29" s="101">
        <f t="shared" ca="1" si="10"/>
        <v>0</v>
      </c>
      <c r="T29" s="101">
        <f t="shared" ca="1" si="10"/>
        <v>0</v>
      </c>
      <c r="U29" s="103">
        <f t="shared" ca="1" si="10"/>
        <v>9.2935359002357814</v>
      </c>
      <c r="V29" s="103">
        <f t="shared" ca="1" si="10"/>
        <v>10.094530160113893</v>
      </c>
      <c r="W29" s="103">
        <f t="shared" ca="1" si="10"/>
        <v>10.895524419992004</v>
      </c>
      <c r="X29" s="103">
        <f t="shared" ca="1" si="10"/>
        <v>11.707532350943438</v>
      </c>
      <c r="Y29" s="103">
        <f t="shared" ca="1" si="10"/>
        <v>12.509527853646397</v>
      </c>
      <c r="Z29" s="2"/>
      <c r="AA29" s="2"/>
      <c r="AB29" s="2"/>
      <c r="AC29" s="2"/>
      <c r="AD29" s="2"/>
      <c r="AE29" s="2"/>
      <c r="AF29" s="2"/>
    </row>
    <row r="30" spans="1:32">
      <c r="A30" s="2"/>
      <c r="B30" s="129" t="str">
        <f t="shared" si="7"/>
        <v>SRN</v>
      </c>
      <c r="C30" s="127">
        <f t="shared" ref="C30:K30" ca="1" si="18">IFERROR(C13/SUM($C13:$K13), 0)</f>
        <v>0</v>
      </c>
      <c r="D30" s="127">
        <f t="shared" ca="1" si="18"/>
        <v>0</v>
      </c>
      <c r="E30" s="127">
        <f t="shared" ca="1" si="18"/>
        <v>0</v>
      </c>
      <c r="F30" s="127">
        <f t="shared" ca="1" si="18"/>
        <v>0</v>
      </c>
      <c r="G30" s="127">
        <f t="shared" ca="1" si="18"/>
        <v>0.20101049899181864</v>
      </c>
      <c r="H30" s="127">
        <f t="shared" ca="1" si="18"/>
        <v>0.23090829026351772</v>
      </c>
      <c r="I30" s="127">
        <f t="shared" ca="1" si="18"/>
        <v>0.22919322316731175</v>
      </c>
      <c r="J30" s="127">
        <f t="shared" ca="1" si="18"/>
        <v>0.23920550675597377</v>
      </c>
      <c r="K30" s="127">
        <f t="shared" ca="1" si="18"/>
        <v>9.9682480821378081E-2</v>
      </c>
      <c r="L30" s="130" t="str">
        <f t="shared" ca="1" si="12"/>
        <v>reconciled</v>
      </c>
      <c r="M30" s="2"/>
      <c r="N30" s="2"/>
      <c r="O30" s="94" t="str">
        <f t="shared" si="9"/>
        <v>SRN</v>
      </c>
      <c r="P30" s="165">
        <f ca="1">VLOOKUP(O30,Allowance!B$14:I$24,8,FALSE)</f>
        <v>40.509041095890417</v>
      </c>
      <c r="Q30" s="101">
        <f t="shared" ca="1" si="13"/>
        <v>0</v>
      </c>
      <c r="R30" s="101">
        <f t="shared" ca="1" si="10"/>
        <v>0</v>
      </c>
      <c r="S30" s="101">
        <f t="shared" ca="1" si="10"/>
        <v>0</v>
      </c>
      <c r="T30" s="101">
        <f t="shared" ca="1" si="10"/>
        <v>0</v>
      </c>
      <c r="U30" s="103">
        <f t="shared" ca="1" si="10"/>
        <v>8.1427425643650206</v>
      </c>
      <c r="V30" s="103">
        <f t="shared" ca="1" si="10"/>
        <v>9.3538734196666322</v>
      </c>
      <c r="W30" s="103">
        <f t="shared" ca="1" si="10"/>
        <v>9.2843976961842145</v>
      </c>
      <c r="X30" s="103">
        <f t="shared" ca="1" si="10"/>
        <v>9.6899857035410335</v>
      </c>
      <c r="Y30" s="103">
        <f t="shared" ca="1" si="10"/>
        <v>4.0380417121335128</v>
      </c>
      <c r="Z30" s="2"/>
      <c r="AA30" s="2"/>
      <c r="AB30" s="2"/>
      <c r="AC30" s="2"/>
      <c r="AD30" s="2"/>
      <c r="AE30" s="2"/>
      <c r="AF30" s="2"/>
    </row>
    <row r="31" spans="1:32">
      <c r="A31" s="2"/>
      <c r="B31" s="129" t="str">
        <f t="shared" si="7"/>
        <v>TMS</v>
      </c>
      <c r="C31" s="127">
        <f t="shared" ref="C31:K31" ca="1" si="19">IFERROR(C14/SUM($C14:$K14), 0)</f>
        <v>0</v>
      </c>
      <c r="D31" s="127">
        <f t="shared" ca="1" si="19"/>
        <v>0</v>
      </c>
      <c r="E31" s="127">
        <f t="shared" ca="1" si="19"/>
        <v>0</v>
      </c>
      <c r="F31" s="127">
        <f t="shared" ca="1" si="19"/>
        <v>0</v>
      </c>
      <c r="G31" s="127">
        <f t="shared" ca="1" si="19"/>
        <v>0.31710263088362967</v>
      </c>
      <c r="H31" s="127">
        <f t="shared" ca="1" si="19"/>
        <v>0.34139206582870946</v>
      </c>
      <c r="I31" s="127">
        <f t="shared" ca="1" si="19"/>
        <v>0.11452081681953724</v>
      </c>
      <c r="J31" s="127">
        <f t="shared" ca="1" si="19"/>
        <v>0.10889668969161666</v>
      </c>
      <c r="K31" s="127">
        <f t="shared" ca="1" si="19"/>
        <v>0.11808779677650701</v>
      </c>
      <c r="L31" s="130" t="str">
        <f t="shared" ca="1" si="12"/>
        <v>reconciled</v>
      </c>
      <c r="M31" s="2"/>
      <c r="N31" s="2"/>
      <c r="O31" s="94" t="str">
        <f t="shared" si="9"/>
        <v>TMS</v>
      </c>
      <c r="P31" s="165">
        <f ca="1">VLOOKUP(O31,Allowance!B$14:I$24,8,FALSE)</f>
        <v>41.841575342465759</v>
      </c>
      <c r="Q31" s="101">
        <f t="shared" ca="1" si="13"/>
        <v>0</v>
      </c>
      <c r="R31" s="101">
        <f t="shared" ca="1" si="10"/>
        <v>0</v>
      </c>
      <c r="S31" s="101">
        <f t="shared" ca="1" si="10"/>
        <v>0</v>
      </c>
      <c r="T31" s="101">
        <f t="shared" ca="1" si="10"/>
        <v>0</v>
      </c>
      <c r="U31" s="103">
        <f t="shared" ca="1" si="10"/>
        <v>13.268073621411499</v>
      </c>
      <c r="V31" s="103">
        <f t="shared" ca="1" si="10"/>
        <v>14.284381843691976</v>
      </c>
      <c r="W31" s="103">
        <f t="shared" ca="1" si="10"/>
        <v>4.7917313852353871</v>
      </c>
      <c r="X31" s="103">
        <f t="shared" ca="1" si="10"/>
        <v>4.5564090462768929</v>
      </c>
      <c r="Y31" s="103">
        <f t="shared" ca="1" si="10"/>
        <v>4.9409794458500036</v>
      </c>
      <c r="Z31" s="2"/>
      <c r="AA31" s="2"/>
      <c r="AB31" s="2"/>
      <c r="AC31" s="2"/>
      <c r="AD31" s="2"/>
      <c r="AE31" s="2"/>
      <c r="AF31" s="2"/>
    </row>
    <row r="32" spans="1:32">
      <c r="A32" s="2"/>
      <c r="B32" s="129" t="str">
        <f t="shared" si="7"/>
        <v>NWT</v>
      </c>
      <c r="C32" s="127">
        <f t="shared" ref="C32:K32" ca="1" si="20">IFERROR(C15/SUM($C15:$K15), 0)</f>
        <v>0</v>
      </c>
      <c r="D32" s="127">
        <f t="shared" ca="1" si="20"/>
        <v>0</v>
      </c>
      <c r="E32" s="127">
        <f t="shared" ca="1" si="20"/>
        <v>0</v>
      </c>
      <c r="F32" s="127">
        <f t="shared" ca="1" si="20"/>
        <v>0</v>
      </c>
      <c r="G32" s="127">
        <f t="shared" ca="1" si="20"/>
        <v>0.18194974710617656</v>
      </c>
      <c r="H32" s="127">
        <f t="shared" ca="1" si="20"/>
        <v>0.19273490066602597</v>
      </c>
      <c r="I32" s="127">
        <f t="shared" ca="1" si="20"/>
        <v>0.19888290012586773</v>
      </c>
      <c r="J32" s="127">
        <f t="shared" ca="1" si="20"/>
        <v>0.20969526202107069</v>
      </c>
      <c r="K32" s="127">
        <f t="shared" ca="1" si="20"/>
        <v>0.21673719008085893</v>
      </c>
      <c r="L32" s="130" t="str">
        <f t="shared" ca="1" si="12"/>
        <v>reconciled</v>
      </c>
      <c r="M32" s="2"/>
      <c r="N32" s="2"/>
      <c r="O32" s="94" t="str">
        <f t="shared" si="9"/>
        <v>NWT</v>
      </c>
      <c r="P32" s="165">
        <f ca="1">VLOOKUP(O32,Allowance!B$14:I$24,8,FALSE)</f>
        <v>84.349417808219187</v>
      </c>
      <c r="Q32" s="101">
        <f t="shared" ca="1" si="13"/>
        <v>0</v>
      </c>
      <c r="R32" s="101">
        <f t="shared" ca="1" si="10"/>
        <v>0</v>
      </c>
      <c r="S32" s="101">
        <f t="shared" ca="1" si="10"/>
        <v>0</v>
      </c>
      <c r="T32" s="101">
        <f t="shared" ca="1" si="10"/>
        <v>0</v>
      </c>
      <c r="U32" s="103">
        <f t="shared" ca="1" si="10"/>
        <v>15.347355238758707</v>
      </c>
      <c r="V32" s="103">
        <f t="shared" ca="1" si="10"/>
        <v>16.257076662504247</v>
      </c>
      <c r="W32" s="103">
        <f t="shared" ca="1" si="10"/>
        <v>16.775656837627146</v>
      </c>
      <c r="X32" s="103">
        <f t="shared" ca="1" si="10"/>
        <v>17.687673268619289</v>
      </c>
      <c r="Y32" s="103">
        <f t="shared" ca="1" si="10"/>
        <v>18.281655800709789</v>
      </c>
      <c r="Z32" s="2"/>
      <c r="AA32" s="2"/>
      <c r="AB32" s="2"/>
      <c r="AC32" s="2"/>
      <c r="AD32" s="2"/>
      <c r="AE32" s="2"/>
      <c r="AF32" s="2"/>
    </row>
    <row r="33" spans="1:32">
      <c r="A33" s="2"/>
      <c r="B33" s="129" t="str">
        <f t="shared" si="7"/>
        <v>WSX</v>
      </c>
      <c r="C33" s="127">
        <f t="shared" ref="C33:K33" ca="1" si="21">IFERROR(C16/SUM($C16:$K16), 0)</f>
        <v>2.7629547813058058E-3</v>
      </c>
      <c r="D33" s="127">
        <f t="shared" ca="1" si="21"/>
        <v>0</v>
      </c>
      <c r="E33" s="127">
        <f t="shared" ca="1" si="21"/>
        <v>2.856035243281661E-2</v>
      </c>
      <c r="F33" s="127">
        <f t="shared" ca="1" si="21"/>
        <v>0</v>
      </c>
      <c r="G33" s="127">
        <f t="shared" ca="1" si="21"/>
        <v>0.15995627531559636</v>
      </c>
      <c r="H33" s="127">
        <f t="shared" ca="1" si="21"/>
        <v>0.18760365194156892</v>
      </c>
      <c r="I33" s="127">
        <f t="shared" ca="1" si="21"/>
        <v>0.20052514800390944</v>
      </c>
      <c r="J33" s="127">
        <f t="shared" ca="1" si="21"/>
        <v>0.18790086272603254</v>
      </c>
      <c r="K33" s="127">
        <f t="shared" ca="1" si="21"/>
        <v>0.23269075479877038</v>
      </c>
      <c r="L33" s="130" t="str">
        <f t="shared" ca="1" si="12"/>
        <v>reconciled</v>
      </c>
      <c r="M33" s="2"/>
      <c r="N33" s="2"/>
      <c r="O33" s="94" t="str">
        <f t="shared" si="9"/>
        <v>WSX</v>
      </c>
      <c r="P33" s="165">
        <f ca="1">VLOOKUP(O33,Allowance!B$14:I$24,8,FALSE)</f>
        <v>62.6291095890411</v>
      </c>
      <c r="Q33" s="101">
        <f t="shared" ca="1" si="13"/>
        <v>0.1730413977879664</v>
      </c>
      <c r="R33" s="101">
        <f t="shared" ca="1" si="10"/>
        <v>0</v>
      </c>
      <c r="S33" s="191">
        <f t="shared" ca="1" si="10"/>
        <v>1.788709442416508</v>
      </c>
      <c r="T33" s="101">
        <f t="shared" ca="1" si="10"/>
        <v>0</v>
      </c>
      <c r="U33" s="103">
        <f t="shared" ca="1" si="10"/>
        <v>10.017919096195314</v>
      </c>
      <c r="V33" s="103">
        <f t="shared" ca="1" si="10"/>
        <v>11.749449676752842</v>
      </c>
      <c r="W33" s="103">
        <f t="shared" ca="1" si="10"/>
        <v>12.558711469695531</v>
      </c>
      <c r="X33" s="103">
        <f t="shared" ca="1" si="10"/>
        <v>11.76806372354406</v>
      </c>
      <c r="Y33" s="103">
        <f t="shared" ca="1" si="10"/>
        <v>14.573214782648881</v>
      </c>
      <c r="Z33" s="2"/>
      <c r="AA33" s="2"/>
      <c r="AB33" s="2"/>
      <c r="AC33" s="2"/>
      <c r="AD33" s="2"/>
      <c r="AE33" s="2"/>
      <c r="AF33" s="2"/>
    </row>
    <row r="34" spans="1:32">
      <c r="A34" s="2"/>
      <c r="B34" s="129" t="str">
        <f t="shared" si="7"/>
        <v>YKY</v>
      </c>
      <c r="C34" s="127">
        <f t="shared" ref="C34:K34" ca="1" si="22">IFERROR(C17/SUM($C17:$K17), 0)</f>
        <v>0</v>
      </c>
      <c r="D34" s="127">
        <f t="shared" ca="1" si="22"/>
        <v>0</v>
      </c>
      <c r="E34" s="127">
        <f t="shared" ca="1" si="22"/>
        <v>0</v>
      </c>
      <c r="F34" s="127">
        <f t="shared" ca="1" si="22"/>
        <v>0</v>
      </c>
      <c r="G34" s="127">
        <f t="shared" ca="1" si="22"/>
        <v>4.9199818595854851E-2</v>
      </c>
      <c r="H34" s="127">
        <f t="shared" ca="1" si="22"/>
        <v>6.905761189917714E-2</v>
      </c>
      <c r="I34" s="127">
        <f t="shared" ca="1" si="22"/>
        <v>0.16189647090688516</v>
      </c>
      <c r="J34" s="127">
        <f t="shared" ca="1" si="22"/>
        <v>0.32412668237754966</v>
      </c>
      <c r="K34" s="127">
        <f t="shared" ca="1" si="22"/>
        <v>0.39571941622053319</v>
      </c>
      <c r="L34" s="130" t="str">
        <f t="shared" ca="1" si="12"/>
        <v>reconciled</v>
      </c>
      <c r="M34" s="2"/>
      <c r="N34" s="2"/>
      <c r="O34" s="94" t="str">
        <f t="shared" si="9"/>
        <v>YKY</v>
      </c>
      <c r="P34" s="165">
        <f ca="1">VLOOKUP(O34,Allowance!B$14:I$24,8,FALSE)</f>
        <v>98.074520547945212</v>
      </c>
      <c r="Q34" s="101">
        <f t="shared" ca="1" si="13"/>
        <v>0</v>
      </c>
      <c r="R34" s="101">
        <f t="shared" ca="1" si="10"/>
        <v>0</v>
      </c>
      <c r="S34" s="101">
        <f t="shared" ca="1" si="10"/>
        <v>0</v>
      </c>
      <c r="T34" s="101">
        <f t="shared" ca="1" si="10"/>
        <v>0</v>
      </c>
      <c r="U34" s="103">
        <f t="shared" ca="1" si="10"/>
        <v>4.8252486198343432</v>
      </c>
      <c r="V34" s="103">
        <f t="shared" ca="1" si="10"/>
        <v>6.7727921771978741</v>
      </c>
      <c r="W34" s="103">
        <f t="shared" ca="1" si="10"/>
        <v>15.877918762597123</v>
      </c>
      <c r="X34" s="103">
        <f t="shared" ca="1" si="10"/>
        <v>31.788568970974307</v>
      </c>
      <c r="Y34" s="103">
        <f t="shared" ca="1" si="10"/>
        <v>38.809992017341564</v>
      </c>
      <c r="Z34" s="2"/>
      <c r="AA34" s="2"/>
      <c r="AB34" s="2"/>
      <c r="AC34" s="2"/>
      <c r="AD34" s="2"/>
      <c r="AE34" s="2"/>
      <c r="AF34" s="2"/>
    </row>
    <row r="35" spans="1:32">
      <c r="A35" s="2"/>
      <c r="B35" s="129" t="str">
        <f t="shared" si="7"/>
        <v>Total</v>
      </c>
      <c r="C35" s="127">
        <f t="shared" ref="C35:K35" ca="1" si="23">IFERROR(C18/SUM($C18:$K18), 0)</f>
        <v>2.5844889517771596E-4</v>
      </c>
      <c r="D35" s="127">
        <f t="shared" ca="1" si="23"/>
        <v>0</v>
      </c>
      <c r="E35" s="127">
        <f t="shared" ca="1" si="23"/>
        <v>3.7959488145851753E-3</v>
      </c>
      <c r="F35" s="127">
        <f t="shared" ca="1" si="23"/>
        <v>0</v>
      </c>
      <c r="G35" s="127">
        <f t="shared" ca="1" si="23"/>
        <v>0.12049205388452844</v>
      </c>
      <c r="H35" s="127">
        <f t="shared" ca="1" si="23"/>
        <v>0.19750913280899351</v>
      </c>
      <c r="I35" s="127">
        <f t="shared" ca="1" si="23"/>
        <v>0.20037500361337826</v>
      </c>
      <c r="J35" s="127">
        <f t="shared" ca="1" si="23"/>
        <v>0.23141195479453783</v>
      </c>
      <c r="K35" s="127">
        <f t="shared" ca="1" si="23"/>
        <v>0.24615745718879917</v>
      </c>
      <c r="L35" s="130" t="str">
        <f t="shared" ca="1" si="12"/>
        <v>reconciled</v>
      </c>
      <c r="M35" s="2"/>
      <c r="N35" s="2"/>
      <c r="O35" s="94" t="str">
        <f t="shared" si="9"/>
        <v>Total</v>
      </c>
      <c r="P35" s="165">
        <f ca="1">SUM(P24:P34)</f>
        <v>651.01857534246585</v>
      </c>
      <c r="Q35" s="101">
        <f t="shared" ca="1" si="13"/>
        <v>0.16825503153743093</v>
      </c>
      <c r="R35" s="101">
        <f t="shared" ca="1" si="10"/>
        <v>0</v>
      </c>
      <c r="S35" s="101">
        <f t="shared" ca="1" si="10"/>
        <v>2.4712331893441628</v>
      </c>
      <c r="T35" s="101">
        <f t="shared" ca="1" si="10"/>
        <v>0</v>
      </c>
      <c r="U35" s="103">
        <f t="shared" ca="1" si="10"/>
        <v>78.44256525999333</v>
      </c>
      <c r="V35" s="103">
        <f t="shared" ca="1" si="10"/>
        <v>128.58211425843683</v>
      </c>
      <c r="W35" s="103">
        <f t="shared" ca="1" si="10"/>
        <v>130.44784938662295</v>
      </c>
      <c r="X35" s="103">
        <f t="shared" ca="1" si="10"/>
        <v>150.65348112755512</v>
      </c>
      <c r="Y35" s="103">
        <f t="shared" ca="1" si="10"/>
        <v>160.25307708897606</v>
      </c>
      <c r="Z35" s="2"/>
      <c r="AA35" s="2"/>
      <c r="AB35" s="2"/>
      <c r="AC35" s="2"/>
      <c r="AD35" s="2"/>
      <c r="AE35" s="2"/>
      <c r="AF35" s="2"/>
    </row>
    <row r="36" spans="1:3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131"/>
      <c r="V36" s="131"/>
      <c r="W36" s="131"/>
      <c r="X36" s="131"/>
      <c r="Y36" s="131"/>
      <c r="Z36" s="2"/>
      <c r="AA36" s="2"/>
      <c r="AB36" s="2"/>
      <c r="AC36" s="2"/>
      <c r="AD36" s="2"/>
      <c r="AE36" s="2"/>
      <c r="AF36" s="2"/>
    </row>
    <row r="37" spans="1:32" ht="18.75">
      <c r="A37" s="222" t="s">
        <v>272</v>
      </c>
      <c r="B37" s="222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</row>
    <row r="38" spans="1:3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>
      <c r="A39" s="2"/>
      <c r="B39" s="132" t="s">
        <v>273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100" t="s">
        <v>274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51">
      <c r="A40" s="2"/>
      <c r="B40" s="13" t="s">
        <v>52</v>
      </c>
      <c r="C40" s="13" t="s">
        <v>256</v>
      </c>
      <c r="D40" s="13" t="s">
        <v>257</v>
      </c>
      <c r="E40" s="13" t="s">
        <v>258</v>
      </c>
      <c r="F40" s="13" t="s">
        <v>259</v>
      </c>
      <c r="G40" s="13" t="s">
        <v>260</v>
      </c>
      <c r="H40" s="13" t="s">
        <v>261</v>
      </c>
      <c r="I40" s="13" t="s">
        <v>262</v>
      </c>
      <c r="J40" s="13" t="s">
        <v>263</v>
      </c>
      <c r="K40" s="13" t="s">
        <v>264</v>
      </c>
      <c r="L40" s="13" t="s">
        <v>111</v>
      </c>
      <c r="M40" s="13" t="s">
        <v>275</v>
      </c>
      <c r="N40" s="2"/>
      <c r="O40" s="13" t="s">
        <v>52</v>
      </c>
      <c r="P40" s="13" t="s">
        <v>270</v>
      </c>
      <c r="Q40" s="13" t="s">
        <v>256</v>
      </c>
      <c r="R40" s="13" t="s">
        <v>257</v>
      </c>
      <c r="S40" s="13" t="s">
        <v>258</v>
      </c>
      <c r="T40" s="13" t="s">
        <v>259</v>
      </c>
      <c r="U40" s="13" t="s">
        <v>260</v>
      </c>
      <c r="V40" s="13" t="s">
        <v>261</v>
      </c>
      <c r="W40" s="13" t="s">
        <v>262</v>
      </c>
      <c r="X40" s="13" t="s">
        <v>263</v>
      </c>
      <c r="Y40" s="13" t="s">
        <v>264</v>
      </c>
      <c r="Z40" s="21" t="s">
        <v>276</v>
      </c>
      <c r="AA40" s="2"/>
      <c r="AB40" s="2"/>
      <c r="AC40" s="2"/>
      <c r="AD40" s="2"/>
      <c r="AE40" s="2"/>
      <c r="AF40" s="2"/>
    </row>
    <row r="41" spans="1:32">
      <c r="A41" s="2"/>
      <c r="B41" s="94" t="str">
        <f t="shared" ref="B41:B52" si="24">B7</f>
        <v>ANH</v>
      </c>
      <c r="C41" s="94"/>
      <c r="D41" s="94"/>
      <c r="E41" s="94"/>
      <c r="F41" s="94"/>
      <c r="G41" s="94"/>
      <c r="H41" s="94"/>
      <c r="I41" s="94"/>
      <c r="J41" s="94"/>
      <c r="K41" s="94"/>
      <c r="L41" s="94">
        <f>SUM(C41:K41)</f>
        <v>0</v>
      </c>
      <c r="M41" s="94"/>
      <c r="N41" s="2"/>
      <c r="O41" s="13" t="str">
        <f t="shared" ref="O41:O52" si="25">B7</f>
        <v>ANH</v>
      </c>
      <c r="P41" s="133">
        <f t="shared" ref="P41:P52" ca="1" si="26">P24</f>
        <v>77.820000000000007</v>
      </c>
      <c r="Q41" s="134">
        <f ca="1">IFERROR((Q7-C41)/(SUM($Q7:$Y7)-SUM($C41:$K41))*$P41, 0)</f>
        <v>0</v>
      </c>
      <c r="R41" s="134">
        <f t="shared" ref="R41:Y41" ca="1" si="27">IFERROR((R7-D41)/(SUM($Q7:$Y7)-SUM($C41:$K41))*$P41, 0)</f>
        <v>0</v>
      </c>
      <c r="S41" s="134">
        <f t="shared" ca="1" si="27"/>
        <v>0</v>
      </c>
      <c r="T41" s="134">
        <f t="shared" ca="1" si="27"/>
        <v>0</v>
      </c>
      <c r="U41" s="134">
        <f t="shared" ca="1" si="27"/>
        <v>0</v>
      </c>
      <c r="V41" s="134">
        <f t="shared" ca="1" si="27"/>
        <v>15.590650684931507</v>
      </c>
      <c r="W41" s="134">
        <f t="shared" ca="1" si="27"/>
        <v>15.590650684931507</v>
      </c>
      <c r="X41" s="134">
        <f t="shared" ca="1" si="27"/>
        <v>23.319349315068493</v>
      </c>
      <c r="Y41" s="134">
        <f t="shared" ca="1" si="27"/>
        <v>23.319349315068493</v>
      </c>
      <c r="Z41" s="128" t="str">
        <f ca="1">IF(SUM(Q41:Y41)=P41, "reconciled","check")</f>
        <v>reconciled</v>
      </c>
      <c r="AA41" s="2"/>
      <c r="AB41" s="2"/>
      <c r="AC41" s="2"/>
      <c r="AD41" s="2"/>
      <c r="AE41" s="2"/>
      <c r="AF41" s="2"/>
    </row>
    <row r="42" spans="1:32">
      <c r="A42" s="2"/>
      <c r="B42" s="94" t="str">
        <f t="shared" si="24"/>
        <v>WSH</v>
      </c>
      <c r="C42" s="94"/>
      <c r="D42" s="94"/>
      <c r="E42" s="94"/>
      <c r="F42" s="94"/>
      <c r="G42" s="94"/>
      <c r="H42" s="94"/>
      <c r="I42" s="94"/>
      <c r="J42" s="94"/>
      <c r="K42" s="94"/>
      <c r="L42" s="94">
        <f t="shared" ref="L42:L52" si="28">SUM(C42:K42)</f>
        <v>0</v>
      </c>
      <c r="M42" s="94"/>
      <c r="N42" s="2"/>
      <c r="O42" s="13" t="str">
        <f t="shared" si="25"/>
        <v>WSH</v>
      </c>
      <c r="P42" s="133">
        <f t="shared" ca="1" si="26"/>
        <v>6.0719999999999992</v>
      </c>
      <c r="Q42" s="134">
        <f t="shared" ref="Q42:Q52" ca="1" si="29">IFERROR((Q8-C42)/(SUM($Q8:$Y8)-SUM($C42:$K42))*$P42, 0)</f>
        <v>0</v>
      </c>
      <c r="R42" s="134">
        <f t="shared" ref="R42:R52" ca="1" si="30">IFERROR((R8-D42)/(SUM($Q8:$Y8)-SUM($C42:$K42))*$P42, 0)</f>
        <v>0</v>
      </c>
      <c r="S42" s="134">
        <f t="shared" ref="S42:S52" ca="1" si="31">IFERROR((S8-E42)/(SUM($Q8:$Y8)-SUM($C42:$K42))*$P42, 0)</f>
        <v>0</v>
      </c>
      <c r="T42" s="134">
        <f t="shared" ref="T42:T52" ca="1" si="32">IFERROR((T8-F42)/(SUM($Q8:$Y8)-SUM($C42:$K42))*$P42, 0)</f>
        <v>0</v>
      </c>
      <c r="U42" s="134">
        <f t="shared" ref="U42:U52" ca="1" si="33">IFERROR((U8-G42)/(SUM($Q8:$Y8)-SUM($C42:$K42))*$P42, 0)</f>
        <v>3.0359999999999996</v>
      </c>
      <c r="V42" s="134">
        <f t="shared" ref="V42:V52" ca="1" si="34">IFERROR((V8-H42)/(SUM($Q8:$Y8)-SUM($C42:$K42))*$P42, 0)</f>
        <v>3.0359999999999996</v>
      </c>
      <c r="W42" s="134">
        <f t="shared" ref="W42:W52" ca="1" si="35">IFERROR((W8-I42)/(SUM($Q8:$Y8)-SUM($C42:$K42))*$P42, 0)</f>
        <v>0</v>
      </c>
      <c r="X42" s="134">
        <f t="shared" ref="X42:X52" ca="1" si="36">IFERROR((X8-J42)/(SUM($Q8:$Y8)-SUM($C42:$K42))*$P42, 0)</f>
        <v>0</v>
      </c>
      <c r="Y42" s="134">
        <f t="shared" ref="Y42:Y52" ca="1" si="37">IFERROR((Y8-K42)/(SUM($Q8:$Y8)-SUM($C42:$K42))*$P42, 0)</f>
        <v>0</v>
      </c>
      <c r="Z42" s="130" t="str">
        <f t="shared" ref="Z42:Z52" ca="1" si="38">IF(SUM(Q42:Y42)=P42, "reconciled","check")</f>
        <v>reconciled</v>
      </c>
      <c r="AA42" s="2"/>
      <c r="AB42" s="2"/>
      <c r="AC42" s="2"/>
      <c r="AD42" s="2"/>
      <c r="AE42" s="2"/>
      <c r="AF42" s="2"/>
    </row>
    <row r="43" spans="1:32">
      <c r="A43" s="2"/>
      <c r="B43" s="94" t="str">
        <f t="shared" si="24"/>
        <v>HDD</v>
      </c>
      <c r="C43" s="94"/>
      <c r="D43" s="94"/>
      <c r="E43" s="94"/>
      <c r="F43" s="94"/>
      <c r="G43" s="94"/>
      <c r="H43" s="94"/>
      <c r="I43" s="94"/>
      <c r="J43" s="94"/>
      <c r="K43" s="94"/>
      <c r="L43" s="94">
        <f t="shared" si="28"/>
        <v>0</v>
      </c>
      <c r="M43" s="94"/>
      <c r="N43" s="2"/>
      <c r="O43" s="13" t="str">
        <f t="shared" si="25"/>
        <v>HDD</v>
      </c>
      <c r="P43" s="133">
        <f t="shared" ca="1" si="26"/>
        <v>0</v>
      </c>
      <c r="Q43" s="134">
        <f t="shared" ca="1" si="29"/>
        <v>0</v>
      </c>
      <c r="R43" s="134">
        <f t="shared" ca="1" si="30"/>
        <v>0</v>
      </c>
      <c r="S43" s="134">
        <f t="shared" ca="1" si="31"/>
        <v>0</v>
      </c>
      <c r="T43" s="134">
        <f t="shared" ca="1" si="32"/>
        <v>0</v>
      </c>
      <c r="U43" s="134">
        <f t="shared" ca="1" si="33"/>
        <v>0</v>
      </c>
      <c r="V43" s="134">
        <f t="shared" ca="1" si="34"/>
        <v>0</v>
      </c>
      <c r="W43" s="134">
        <f t="shared" ca="1" si="35"/>
        <v>0</v>
      </c>
      <c r="X43" s="134">
        <f t="shared" ca="1" si="36"/>
        <v>0</v>
      </c>
      <c r="Y43" s="134">
        <f t="shared" ca="1" si="37"/>
        <v>0</v>
      </c>
      <c r="Z43" s="130" t="str">
        <f t="shared" ca="1" si="38"/>
        <v>reconciled</v>
      </c>
      <c r="AA43" s="2"/>
      <c r="AB43" s="2"/>
      <c r="AC43" s="2"/>
      <c r="AD43" s="2"/>
      <c r="AE43" s="2"/>
      <c r="AF43" s="2"/>
    </row>
    <row r="44" spans="1:32">
      <c r="A44" s="2"/>
      <c r="B44" s="94" t="str">
        <f t="shared" si="24"/>
        <v>NES</v>
      </c>
      <c r="C44" s="94"/>
      <c r="D44" s="94"/>
      <c r="E44" s="94"/>
      <c r="F44" s="94"/>
      <c r="G44" s="94"/>
      <c r="H44" s="94"/>
      <c r="I44" s="94"/>
      <c r="J44" s="94"/>
      <c r="K44" s="94"/>
      <c r="L44" s="94">
        <f t="shared" si="28"/>
        <v>0</v>
      </c>
      <c r="M44" s="94"/>
      <c r="N44" s="2"/>
      <c r="O44" s="13" t="str">
        <f t="shared" si="25"/>
        <v>NES</v>
      </c>
      <c r="P44" s="133">
        <f t="shared" ca="1" si="26"/>
        <v>51.968835616438362</v>
      </c>
      <c r="Q44" s="134">
        <f t="shared" ca="1" si="29"/>
        <v>0</v>
      </c>
      <c r="R44" s="134">
        <f t="shared" ca="1" si="30"/>
        <v>0</v>
      </c>
      <c r="S44" s="134">
        <f t="shared" ca="1" si="31"/>
        <v>0</v>
      </c>
      <c r="T44" s="134">
        <f t="shared" ca="1" si="32"/>
        <v>0</v>
      </c>
      <c r="U44" s="134">
        <f t="shared" ca="1" si="33"/>
        <v>0</v>
      </c>
      <c r="V44" s="134">
        <f t="shared" ca="1" si="34"/>
        <v>12.925582191780824</v>
      </c>
      <c r="W44" s="134">
        <f t="shared" ca="1" si="35"/>
        <v>13.058835616438357</v>
      </c>
      <c r="X44" s="134">
        <f t="shared" ca="1" si="36"/>
        <v>12.925582191780824</v>
      </c>
      <c r="Y44" s="134">
        <f t="shared" ca="1" si="37"/>
        <v>13.058835616438357</v>
      </c>
      <c r="Z44" s="130" t="str">
        <f t="shared" ca="1" si="38"/>
        <v>reconciled</v>
      </c>
      <c r="AA44" s="2"/>
      <c r="AB44" s="2"/>
      <c r="AC44" s="2"/>
      <c r="AD44" s="2"/>
      <c r="AE44" s="2"/>
      <c r="AF44" s="2"/>
    </row>
    <row r="45" spans="1:32">
      <c r="A45" s="2"/>
      <c r="B45" s="94" t="str">
        <f t="shared" si="24"/>
        <v>SVE</v>
      </c>
      <c r="C45" s="94"/>
      <c r="D45" s="94"/>
      <c r="E45" s="94"/>
      <c r="F45" s="94"/>
      <c r="G45" s="94"/>
      <c r="H45" s="94"/>
      <c r="I45" s="94"/>
      <c r="J45" s="94"/>
      <c r="K45" s="94"/>
      <c r="L45" s="94">
        <f t="shared" si="28"/>
        <v>0</v>
      </c>
      <c r="M45" s="94"/>
      <c r="N45" s="2"/>
      <c r="O45" s="13" t="str">
        <f t="shared" si="25"/>
        <v>SVE</v>
      </c>
      <c r="P45" s="133">
        <f t="shared" ca="1" si="26"/>
        <v>133.25342465753425</v>
      </c>
      <c r="Q45" s="134">
        <f t="shared" ca="1" si="29"/>
        <v>0</v>
      </c>
      <c r="R45" s="134">
        <f t="shared" ca="1" si="30"/>
        <v>0</v>
      </c>
      <c r="S45" s="134">
        <f t="shared" ca="1" si="31"/>
        <v>0</v>
      </c>
      <c r="T45" s="134">
        <f t="shared" ca="1" si="32"/>
        <v>0</v>
      </c>
      <c r="U45" s="134">
        <f t="shared" ca="1" si="33"/>
        <v>0</v>
      </c>
      <c r="V45" s="134">
        <f t="shared" ca="1" si="34"/>
        <v>33.313356164383563</v>
      </c>
      <c r="W45" s="134">
        <f t="shared" ca="1" si="35"/>
        <v>33.313356164383563</v>
      </c>
      <c r="X45" s="134">
        <f t="shared" ca="1" si="36"/>
        <v>33.313356164383563</v>
      </c>
      <c r="Y45" s="134">
        <f t="shared" ca="1" si="37"/>
        <v>33.313356164383563</v>
      </c>
      <c r="Z45" s="130" t="str">
        <f t="shared" ca="1" si="38"/>
        <v>reconciled</v>
      </c>
      <c r="AA45" s="2"/>
      <c r="AB45" s="2"/>
      <c r="AC45" s="2"/>
      <c r="AD45" s="2"/>
      <c r="AE45" s="2"/>
      <c r="AF45" s="2"/>
    </row>
    <row r="46" spans="1:32">
      <c r="A46" s="2"/>
      <c r="B46" s="94" t="str">
        <f t="shared" si="24"/>
        <v>SWB</v>
      </c>
      <c r="C46" s="94"/>
      <c r="D46" s="94"/>
      <c r="E46" s="94"/>
      <c r="F46" s="94"/>
      <c r="G46" s="94"/>
      <c r="H46" s="94"/>
      <c r="I46" s="94"/>
      <c r="J46" s="94"/>
      <c r="K46" s="94"/>
      <c r="L46" s="94">
        <f t="shared" si="28"/>
        <v>0</v>
      </c>
      <c r="M46" s="94"/>
      <c r="N46" s="2"/>
      <c r="O46" s="13" t="str">
        <f t="shared" si="25"/>
        <v>SWB</v>
      </c>
      <c r="P46" s="133">
        <f t="shared" ca="1" si="26"/>
        <v>54.500650684931514</v>
      </c>
      <c r="Q46" s="134">
        <f t="shared" ca="1" si="29"/>
        <v>0</v>
      </c>
      <c r="R46" s="134">
        <f t="shared" ca="1" si="30"/>
        <v>0</v>
      </c>
      <c r="S46" s="134">
        <f t="shared" ca="1" si="31"/>
        <v>0</v>
      </c>
      <c r="T46" s="134">
        <f t="shared" ca="1" si="32"/>
        <v>0</v>
      </c>
      <c r="U46" s="134">
        <f t="shared" ca="1" si="33"/>
        <v>10.926780821917809</v>
      </c>
      <c r="V46" s="134">
        <f t="shared" ca="1" si="34"/>
        <v>10.926780821917809</v>
      </c>
      <c r="W46" s="134">
        <f t="shared" ca="1" si="35"/>
        <v>10.926780821917809</v>
      </c>
      <c r="X46" s="134">
        <f t="shared" ca="1" si="36"/>
        <v>10.926780821917809</v>
      </c>
      <c r="Y46" s="134">
        <f t="shared" ca="1" si="37"/>
        <v>10.793527397260275</v>
      </c>
      <c r="Z46" s="130" t="str">
        <f t="shared" ca="1" si="38"/>
        <v>reconciled</v>
      </c>
      <c r="AA46" s="2"/>
      <c r="AB46" s="2"/>
      <c r="AC46" s="2"/>
      <c r="AD46" s="2"/>
      <c r="AE46" s="2"/>
      <c r="AF46" s="2"/>
    </row>
    <row r="47" spans="1:32">
      <c r="A47" s="2"/>
      <c r="B47" s="94" t="str">
        <f t="shared" si="24"/>
        <v>SRN</v>
      </c>
      <c r="C47" s="94"/>
      <c r="D47" s="94"/>
      <c r="E47" s="94"/>
      <c r="F47" s="94"/>
      <c r="G47" s="94"/>
      <c r="H47" s="94"/>
      <c r="I47" s="94"/>
      <c r="J47" s="94"/>
      <c r="K47" s="94"/>
      <c r="L47" s="94">
        <f t="shared" si="28"/>
        <v>0</v>
      </c>
      <c r="M47" s="94"/>
      <c r="N47" s="2"/>
      <c r="O47" s="13" t="str">
        <f t="shared" si="25"/>
        <v>SRN</v>
      </c>
      <c r="P47" s="133">
        <f t="shared" ca="1" si="26"/>
        <v>40.509041095890417</v>
      </c>
      <c r="Q47" s="134">
        <f t="shared" ca="1" si="29"/>
        <v>0</v>
      </c>
      <c r="R47" s="134">
        <f t="shared" ca="1" si="30"/>
        <v>0</v>
      </c>
      <c r="S47" s="134">
        <f t="shared" ca="1" si="31"/>
        <v>0</v>
      </c>
      <c r="T47" s="134">
        <f t="shared" ca="1" si="32"/>
        <v>0</v>
      </c>
      <c r="U47" s="134">
        <f t="shared" ca="1" si="33"/>
        <v>0</v>
      </c>
      <c r="V47" s="134">
        <f t="shared" ca="1" si="34"/>
        <v>0</v>
      </c>
      <c r="W47" s="134">
        <f t="shared" ca="1" si="35"/>
        <v>0</v>
      </c>
      <c r="X47" s="134">
        <f t="shared" ca="1" si="36"/>
        <v>0</v>
      </c>
      <c r="Y47" s="134">
        <f t="shared" ca="1" si="37"/>
        <v>40.509041095890417</v>
      </c>
      <c r="Z47" s="130" t="str">
        <f t="shared" ca="1" si="38"/>
        <v>reconciled</v>
      </c>
      <c r="AA47" s="2"/>
      <c r="AB47" s="2"/>
      <c r="AC47" s="2"/>
      <c r="AD47" s="2"/>
      <c r="AE47" s="2"/>
      <c r="AF47" s="2"/>
    </row>
    <row r="48" spans="1:32">
      <c r="A48" s="2"/>
      <c r="B48" s="94" t="str">
        <f t="shared" si="24"/>
        <v>TMS</v>
      </c>
      <c r="C48" s="94"/>
      <c r="D48" s="94"/>
      <c r="E48" s="94"/>
      <c r="F48" s="94"/>
      <c r="G48" s="94"/>
      <c r="H48" s="94"/>
      <c r="I48" s="94"/>
      <c r="J48" s="94"/>
      <c r="K48" s="94"/>
      <c r="L48" s="94">
        <f t="shared" si="28"/>
        <v>0</v>
      </c>
      <c r="M48" s="94"/>
      <c r="N48" s="2"/>
      <c r="O48" s="13" t="str">
        <f t="shared" si="25"/>
        <v>TMS</v>
      </c>
      <c r="P48" s="133">
        <f t="shared" ca="1" si="26"/>
        <v>41.841575342465759</v>
      </c>
      <c r="Q48" s="134">
        <f t="shared" ca="1" si="29"/>
        <v>0</v>
      </c>
      <c r="R48" s="134">
        <f t="shared" ca="1" si="30"/>
        <v>0</v>
      </c>
      <c r="S48" s="134">
        <f t="shared" ca="1" si="31"/>
        <v>0</v>
      </c>
      <c r="T48" s="134">
        <f t="shared" ca="1" si="32"/>
        <v>0</v>
      </c>
      <c r="U48" s="134">
        <f t="shared" ca="1" si="33"/>
        <v>8.3949657534246587</v>
      </c>
      <c r="V48" s="134">
        <f t="shared" ca="1" si="34"/>
        <v>8.3949657534246587</v>
      </c>
      <c r="W48" s="134">
        <f t="shared" ca="1" si="35"/>
        <v>8.3949657534246587</v>
      </c>
      <c r="X48" s="134">
        <f t="shared" ca="1" si="36"/>
        <v>8.3949657534246587</v>
      </c>
      <c r="Y48" s="134">
        <f t="shared" ca="1" si="37"/>
        <v>8.2617123287671248</v>
      </c>
      <c r="Z48" s="130" t="str">
        <f t="shared" ca="1" si="38"/>
        <v>reconciled</v>
      </c>
      <c r="AA48" s="2"/>
      <c r="AB48" s="2"/>
      <c r="AC48" s="2"/>
      <c r="AD48" s="2"/>
      <c r="AE48" s="2"/>
      <c r="AF48" s="2"/>
    </row>
    <row r="49" spans="1:32">
      <c r="A49" s="2"/>
      <c r="B49" s="94" t="str">
        <f t="shared" si="24"/>
        <v>NWT</v>
      </c>
      <c r="C49" s="94"/>
      <c r="D49" s="94"/>
      <c r="E49" s="94"/>
      <c r="F49" s="94"/>
      <c r="G49" s="94"/>
      <c r="H49" s="94"/>
      <c r="I49" s="94"/>
      <c r="J49" s="94"/>
      <c r="K49" s="94"/>
      <c r="L49" s="94">
        <f t="shared" si="28"/>
        <v>0</v>
      </c>
      <c r="M49" s="94"/>
      <c r="N49" s="2"/>
      <c r="O49" s="13" t="str">
        <f t="shared" si="25"/>
        <v>NWT</v>
      </c>
      <c r="P49" s="133">
        <f t="shared" ca="1" si="26"/>
        <v>84.349417808219187</v>
      </c>
      <c r="Q49" s="134">
        <f t="shared" ca="1" si="29"/>
        <v>0</v>
      </c>
      <c r="R49" s="134">
        <f t="shared" ca="1" si="30"/>
        <v>0</v>
      </c>
      <c r="S49" s="134">
        <f t="shared" ca="1" si="31"/>
        <v>0</v>
      </c>
      <c r="T49" s="134">
        <f t="shared" ca="1" si="32"/>
        <v>0</v>
      </c>
      <c r="U49" s="134">
        <f t="shared" ca="1" si="33"/>
        <v>15.990410958904111</v>
      </c>
      <c r="V49" s="134">
        <f t="shared" ca="1" si="34"/>
        <v>15.990410958904111</v>
      </c>
      <c r="W49" s="134">
        <f t="shared" ca="1" si="35"/>
        <v>15.990410958904111</v>
      </c>
      <c r="X49" s="134">
        <f t="shared" ca="1" si="36"/>
        <v>15.990410958904111</v>
      </c>
      <c r="Y49" s="134">
        <f t="shared" ca="1" si="37"/>
        <v>20.387773972602741</v>
      </c>
      <c r="Z49" s="130" t="str">
        <f t="shared" ca="1" si="38"/>
        <v>reconciled</v>
      </c>
      <c r="AA49" s="2"/>
      <c r="AB49" s="2"/>
      <c r="AC49" s="2"/>
      <c r="AD49" s="2"/>
      <c r="AE49" s="2"/>
      <c r="AF49" s="2"/>
    </row>
    <row r="50" spans="1:32">
      <c r="A50" s="2"/>
      <c r="B50" s="94" t="str">
        <f t="shared" si="24"/>
        <v>WSX</v>
      </c>
      <c r="C50" s="94"/>
      <c r="D50" s="94"/>
      <c r="E50" s="94"/>
      <c r="F50" s="94"/>
      <c r="G50" s="94"/>
      <c r="H50" s="94"/>
      <c r="I50" s="94"/>
      <c r="J50" s="94"/>
      <c r="K50" s="94"/>
      <c r="L50" s="94">
        <f t="shared" si="28"/>
        <v>0</v>
      </c>
      <c r="M50" s="94"/>
      <c r="N50" s="2"/>
      <c r="O50" s="13" t="str">
        <f t="shared" si="25"/>
        <v>WSX</v>
      </c>
      <c r="P50" s="133">
        <f t="shared" ca="1" si="26"/>
        <v>62.6291095890411</v>
      </c>
      <c r="Q50" s="134">
        <f t="shared" ca="1" si="29"/>
        <v>0</v>
      </c>
      <c r="R50" s="134">
        <f t="shared" ca="1" si="30"/>
        <v>0</v>
      </c>
      <c r="S50" s="134">
        <f t="shared" ca="1" si="31"/>
        <v>0</v>
      </c>
      <c r="T50" s="134">
        <f t="shared" ca="1" si="32"/>
        <v>0</v>
      </c>
      <c r="U50" s="134">
        <f t="shared" ca="1" si="33"/>
        <v>1.3325342465753425</v>
      </c>
      <c r="V50" s="134">
        <f t="shared" ca="1" si="34"/>
        <v>13.325342465753426</v>
      </c>
      <c r="W50" s="134">
        <f t="shared" ca="1" si="35"/>
        <v>13.325342465753426</v>
      </c>
      <c r="X50" s="134">
        <f t="shared" ca="1" si="36"/>
        <v>15.990410958904109</v>
      </c>
      <c r="Y50" s="134">
        <f t="shared" ca="1" si="37"/>
        <v>18.655479452054795</v>
      </c>
      <c r="Z50" s="130" t="str">
        <f t="shared" ca="1" si="38"/>
        <v>reconciled</v>
      </c>
      <c r="AA50" s="2"/>
      <c r="AB50" s="2"/>
      <c r="AC50" s="2"/>
      <c r="AD50" s="2"/>
      <c r="AE50" s="2"/>
      <c r="AF50" s="2"/>
    </row>
    <row r="51" spans="1:32">
      <c r="A51" s="2"/>
      <c r="B51" s="94" t="str">
        <f t="shared" si="24"/>
        <v>YKY</v>
      </c>
      <c r="C51" s="94"/>
      <c r="D51" s="94"/>
      <c r="E51" s="94"/>
      <c r="F51" s="94"/>
      <c r="G51" s="94"/>
      <c r="H51" s="94"/>
      <c r="I51" s="94"/>
      <c r="J51" s="94"/>
      <c r="K51" s="94"/>
      <c r="L51" s="94">
        <f t="shared" si="28"/>
        <v>0</v>
      </c>
      <c r="M51" s="94"/>
      <c r="N51" s="2"/>
      <c r="O51" s="13" t="str">
        <f t="shared" si="25"/>
        <v>YKY</v>
      </c>
      <c r="P51" s="133">
        <f t="shared" ca="1" si="26"/>
        <v>98.074520547945212</v>
      </c>
      <c r="Q51" s="134">
        <f t="shared" ca="1" si="29"/>
        <v>0</v>
      </c>
      <c r="R51" s="134">
        <f t="shared" ca="1" si="30"/>
        <v>0</v>
      </c>
      <c r="S51" s="134">
        <f t="shared" ca="1" si="31"/>
        <v>0</v>
      </c>
      <c r="T51" s="134">
        <f t="shared" ca="1" si="32"/>
        <v>0</v>
      </c>
      <c r="U51" s="134">
        <f t="shared" ca="1" si="33"/>
        <v>2.9315753424657536</v>
      </c>
      <c r="V51" s="134">
        <f t="shared" ca="1" si="34"/>
        <v>5.4633904109589047</v>
      </c>
      <c r="W51" s="134">
        <f t="shared" ca="1" si="35"/>
        <v>19.055239726027398</v>
      </c>
      <c r="X51" s="134">
        <f t="shared" ca="1" si="36"/>
        <v>35.31215753424658</v>
      </c>
      <c r="Y51" s="134">
        <f t="shared" ca="1" si="37"/>
        <v>35.31215753424658</v>
      </c>
      <c r="Z51" s="130" t="str">
        <f ca="1">IF(SUM(Q51:Y51)=P51, "reconciled","check")</f>
        <v>reconciled</v>
      </c>
      <c r="AA51" s="2"/>
      <c r="AB51" s="2"/>
      <c r="AC51" s="2"/>
      <c r="AD51" s="2"/>
      <c r="AE51" s="2"/>
      <c r="AF51" s="2"/>
    </row>
    <row r="52" spans="1:32">
      <c r="A52" s="2"/>
      <c r="B52" s="94" t="str">
        <f t="shared" si="24"/>
        <v>Total</v>
      </c>
      <c r="C52" s="94"/>
      <c r="D52" s="94"/>
      <c r="E52" s="94"/>
      <c r="F52" s="94"/>
      <c r="G52" s="94"/>
      <c r="H52" s="94"/>
      <c r="I52" s="94"/>
      <c r="J52" s="94"/>
      <c r="K52" s="94"/>
      <c r="L52" s="94">
        <f t="shared" si="28"/>
        <v>0</v>
      </c>
      <c r="M52" s="94"/>
      <c r="N52" s="2"/>
      <c r="O52" s="13" t="str">
        <f t="shared" si="25"/>
        <v>Total</v>
      </c>
      <c r="P52" s="133">
        <f t="shared" ca="1" si="26"/>
        <v>651.01857534246585</v>
      </c>
      <c r="Q52" s="134">
        <f t="shared" ca="1" si="29"/>
        <v>0</v>
      </c>
      <c r="R52" s="134">
        <f t="shared" ca="1" si="30"/>
        <v>0</v>
      </c>
      <c r="S52" s="134">
        <f t="shared" ca="1" si="31"/>
        <v>0</v>
      </c>
      <c r="T52" s="134">
        <f t="shared" ca="1" si="32"/>
        <v>0</v>
      </c>
      <c r="U52" s="134">
        <f t="shared" ca="1" si="33"/>
        <v>41.591367487984158</v>
      </c>
      <c r="V52" s="134">
        <f t="shared" ca="1" si="34"/>
        <v>118.22112173433439</v>
      </c>
      <c r="W52" s="134">
        <f t="shared" ca="1" si="35"/>
        <v>130.12347448813051</v>
      </c>
      <c r="X52" s="134">
        <f t="shared" ca="1" si="36"/>
        <v>156.7366003084162</v>
      </c>
      <c r="Y52" s="134">
        <f t="shared" ca="1" si="37"/>
        <v>204.34601132360064</v>
      </c>
      <c r="Z52" s="130" t="str">
        <f t="shared" ca="1" si="38"/>
        <v>reconciled</v>
      </c>
      <c r="AA52" s="2"/>
      <c r="AB52" s="2"/>
      <c r="AC52" s="2"/>
      <c r="AD52" s="2"/>
      <c r="AE52" s="2"/>
      <c r="AF52" s="2"/>
    </row>
    <row r="53" spans="1:3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13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6"/>
      <c r="AA53" s="2"/>
      <c r="AB53" s="2"/>
      <c r="AC53" s="2"/>
      <c r="AD53" s="2"/>
      <c r="AE53" s="2"/>
      <c r="AF53" s="2"/>
    </row>
    <row r="54" spans="1:3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</sheetData>
  <mergeCells count="4">
    <mergeCell ref="A1:AF1"/>
    <mergeCell ref="A3:AF3"/>
    <mergeCell ref="A20:AF20"/>
    <mergeCell ref="A37:AF37"/>
  </mergeCells>
  <conditionalFormatting sqref="Z53">
    <cfRule type="containsText" dxfId="1" priority="3" operator="containsText" text="check">
      <formula>NOT(ISERROR(SEARCH("check",Z53)))</formula>
    </cfRule>
    <cfRule type="containsText" dxfId="0" priority="4" operator="containsText" text="reconciled">
      <formula>NOT(ISERROR(SEARCH("reconciled",Z53)))</formula>
    </cfRule>
  </conditionalFormatting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AFA7F-60E4-4BFD-9ABD-AA957D2F9F08}">
  <sheetPr>
    <tabColor rgb="FF98C561"/>
  </sheetPr>
  <dimension ref="A1:M91"/>
  <sheetViews>
    <sheetView showGridLines="0" zoomScale="80" zoomScaleNormal="80" workbookViewId="0"/>
  </sheetViews>
  <sheetFormatPr defaultRowHeight="12.75"/>
  <cols>
    <col min="2" max="2" width="34.140625" bestFit="1" customWidth="1"/>
    <col min="3" max="3" width="73.42578125" bestFit="1" customWidth="1"/>
  </cols>
  <sheetData>
    <row r="1" spans="1:13" ht="31.5">
      <c r="A1" s="1" t="str">
        <f ca="1" xml:space="preserve"> RIGHT(CELL("filename", $A$1), LEN(CELL("filename", $A$1)) - SEARCH("]", CELL("filename", $A$1)))</f>
        <v>F_Outputs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C2" t="s">
        <v>2</v>
      </c>
    </row>
    <row r="3" spans="1:13">
      <c r="A3" t="s">
        <v>59</v>
      </c>
      <c r="B3" t="s">
        <v>60</v>
      </c>
      <c r="C3" t="s">
        <v>61</v>
      </c>
      <c r="D3" t="s">
        <v>62</v>
      </c>
      <c r="E3" t="s">
        <v>63</v>
      </c>
      <c r="F3" t="s">
        <v>71</v>
      </c>
      <c r="G3" t="s">
        <v>64</v>
      </c>
      <c r="H3" t="s">
        <v>65</v>
      </c>
      <c r="I3" t="s">
        <v>66</v>
      </c>
      <c r="J3" t="s">
        <v>67</v>
      </c>
      <c r="K3" t="s">
        <v>68</v>
      </c>
      <c r="L3" t="s">
        <v>69</v>
      </c>
      <c r="M3" t="s">
        <v>70</v>
      </c>
    </row>
    <row r="4" spans="1:13">
      <c r="A4" t="s">
        <v>75</v>
      </c>
      <c r="B4" t="str">
        <f>CONCATENATE("C_", $C$2, "_ENH_WW_TOT")</f>
        <v>C_PR24CA20_ENH_WW_TOT</v>
      </c>
      <c r="C4" t="s">
        <v>277</v>
      </c>
      <c r="D4" t="s">
        <v>78</v>
      </c>
      <c r="E4" t="s">
        <v>72</v>
      </c>
      <c r="I4">
        <f ca="1" xml:space="preserve"> SUMIFS('Outputs to aggregator'!U$41:U$51, 'Outputs to aggregator'!$O$41:$O$51, $A4)</f>
        <v>0</v>
      </c>
      <c r="J4">
        <f ca="1" xml:space="preserve"> SUMIFS('Outputs to aggregator'!V$41:V$51, 'Outputs to aggregator'!$O$41:$O$51, $A4)</f>
        <v>15.590650684931507</v>
      </c>
      <c r="K4">
        <f ca="1" xml:space="preserve"> SUMIFS('Outputs to aggregator'!W$41:W$51, 'Outputs to aggregator'!$O$41:$O$51, $A4)</f>
        <v>15.590650684931507</v>
      </c>
      <c r="L4">
        <f ca="1" xml:space="preserve"> SUMIFS('Outputs to aggregator'!X$41:X$51, 'Outputs to aggregator'!$O$41:$O$51, $A4)</f>
        <v>23.319349315068493</v>
      </c>
      <c r="M4">
        <f ca="1" xml:space="preserve"> SUMIFS('Outputs to aggregator'!Y$41:Y$51, 'Outputs to aggregator'!$O$41:$O$51, $A4)</f>
        <v>23.319349315068493</v>
      </c>
    </row>
    <row r="5" spans="1:13">
      <c r="A5" t="s">
        <v>75</v>
      </c>
      <c r="B5" t="str">
        <f>CONCATENATE("C_", $C$2, "_ENH_WW_AP")</f>
        <v>C_PR24CA20_ENH_WW_AP</v>
      </c>
      <c r="C5" t="s">
        <v>278</v>
      </c>
      <c r="D5" t="s">
        <v>78</v>
      </c>
      <c r="E5" t="s">
        <v>72</v>
      </c>
      <c r="G5">
        <f ca="1" xml:space="preserve"> SUMIFS('Outputs to aggregator'!$R$41:$R$51, 'Outputs to aggregator'!$O$41:$O$51, $A5)</f>
        <v>0</v>
      </c>
      <c r="H5">
        <f ca="1" xml:space="preserve"> SUMIFS('Outputs to aggregator'!$T$41:$T$51, 'Outputs to aggregator'!$O$41:$O$51, $A5)</f>
        <v>0</v>
      </c>
    </row>
    <row r="6" spans="1:13">
      <c r="A6" t="s">
        <v>75</v>
      </c>
      <c r="B6" t="str">
        <f>CONCATENATE("C_", $C$2, "_ENH_WW_TE")</f>
        <v>C_PR24CA20_ENH_WW_TE</v>
      </c>
      <c r="C6" t="s">
        <v>279</v>
      </c>
      <c r="D6" t="s">
        <v>78</v>
      </c>
      <c r="E6" t="s">
        <v>72</v>
      </c>
      <c r="G6">
        <f ca="1" xml:space="preserve"> SUMIFS('Outputs to aggregator'!$Q$41:$Q$51, 'Outputs to aggregator'!$O$41:$O$51, $A6)</f>
        <v>0</v>
      </c>
      <c r="H6">
        <f ca="1" xml:space="preserve"> SUMIFS('Outputs to aggregator'!$S$41:$S$51, 'Outputs to aggregator'!$O$41:$O$51, $A6)</f>
        <v>0</v>
      </c>
    </row>
    <row r="7" spans="1:13">
      <c r="A7" t="s">
        <v>75</v>
      </c>
      <c r="B7" t="str">
        <f xml:space="preserve"> CONCATENATE("PR24QA_",  $C$2, "_OUT1")</f>
        <v>PR24QA_PR24CA20_OUT1</v>
      </c>
      <c r="C7" t="str">
        <f xml:space="preserve"> CONCATENATE("Date &amp; Time for Model - ", $C$2)</f>
        <v>Date &amp; Time for Model - PR24CA20</v>
      </c>
      <c r="D7" t="s">
        <v>280</v>
      </c>
      <c r="E7" t="s">
        <v>72</v>
      </c>
      <c r="F7" t="str">
        <f t="shared" ref="F7:M7" ca="1" si="0">CONCATENATE("[…]", TEXT(NOW(),"dd/mm/yyy hh:mm:ss"))</f>
        <v>[…]13/12/2024 11:24:45</v>
      </c>
      <c r="G7" t="str">
        <f t="shared" ca="1" si="0"/>
        <v>[…]13/12/2024 11:24:45</v>
      </c>
      <c r="H7" t="str">
        <f t="shared" ca="1" si="0"/>
        <v>[…]13/12/2024 11:24:45</v>
      </c>
      <c r="I7" t="str">
        <f t="shared" ca="1" si="0"/>
        <v>[…]13/12/2024 11:24:45</v>
      </c>
      <c r="J7" t="str">
        <f t="shared" ca="1" si="0"/>
        <v>[…]13/12/2024 11:24:45</v>
      </c>
      <c r="K7" t="str">
        <f t="shared" ca="1" si="0"/>
        <v>[…]13/12/2024 11:24:45</v>
      </c>
      <c r="L7" t="str">
        <f t="shared" ca="1" si="0"/>
        <v>[…]13/12/2024 11:24:45</v>
      </c>
      <c r="M7" t="str">
        <f t="shared" ca="1" si="0"/>
        <v>[…]13/12/2024 11:24:45</v>
      </c>
    </row>
    <row r="8" spans="1:13">
      <c r="A8" t="s">
        <v>75</v>
      </c>
      <c r="B8" t="str">
        <f xml:space="preserve"> CONCATENATE("PR24QA_",  $C$2, "_OUT2")</f>
        <v>PR24QA_PR24CA20_OUT2</v>
      </c>
      <c r="C8" t="str">
        <f xml:space="preserve"> CONCATENATE("Name of Model - ", $C$2)</f>
        <v>Name of Model - PR24CA20</v>
      </c>
      <c r="D8" t="s">
        <v>280</v>
      </c>
      <c r="E8" t="s">
        <v>72</v>
      </c>
      <c r="F8" t="str">
        <f t="shared" ref="F8:M8" ca="1" si="1">MID(CELL("filename"),SEARCH("[",CELL("filename"))+1,SEARCH("]",CELL("filename"))-SEARCH("[",CELL("filename"))-1)</f>
        <v>OT13 Final Determinations Tables.xlsx</v>
      </c>
      <c r="G8" t="str">
        <f t="shared" ca="1" si="1"/>
        <v>OT13 Final Determinations Tables.xlsx</v>
      </c>
      <c r="H8" t="str">
        <f t="shared" ca="1" si="1"/>
        <v>OT13 Final Determinations Tables.xlsx</v>
      </c>
      <c r="I8" t="str">
        <f t="shared" ca="1" si="1"/>
        <v>OT13 Final Determinations Tables.xlsx</v>
      </c>
      <c r="J8" t="str">
        <f t="shared" ca="1" si="1"/>
        <v>OT13 Final Determinations Tables.xlsx</v>
      </c>
      <c r="K8" t="str">
        <f t="shared" ca="1" si="1"/>
        <v>OT13 Final Determinations Tables.xlsx</v>
      </c>
      <c r="L8" t="str">
        <f t="shared" ca="1" si="1"/>
        <v>OT13 Final Determinations Tables.xlsx</v>
      </c>
      <c r="M8" t="str">
        <f t="shared" ca="1" si="1"/>
        <v>OT13 Final Determinations Tables.xlsx</v>
      </c>
    </row>
    <row r="9" spans="1:13">
      <c r="A9" t="s">
        <v>75</v>
      </c>
      <c r="B9" t="str">
        <f xml:space="preserve"> CONCATENATE("PR24QA_",  $C$2, "_OUT3")</f>
        <v>PR24QA_PR24CA20_OUT3</v>
      </c>
      <c r="C9" t="str">
        <f xml:space="preserve"> CONCATENATE("F_Inputs time stamp - ", $C$2)</f>
        <v>F_Inputs time stamp - PR24CA20</v>
      </c>
      <c r="D9" t="s">
        <v>280</v>
      </c>
      <c r="E9" t="s">
        <v>72</v>
      </c>
      <c r="F9" t="str">
        <f>F_Inputs!$E$2</f>
        <v>Run on 05 Sep 2024 9:07</v>
      </c>
      <c r="G9" t="str">
        <f>F_Inputs!$E$2</f>
        <v>Run on 05 Sep 2024 9:07</v>
      </c>
      <c r="H9" t="str">
        <f>F_Inputs!$E$2</f>
        <v>Run on 05 Sep 2024 9:07</v>
      </c>
      <c r="I9" t="str">
        <f>F_Inputs!$E$2</f>
        <v>Run on 05 Sep 2024 9:07</v>
      </c>
      <c r="J9" t="str">
        <f>F_Inputs!$E$2</f>
        <v>Run on 05 Sep 2024 9:07</v>
      </c>
      <c r="K9" t="str">
        <f>F_Inputs!$E$2</f>
        <v>Run on 05 Sep 2024 9:07</v>
      </c>
      <c r="L9" t="str">
        <f>F_Inputs!$E$2</f>
        <v>Run on 05 Sep 2024 9:07</v>
      </c>
      <c r="M9" t="str">
        <f>F_Inputs!$E$2</f>
        <v>Run on 05 Sep 2024 9:07</v>
      </c>
    </row>
    <row r="10" spans="1:13">
      <c r="A10" t="s">
        <v>75</v>
      </c>
      <c r="B10" t="str">
        <f xml:space="preserve"> CONCATENATE("PR24QA_",  $C$2, "_OUT4")</f>
        <v>PR24QA_PR24CA20_OUT4</v>
      </c>
      <c r="C10" t="str">
        <f xml:space="preserve"> CONCATENATE("Model override switch for - ", $C$2)</f>
        <v>Model override switch for - PR24CA20</v>
      </c>
      <c r="D10" t="s">
        <v>86</v>
      </c>
      <c r="E10" t="s">
        <v>72</v>
      </c>
      <c r="F10">
        <f>IF(SUM('F_Input Override'!$F$5:$L$147)&gt;0,1,0)</f>
        <v>1</v>
      </c>
      <c r="G10">
        <f>IF(SUM('F_Input Override'!$F$5:$M$147)&gt;0,1,0)</f>
        <v>1</v>
      </c>
      <c r="H10">
        <f>IF(SUM('F_Input Override'!$F$5:$M$147)&gt;0,1,0)</f>
        <v>1</v>
      </c>
      <c r="I10">
        <f>IF(SUM('F_Input Override'!$F$5:$M$147)&gt;0,1,0)</f>
        <v>1</v>
      </c>
      <c r="J10">
        <f>IF(SUM('F_Input Override'!$F$5:$M$147)&gt;0,1,0)</f>
        <v>1</v>
      </c>
      <c r="K10">
        <f>IF(SUM('F_Input Override'!$F$5:$M$147)&gt;0,1,0)</f>
        <v>1</v>
      </c>
      <c r="L10">
        <f>IF(SUM('F_Input Override'!$F$5:$M$147)&gt;0,1,0)</f>
        <v>1</v>
      </c>
      <c r="M10">
        <f>IF(SUM('F_Input Override'!$F$5:$M$147)&gt;0,1,0)</f>
        <v>1</v>
      </c>
    </row>
    <row r="11" spans="1:13">
      <c r="A11" t="s">
        <v>75</v>
      </c>
      <c r="B11" t="str">
        <f>CONCATENATE("C_", $C$2, "_ENH_WW_ASSESSED")</f>
        <v>C_PR24CA20_ENH_WW_ASSESSED</v>
      </c>
      <c r="C11" t="str">
        <f>CONCATENATE("Total amount assessed - ", MID($C$4,31,200))</f>
        <v>Total amount assessed - Wastewater - CWQM - Totex</v>
      </c>
      <c r="D11" s="48" t="s">
        <v>78</v>
      </c>
      <c r="E11" t="s">
        <v>72</v>
      </c>
      <c r="F11">
        <f ca="1" xml:space="preserve"> SUMIFS(Allowance!$E$14:$E$24, Allowance!$B$14:$B$24, A11)</f>
        <v>77.820000000000007</v>
      </c>
    </row>
    <row r="12" spans="1:13">
      <c r="A12" t="s">
        <v>98</v>
      </c>
      <c r="B12" t="str">
        <f>CONCATENATE("C_", $C$2, "_ENH_WW_TOT")</f>
        <v>C_PR24CA20_ENH_WW_TOT</v>
      </c>
      <c r="C12" t="str">
        <f xml:space="preserve"> $C$4</f>
        <v>Total enhancement allowance - Wastewater - CWQM - Totex</v>
      </c>
      <c r="D12" t="s">
        <v>78</v>
      </c>
      <c r="E12" t="s">
        <v>72</v>
      </c>
      <c r="I12">
        <f ca="1" xml:space="preserve"> SUMIFS('Outputs to aggregator'!U$41:U$51, 'Outputs to aggregator'!$O$41:$O$51, $A12)</f>
        <v>0</v>
      </c>
      <c r="J12">
        <f ca="1" xml:space="preserve"> SUMIFS('Outputs to aggregator'!V$41:V$51, 'Outputs to aggregator'!$O$41:$O$51, $A12)</f>
        <v>0</v>
      </c>
      <c r="K12">
        <f ca="1" xml:space="preserve"> SUMIFS('Outputs to aggregator'!W$41:W$51, 'Outputs to aggregator'!$O$41:$O$51, $A12)</f>
        <v>0</v>
      </c>
      <c r="L12">
        <f ca="1" xml:space="preserve"> SUMIFS('Outputs to aggregator'!X$41:X$51, 'Outputs to aggregator'!$O$41:$O$51, $A12)</f>
        <v>0</v>
      </c>
      <c r="M12">
        <f ca="1" xml:space="preserve"> SUMIFS('Outputs to aggregator'!Y$41:Y$51, 'Outputs to aggregator'!$O$41:$O$51, $A12)</f>
        <v>0</v>
      </c>
    </row>
    <row r="13" spans="1:13">
      <c r="A13" t="s">
        <v>98</v>
      </c>
      <c r="B13" t="str">
        <f>CONCATENATE("C_", $C$2, "_ENH_WW_AP")</f>
        <v>C_PR24CA20_ENH_WW_AP</v>
      </c>
      <c r="C13" t="str">
        <f xml:space="preserve"> $C$5</f>
        <v>Total enhancement allowance - Wastewater - CWQM - Accelerated programme</v>
      </c>
      <c r="D13" t="s">
        <v>78</v>
      </c>
      <c r="E13" t="s">
        <v>72</v>
      </c>
      <c r="G13">
        <f ca="1" xml:space="preserve"> SUMIFS('Outputs to aggregator'!$R$41:$R$51, 'Outputs to aggregator'!$O$41:$O$51, $A13)</f>
        <v>0</v>
      </c>
      <c r="H13">
        <f ca="1" xml:space="preserve"> SUMIFS('Outputs to aggregator'!$T$41:$T$51, 'Outputs to aggregator'!$O$41:$O$51, $A13)</f>
        <v>0</v>
      </c>
    </row>
    <row r="14" spans="1:13">
      <c r="A14" t="s">
        <v>98</v>
      </c>
      <c r="B14" t="str">
        <f>CONCATENATE("C_", $C$2, "_ENH_WW_TE")</f>
        <v>C_PR24CA20_ENH_WW_TE</v>
      </c>
      <c r="C14" t="str">
        <f xml:space="preserve"> $C$6</f>
        <v>Total enhancement allowance - Wastewater - CWQM - Transition allowance</v>
      </c>
      <c r="D14" t="s">
        <v>78</v>
      </c>
      <c r="E14" t="s">
        <v>72</v>
      </c>
      <c r="G14">
        <f ca="1" xml:space="preserve"> SUMIFS('Outputs to aggregator'!$Q$41:$Q$51, 'Outputs to aggregator'!$O$41:$O$51, $A14)</f>
        <v>0</v>
      </c>
      <c r="H14">
        <f ca="1" xml:space="preserve"> SUMIFS('Outputs to aggregator'!$S$41:$S$51, 'Outputs to aggregator'!$O$41:$O$51, $A14)</f>
        <v>0</v>
      </c>
    </row>
    <row r="15" spans="1:13">
      <c r="A15" t="s">
        <v>98</v>
      </c>
      <c r="B15" t="str">
        <f xml:space="preserve"> CONCATENATE("PR24QA_",  $C$2, "_OUT1")</f>
        <v>PR24QA_PR24CA20_OUT1</v>
      </c>
      <c r="C15" t="str">
        <f xml:space="preserve"> CONCATENATE("Date &amp; Time for Model - ", $C$2)</f>
        <v>Date &amp; Time for Model - PR24CA20</v>
      </c>
      <c r="D15" t="s">
        <v>280</v>
      </c>
      <c r="E15" t="s">
        <v>72</v>
      </c>
      <c r="F15" t="str">
        <f t="shared" ref="F15:M15" ca="1" si="2">CONCATENATE("[…]", TEXT(NOW(),"dd/mm/yyy hh:mm:ss"))</f>
        <v>[…]13/12/2024 11:24:45</v>
      </c>
      <c r="G15" t="str">
        <f t="shared" ca="1" si="2"/>
        <v>[…]13/12/2024 11:24:45</v>
      </c>
      <c r="H15" t="str">
        <f t="shared" ca="1" si="2"/>
        <v>[…]13/12/2024 11:24:45</v>
      </c>
      <c r="I15" t="str">
        <f t="shared" ca="1" si="2"/>
        <v>[…]13/12/2024 11:24:45</v>
      </c>
      <c r="J15" t="str">
        <f t="shared" ca="1" si="2"/>
        <v>[…]13/12/2024 11:24:45</v>
      </c>
      <c r="K15" t="str">
        <f t="shared" ca="1" si="2"/>
        <v>[…]13/12/2024 11:24:45</v>
      </c>
      <c r="L15" t="str">
        <f t="shared" ca="1" si="2"/>
        <v>[…]13/12/2024 11:24:45</v>
      </c>
      <c r="M15" t="str">
        <f t="shared" ca="1" si="2"/>
        <v>[…]13/12/2024 11:24:45</v>
      </c>
    </row>
    <row r="16" spans="1:13">
      <c r="A16" t="s">
        <v>98</v>
      </c>
      <c r="B16" t="str">
        <f xml:space="preserve"> CONCATENATE("PR24QA_",  $C$2, "_OUT2")</f>
        <v>PR24QA_PR24CA20_OUT2</v>
      </c>
      <c r="C16" t="str">
        <f xml:space="preserve"> CONCATENATE("Name of Model - ", $C$2)</f>
        <v>Name of Model - PR24CA20</v>
      </c>
      <c r="D16" t="s">
        <v>280</v>
      </c>
      <c r="E16" t="s">
        <v>72</v>
      </c>
      <c r="F16" t="str">
        <f t="shared" ref="F16:M16" ca="1" si="3">MID(CELL("filename"),SEARCH("[",CELL("filename"))+1,SEARCH("]",CELL("filename"))-SEARCH("[",CELL("filename"))-1)</f>
        <v>OT13 Final Determinations Tables.xlsx</v>
      </c>
      <c r="G16" t="str">
        <f t="shared" ca="1" si="3"/>
        <v>OT13 Final Determinations Tables.xlsx</v>
      </c>
      <c r="H16" t="str">
        <f t="shared" ca="1" si="3"/>
        <v>OT13 Final Determinations Tables.xlsx</v>
      </c>
      <c r="I16" t="str">
        <f t="shared" ca="1" si="3"/>
        <v>OT13 Final Determinations Tables.xlsx</v>
      </c>
      <c r="J16" t="str">
        <f t="shared" ca="1" si="3"/>
        <v>OT13 Final Determinations Tables.xlsx</v>
      </c>
      <c r="K16" t="str">
        <f t="shared" ca="1" si="3"/>
        <v>OT13 Final Determinations Tables.xlsx</v>
      </c>
      <c r="L16" t="str">
        <f t="shared" ca="1" si="3"/>
        <v>OT13 Final Determinations Tables.xlsx</v>
      </c>
      <c r="M16" t="str">
        <f t="shared" ca="1" si="3"/>
        <v>OT13 Final Determinations Tables.xlsx</v>
      </c>
    </row>
    <row r="17" spans="1:13">
      <c r="A17" t="s">
        <v>98</v>
      </c>
      <c r="B17" t="str">
        <f xml:space="preserve"> CONCATENATE("PR24QA_",  $C$2, "_OUT3")</f>
        <v>PR24QA_PR24CA20_OUT3</v>
      </c>
      <c r="C17" t="str">
        <f xml:space="preserve"> CONCATENATE("F_Inputs time stamp - ", $C$2)</f>
        <v>F_Inputs time stamp - PR24CA20</v>
      </c>
      <c r="D17" t="s">
        <v>280</v>
      </c>
      <c r="E17" t="s">
        <v>72</v>
      </c>
      <c r="F17" t="str">
        <f>F_Inputs!$E$2</f>
        <v>Run on 05 Sep 2024 9:07</v>
      </c>
      <c r="G17" t="str">
        <f>F_Inputs!$E$2</f>
        <v>Run on 05 Sep 2024 9:07</v>
      </c>
      <c r="H17" t="str">
        <f>F_Inputs!$E$2</f>
        <v>Run on 05 Sep 2024 9:07</v>
      </c>
      <c r="I17" t="str">
        <f>F_Inputs!$E$2</f>
        <v>Run on 05 Sep 2024 9:07</v>
      </c>
      <c r="J17" t="str">
        <f>F_Inputs!$E$2</f>
        <v>Run on 05 Sep 2024 9:07</v>
      </c>
      <c r="K17" t="str">
        <f>F_Inputs!$E$2</f>
        <v>Run on 05 Sep 2024 9:07</v>
      </c>
      <c r="L17" t="str">
        <f>F_Inputs!$E$2</f>
        <v>Run on 05 Sep 2024 9:07</v>
      </c>
      <c r="M17" t="str">
        <f>F_Inputs!$E$2</f>
        <v>Run on 05 Sep 2024 9:07</v>
      </c>
    </row>
    <row r="18" spans="1:13">
      <c r="A18" t="s">
        <v>98</v>
      </c>
      <c r="B18" t="str">
        <f xml:space="preserve"> CONCATENATE("PR24QA_",  $C$2, "_OUT4")</f>
        <v>PR24QA_PR24CA20_OUT4</v>
      </c>
      <c r="C18" t="str">
        <f xml:space="preserve"> CONCATENATE("Model override switch for - ", $C$2)</f>
        <v>Model override switch for - PR24CA20</v>
      </c>
      <c r="D18" t="s">
        <v>86</v>
      </c>
      <c r="E18" t="s">
        <v>72</v>
      </c>
      <c r="F18">
        <f>IF(SUM('F_Input Override'!$F$5:$L$147)&gt;0,1,0)</f>
        <v>1</v>
      </c>
      <c r="G18">
        <f>IF(SUM('F_Input Override'!$F$5:$M$147)&gt;0,1,0)</f>
        <v>1</v>
      </c>
      <c r="H18">
        <f>IF(SUM('F_Input Override'!$F$5:$M$147)&gt;0,1,0)</f>
        <v>1</v>
      </c>
      <c r="I18">
        <f>IF(SUM('F_Input Override'!$F$5:$M$147)&gt;0,1,0)</f>
        <v>1</v>
      </c>
      <c r="J18">
        <f>IF(SUM('F_Input Override'!$F$5:$M$147)&gt;0,1,0)</f>
        <v>1</v>
      </c>
      <c r="K18">
        <f>IF(SUM('F_Input Override'!$F$5:$M$147)&gt;0,1,0)</f>
        <v>1</v>
      </c>
      <c r="L18">
        <f>IF(SUM('F_Input Override'!$F$5:$M$147)&gt;0,1,0)</f>
        <v>1</v>
      </c>
      <c r="M18">
        <f>IF(SUM('F_Input Override'!$F$5:$M$147)&gt;0,1,0)</f>
        <v>1</v>
      </c>
    </row>
    <row r="19" spans="1:13">
      <c r="A19" t="s">
        <v>98</v>
      </c>
      <c r="B19" t="str">
        <f>CONCATENATE("C_", $C$2, "_ENH_WW_ASSESSED")</f>
        <v>C_PR24CA20_ENH_WW_ASSESSED</v>
      </c>
      <c r="C19" t="str">
        <f>CONCATENATE("Total amount assessed - ", MID($C$4,31,200))</f>
        <v>Total amount assessed - Wastewater - CWQM - Totex</v>
      </c>
      <c r="D19" s="48" t="s">
        <v>78</v>
      </c>
      <c r="E19" t="s">
        <v>72</v>
      </c>
      <c r="F19">
        <f ca="1" xml:space="preserve"> SUMIFS(Allowance!$E$14:$E$24, Allowance!$B$14:$B$24, A19)</f>
        <v>0</v>
      </c>
    </row>
    <row r="20" spans="1:13">
      <c r="A20" t="s">
        <v>99</v>
      </c>
      <c r="B20" t="str">
        <f>CONCATENATE("C_", $C$2, "_ENH_WW_TOT")</f>
        <v>C_PR24CA20_ENH_WW_TOT</v>
      </c>
      <c r="C20" t="str">
        <f xml:space="preserve"> $C$4</f>
        <v>Total enhancement allowance - Wastewater - CWQM - Totex</v>
      </c>
      <c r="D20" t="s">
        <v>78</v>
      </c>
      <c r="E20" t="s">
        <v>72</v>
      </c>
      <c r="I20">
        <f ca="1" xml:space="preserve"> SUMIFS('Outputs to aggregator'!U$41:U$51, 'Outputs to aggregator'!$O$41:$O$51, $A20)</f>
        <v>0</v>
      </c>
      <c r="J20">
        <f ca="1" xml:space="preserve"> SUMIFS('Outputs to aggregator'!V$41:V$51, 'Outputs to aggregator'!$O$41:$O$51, $A20)</f>
        <v>12.925582191780824</v>
      </c>
      <c r="K20">
        <f ca="1" xml:space="preserve"> SUMIFS('Outputs to aggregator'!W$41:W$51, 'Outputs to aggregator'!$O$41:$O$51, $A20)</f>
        <v>13.058835616438357</v>
      </c>
      <c r="L20">
        <f ca="1" xml:space="preserve"> SUMIFS('Outputs to aggregator'!X$41:X$51, 'Outputs to aggregator'!$O$41:$O$51, $A20)</f>
        <v>12.925582191780824</v>
      </c>
      <c r="M20">
        <f ca="1" xml:space="preserve"> SUMIFS('Outputs to aggregator'!Y$41:Y$51, 'Outputs to aggregator'!$O$41:$O$51, $A20)</f>
        <v>13.058835616438357</v>
      </c>
    </row>
    <row r="21" spans="1:13">
      <c r="A21" t="s">
        <v>99</v>
      </c>
      <c r="B21" t="str">
        <f>CONCATENATE("C_", $C$2, "_ENH_WW_AP")</f>
        <v>C_PR24CA20_ENH_WW_AP</v>
      </c>
      <c r="C21" t="str">
        <f xml:space="preserve"> $C$5</f>
        <v>Total enhancement allowance - Wastewater - CWQM - Accelerated programme</v>
      </c>
      <c r="D21" t="s">
        <v>78</v>
      </c>
      <c r="E21" t="s">
        <v>72</v>
      </c>
      <c r="G21">
        <f ca="1" xml:space="preserve"> SUMIFS('Outputs to aggregator'!$R$41:$R$51, 'Outputs to aggregator'!$O$41:$O$51, $A21)</f>
        <v>0</v>
      </c>
      <c r="H21">
        <f ca="1" xml:space="preserve"> SUMIFS('Outputs to aggregator'!$T$41:$T$51, 'Outputs to aggregator'!$O$41:$O$51, $A21)</f>
        <v>0</v>
      </c>
    </row>
    <row r="22" spans="1:13">
      <c r="A22" t="s">
        <v>99</v>
      </c>
      <c r="B22" t="str">
        <f>CONCATENATE("C_", $C$2, "_ENH_WW_TE")</f>
        <v>C_PR24CA20_ENH_WW_TE</v>
      </c>
      <c r="C22" t="str">
        <f xml:space="preserve"> $C$6</f>
        <v>Total enhancement allowance - Wastewater - CWQM - Transition allowance</v>
      </c>
      <c r="D22" t="s">
        <v>78</v>
      </c>
      <c r="E22" t="s">
        <v>72</v>
      </c>
      <c r="G22">
        <f ca="1" xml:space="preserve"> SUMIFS('Outputs to aggregator'!$Q$41:$Q$51, 'Outputs to aggregator'!$O$41:$O$51, $A22)</f>
        <v>0</v>
      </c>
      <c r="H22">
        <f ca="1" xml:space="preserve"> SUMIFS('Outputs to aggregator'!$S$41:$S$51, 'Outputs to aggregator'!$O$41:$O$51, $A22)</f>
        <v>0</v>
      </c>
    </row>
    <row r="23" spans="1:13">
      <c r="A23" t="s">
        <v>99</v>
      </c>
      <c r="B23" t="str">
        <f xml:space="preserve"> CONCATENATE("PR24QA_",  $C$2, "_OUT1")</f>
        <v>PR24QA_PR24CA20_OUT1</v>
      </c>
      <c r="C23" t="str">
        <f xml:space="preserve"> CONCATENATE("Date &amp; Time for Model - ", $C$2)</f>
        <v>Date &amp; Time for Model - PR24CA20</v>
      </c>
      <c r="D23" t="s">
        <v>280</v>
      </c>
      <c r="E23" t="s">
        <v>72</v>
      </c>
      <c r="F23" t="str">
        <f t="shared" ref="F23:M23" ca="1" si="4">CONCATENATE("[…]", TEXT(NOW(),"dd/mm/yyy hh:mm:ss"))</f>
        <v>[…]13/12/2024 11:24:45</v>
      </c>
      <c r="G23" t="str">
        <f t="shared" ca="1" si="4"/>
        <v>[…]13/12/2024 11:24:45</v>
      </c>
      <c r="H23" t="str">
        <f t="shared" ca="1" si="4"/>
        <v>[…]13/12/2024 11:24:45</v>
      </c>
      <c r="I23" t="str">
        <f t="shared" ca="1" si="4"/>
        <v>[…]13/12/2024 11:24:45</v>
      </c>
      <c r="J23" t="str">
        <f t="shared" ca="1" si="4"/>
        <v>[…]13/12/2024 11:24:45</v>
      </c>
      <c r="K23" t="str">
        <f t="shared" ca="1" si="4"/>
        <v>[…]13/12/2024 11:24:45</v>
      </c>
      <c r="L23" t="str">
        <f t="shared" ca="1" si="4"/>
        <v>[…]13/12/2024 11:24:45</v>
      </c>
      <c r="M23" t="str">
        <f t="shared" ca="1" si="4"/>
        <v>[…]13/12/2024 11:24:45</v>
      </c>
    </row>
    <row r="24" spans="1:13">
      <c r="A24" t="s">
        <v>99</v>
      </c>
      <c r="B24" t="str">
        <f xml:space="preserve"> CONCATENATE("PR24QA_",  $C$2, "_OUT2")</f>
        <v>PR24QA_PR24CA20_OUT2</v>
      </c>
      <c r="C24" t="str">
        <f xml:space="preserve"> CONCATENATE("Name of Model - ", $C$2)</f>
        <v>Name of Model - PR24CA20</v>
      </c>
      <c r="D24" t="s">
        <v>280</v>
      </c>
      <c r="E24" t="s">
        <v>72</v>
      </c>
      <c r="F24" t="str">
        <f t="shared" ref="F24:M24" ca="1" si="5">MID(CELL("filename"),SEARCH("[",CELL("filename"))+1,SEARCH("]",CELL("filename"))-SEARCH("[",CELL("filename"))-1)</f>
        <v>OT13 Final Determinations Tables.xlsx</v>
      </c>
      <c r="G24" t="str">
        <f t="shared" ca="1" si="5"/>
        <v>OT13 Final Determinations Tables.xlsx</v>
      </c>
      <c r="H24" t="str">
        <f t="shared" ca="1" si="5"/>
        <v>OT13 Final Determinations Tables.xlsx</v>
      </c>
      <c r="I24" t="str">
        <f t="shared" ca="1" si="5"/>
        <v>OT13 Final Determinations Tables.xlsx</v>
      </c>
      <c r="J24" t="str">
        <f t="shared" ca="1" si="5"/>
        <v>OT13 Final Determinations Tables.xlsx</v>
      </c>
      <c r="K24" t="str">
        <f t="shared" ca="1" si="5"/>
        <v>OT13 Final Determinations Tables.xlsx</v>
      </c>
      <c r="L24" t="str">
        <f t="shared" ca="1" si="5"/>
        <v>OT13 Final Determinations Tables.xlsx</v>
      </c>
      <c r="M24" t="str">
        <f t="shared" ca="1" si="5"/>
        <v>OT13 Final Determinations Tables.xlsx</v>
      </c>
    </row>
    <row r="25" spans="1:13">
      <c r="A25" t="s">
        <v>99</v>
      </c>
      <c r="B25" t="str">
        <f xml:space="preserve"> CONCATENATE("PR24QA_",  $C$2, "_OUT3")</f>
        <v>PR24QA_PR24CA20_OUT3</v>
      </c>
      <c r="C25" t="str">
        <f xml:space="preserve"> CONCATENATE("F_Inputs time stamp - ", $C$2)</f>
        <v>F_Inputs time stamp - PR24CA20</v>
      </c>
      <c r="D25" t="s">
        <v>280</v>
      </c>
      <c r="E25" t="s">
        <v>72</v>
      </c>
      <c r="F25" t="str">
        <f>F_Inputs!$E$2</f>
        <v>Run on 05 Sep 2024 9:07</v>
      </c>
      <c r="G25" t="str">
        <f>F_Inputs!$E$2</f>
        <v>Run on 05 Sep 2024 9:07</v>
      </c>
      <c r="H25" t="str">
        <f>F_Inputs!$E$2</f>
        <v>Run on 05 Sep 2024 9:07</v>
      </c>
      <c r="I25" t="str">
        <f>F_Inputs!$E$2</f>
        <v>Run on 05 Sep 2024 9:07</v>
      </c>
      <c r="J25" t="str">
        <f>F_Inputs!$E$2</f>
        <v>Run on 05 Sep 2024 9:07</v>
      </c>
      <c r="K25" t="str">
        <f>F_Inputs!$E$2</f>
        <v>Run on 05 Sep 2024 9:07</v>
      </c>
      <c r="L25" t="str">
        <f>F_Inputs!$E$2</f>
        <v>Run on 05 Sep 2024 9:07</v>
      </c>
      <c r="M25" t="str">
        <f>F_Inputs!$E$2</f>
        <v>Run on 05 Sep 2024 9:07</v>
      </c>
    </row>
    <row r="26" spans="1:13">
      <c r="A26" t="s">
        <v>99</v>
      </c>
      <c r="B26" t="str">
        <f xml:space="preserve"> CONCATENATE("PR24QA_",  $C$2, "_OUT4")</f>
        <v>PR24QA_PR24CA20_OUT4</v>
      </c>
      <c r="C26" t="str">
        <f xml:space="preserve"> CONCATENATE("Model override switch for - ", $C$2)</f>
        <v>Model override switch for - PR24CA20</v>
      </c>
      <c r="D26" t="s">
        <v>86</v>
      </c>
      <c r="E26" t="s">
        <v>72</v>
      </c>
      <c r="F26">
        <f>IF(SUM('F_Input Override'!$F$5:$L$147)&gt;0,1,0)</f>
        <v>1</v>
      </c>
      <c r="G26">
        <f>IF(SUM('F_Input Override'!$F$5:$M$147)&gt;0,1,0)</f>
        <v>1</v>
      </c>
      <c r="H26">
        <f>IF(SUM('F_Input Override'!$F$5:$M$147)&gt;0,1,0)</f>
        <v>1</v>
      </c>
      <c r="I26">
        <f>IF(SUM('F_Input Override'!$F$5:$M$147)&gt;0,1,0)</f>
        <v>1</v>
      </c>
      <c r="J26">
        <f>IF(SUM('F_Input Override'!$F$5:$M$147)&gt;0,1,0)</f>
        <v>1</v>
      </c>
      <c r="K26">
        <f>IF(SUM('F_Input Override'!$F$5:$M$147)&gt;0,1,0)</f>
        <v>1</v>
      </c>
      <c r="L26">
        <f>IF(SUM('F_Input Override'!$F$5:$M$147)&gt;0,1,0)</f>
        <v>1</v>
      </c>
      <c r="M26">
        <f>IF(SUM('F_Input Override'!$F$5:$M$147)&gt;0,1,0)</f>
        <v>1</v>
      </c>
    </row>
    <row r="27" spans="1:13">
      <c r="A27" t="s">
        <v>99</v>
      </c>
      <c r="B27" t="str">
        <f>CONCATENATE("C_", $C$2, "_ENH_WW_ASSESSED")</f>
        <v>C_PR24CA20_ENH_WW_ASSESSED</v>
      </c>
      <c r="C27" t="str">
        <f>CONCATENATE("Total amount assessed - ", MID($C$4,31,200))</f>
        <v>Total amount assessed - Wastewater - CWQM - Totex</v>
      </c>
      <c r="D27" s="48" t="s">
        <v>78</v>
      </c>
      <c r="E27" t="s">
        <v>72</v>
      </c>
      <c r="F27">
        <f ca="1" xml:space="preserve"> SUMIFS(Allowance!$E$14:$E$24, Allowance!$B$14:$B$24, A27)</f>
        <v>55.448</v>
      </c>
    </row>
    <row r="28" spans="1:13">
      <c r="A28" t="s">
        <v>104</v>
      </c>
      <c r="B28" t="str">
        <f>CONCATENATE("C_", $C$2, "_ENH_WW_TOT")</f>
        <v>C_PR24CA20_ENH_WW_TOT</v>
      </c>
      <c r="C28" t="str">
        <f xml:space="preserve"> $C$4</f>
        <v>Total enhancement allowance - Wastewater - CWQM - Totex</v>
      </c>
      <c r="D28" t="s">
        <v>78</v>
      </c>
      <c r="E28" t="s">
        <v>72</v>
      </c>
      <c r="I28">
        <f ca="1" xml:space="preserve"> SUMIFS('Outputs to aggregator'!U$41:U$51, 'Outputs to aggregator'!$O$41:$O$51, $A28)</f>
        <v>15.990410958904111</v>
      </c>
      <c r="J28">
        <f ca="1" xml:space="preserve"> SUMIFS('Outputs to aggregator'!V$41:V$51, 'Outputs to aggregator'!$O$41:$O$51, $A28)</f>
        <v>15.990410958904111</v>
      </c>
      <c r="K28">
        <f ca="1" xml:space="preserve"> SUMIFS('Outputs to aggregator'!W$41:W$51, 'Outputs to aggregator'!$O$41:$O$51, $A28)</f>
        <v>15.990410958904111</v>
      </c>
      <c r="L28">
        <f ca="1" xml:space="preserve"> SUMIFS('Outputs to aggregator'!X$41:X$51, 'Outputs to aggregator'!$O$41:$O$51, $A28)</f>
        <v>15.990410958904111</v>
      </c>
      <c r="M28">
        <f ca="1" xml:space="preserve"> SUMIFS('Outputs to aggregator'!Y$41:Y$51, 'Outputs to aggregator'!$O$41:$O$51, $A28)</f>
        <v>20.387773972602741</v>
      </c>
    </row>
    <row r="29" spans="1:13">
      <c r="A29" t="s">
        <v>104</v>
      </c>
      <c r="B29" t="str">
        <f>CONCATENATE("C_", $C$2, "_ENH_WW_AP")</f>
        <v>C_PR24CA20_ENH_WW_AP</v>
      </c>
      <c r="C29" t="str">
        <f xml:space="preserve"> $C$5</f>
        <v>Total enhancement allowance - Wastewater - CWQM - Accelerated programme</v>
      </c>
      <c r="D29" t="s">
        <v>78</v>
      </c>
      <c r="E29" t="s">
        <v>72</v>
      </c>
      <c r="G29">
        <f ca="1" xml:space="preserve"> SUMIFS('Outputs to aggregator'!$R$41:$R$51, 'Outputs to aggregator'!$O$41:$O$51, $A29)</f>
        <v>0</v>
      </c>
      <c r="H29">
        <f ca="1" xml:space="preserve"> SUMIFS('Outputs to aggregator'!$T$41:$T$51, 'Outputs to aggregator'!$O$41:$O$51, $A29)</f>
        <v>0</v>
      </c>
    </row>
    <row r="30" spans="1:13">
      <c r="A30" t="s">
        <v>104</v>
      </c>
      <c r="B30" t="str">
        <f>CONCATENATE("C_", $C$2, "_ENH_WW_TE")</f>
        <v>C_PR24CA20_ENH_WW_TE</v>
      </c>
      <c r="C30" t="str">
        <f xml:space="preserve"> $C$6</f>
        <v>Total enhancement allowance - Wastewater - CWQM - Transition allowance</v>
      </c>
      <c r="D30" t="s">
        <v>78</v>
      </c>
      <c r="E30" t="s">
        <v>72</v>
      </c>
      <c r="G30">
        <f ca="1" xml:space="preserve"> SUMIFS('Outputs to aggregator'!$Q$41:$Q$51, 'Outputs to aggregator'!$O$41:$O$51, $A30)</f>
        <v>0</v>
      </c>
      <c r="H30">
        <f ca="1" xml:space="preserve"> SUMIFS('Outputs to aggregator'!$S$41:$S$51, 'Outputs to aggregator'!$O$41:$O$51, $A30)</f>
        <v>0</v>
      </c>
    </row>
    <row r="31" spans="1:13">
      <c r="A31" t="s">
        <v>104</v>
      </c>
      <c r="B31" t="str">
        <f xml:space="preserve"> CONCATENATE("PR24QA_",  $C$2, "_OUT1")</f>
        <v>PR24QA_PR24CA20_OUT1</v>
      </c>
      <c r="C31" t="str">
        <f xml:space="preserve"> CONCATENATE("Date &amp; Time for Model - ", $C$2)</f>
        <v>Date &amp; Time for Model - PR24CA20</v>
      </c>
      <c r="D31" t="s">
        <v>280</v>
      </c>
      <c r="E31" t="s">
        <v>72</v>
      </c>
      <c r="F31" t="str">
        <f t="shared" ref="F31:M31" ca="1" si="6">CONCATENATE("[…]", TEXT(NOW(),"dd/mm/yyy hh:mm:ss"))</f>
        <v>[…]13/12/2024 11:24:45</v>
      </c>
      <c r="G31" t="str">
        <f t="shared" ca="1" si="6"/>
        <v>[…]13/12/2024 11:24:45</v>
      </c>
      <c r="H31" t="str">
        <f t="shared" ca="1" si="6"/>
        <v>[…]13/12/2024 11:24:45</v>
      </c>
      <c r="I31" t="str">
        <f t="shared" ca="1" si="6"/>
        <v>[…]13/12/2024 11:24:45</v>
      </c>
      <c r="J31" t="str">
        <f t="shared" ca="1" si="6"/>
        <v>[…]13/12/2024 11:24:45</v>
      </c>
      <c r="K31" t="str">
        <f t="shared" ca="1" si="6"/>
        <v>[…]13/12/2024 11:24:45</v>
      </c>
      <c r="L31" t="str">
        <f t="shared" ca="1" si="6"/>
        <v>[…]13/12/2024 11:24:45</v>
      </c>
      <c r="M31" t="str">
        <f t="shared" ca="1" si="6"/>
        <v>[…]13/12/2024 11:24:45</v>
      </c>
    </row>
    <row r="32" spans="1:13">
      <c r="A32" t="s">
        <v>104</v>
      </c>
      <c r="B32" t="str">
        <f xml:space="preserve"> CONCATENATE("PR24QA_",  $C$2, "_OUT2")</f>
        <v>PR24QA_PR24CA20_OUT2</v>
      </c>
      <c r="C32" t="str">
        <f xml:space="preserve"> CONCATENATE("Name of Model - ", $C$2)</f>
        <v>Name of Model - PR24CA20</v>
      </c>
      <c r="D32" t="s">
        <v>280</v>
      </c>
      <c r="E32" t="s">
        <v>72</v>
      </c>
      <c r="F32" t="str">
        <f t="shared" ref="F32:M32" ca="1" si="7">MID(CELL("filename"),SEARCH("[",CELL("filename"))+1,SEARCH("]",CELL("filename"))-SEARCH("[",CELL("filename"))-1)</f>
        <v>OT13 Final Determinations Tables.xlsx</v>
      </c>
      <c r="G32" t="str">
        <f t="shared" ca="1" si="7"/>
        <v>OT13 Final Determinations Tables.xlsx</v>
      </c>
      <c r="H32" t="str">
        <f t="shared" ca="1" si="7"/>
        <v>OT13 Final Determinations Tables.xlsx</v>
      </c>
      <c r="I32" t="str">
        <f t="shared" ca="1" si="7"/>
        <v>OT13 Final Determinations Tables.xlsx</v>
      </c>
      <c r="J32" t="str">
        <f t="shared" ca="1" si="7"/>
        <v>OT13 Final Determinations Tables.xlsx</v>
      </c>
      <c r="K32" t="str">
        <f t="shared" ca="1" si="7"/>
        <v>OT13 Final Determinations Tables.xlsx</v>
      </c>
      <c r="L32" t="str">
        <f t="shared" ca="1" si="7"/>
        <v>OT13 Final Determinations Tables.xlsx</v>
      </c>
      <c r="M32" t="str">
        <f t="shared" ca="1" si="7"/>
        <v>OT13 Final Determinations Tables.xlsx</v>
      </c>
    </row>
    <row r="33" spans="1:13">
      <c r="A33" t="s">
        <v>104</v>
      </c>
      <c r="B33" t="str">
        <f xml:space="preserve"> CONCATENATE("PR24QA_",  $C$2, "_OUT3")</f>
        <v>PR24QA_PR24CA20_OUT3</v>
      </c>
      <c r="C33" t="str">
        <f xml:space="preserve"> CONCATENATE("F_Inputs time stamp - ", $C$2)</f>
        <v>F_Inputs time stamp - PR24CA20</v>
      </c>
      <c r="D33" t="s">
        <v>280</v>
      </c>
      <c r="E33" t="s">
        <v>72</v>
      </c>
      <c r="F33" t="str">
        <f>F_Inputs!$E$2</f>
        <v>Run on 05 Sep 2024 9:07</v>
      </c>
      <c r="G33" t="str">
        <f>F_Inputs!$E$2</f>
        <v>Run on 05 Sep 2024 9:07</v>
      </c>
      <c r="H33" t="str">
        <f>F_Inputs!$E$2</f>
        <v>Run on 05 Sep 2024 9:07</v>
      </c>
      <c r="I33" t="str">
        <f>F_Inputs!$E$2</f>
        <v>Run on 05 Sep 2024 9:07</v>
      </c>
      <c r="J33" t="str">
        <f>F_Inputs!$E$2</f>
        <v>Run on 05 Sep 2024 9:07</v>
      </c>
      <c r="K33" t="str">
        <f>F_Inputs!$E$2</f>
        <v>Run on 05 Sep 2024 9:07</v>
      </c>
      <c r="L33" t="str">
        <f>F_Inputs!$E$2</f>
        <v>Run on 05 Sep 2024 9:07</v>
      </c>
      <c r="M33" t="str">
        <f>F_Inputs!$E$2</f>
        <v>Run on 05 Sep 2024 9:07</v>
      </c>
    </row>
    <row r="34" spans="1:13">
      <c r="A34" t="s">
        <v>104</v>
      </c>
      <c r="B34" t="str">
        <f xml:space="preserve"> CONCATENATE("PR24QA_",  $C$2, "_OUT4")</f>
        <v>PR24QA_PR24CA20_OUT4</v>
      </c>
      <c r="C34" t="str">
        <f xml:space="preserve"> CONCATENATE("Model override switch for - ", $C$2)</f>
        <v>Model override switch for - PR24CA20</v>
      </c>
      <c r="D34" t="s">
        <v>86</v>
      </c>
      <c r="E34" t="s">
        <v>72</v>
      </c>
      <c r="F34">
        <f>IF(SUM('F_Input Override'!$F$5:$L$147)&gt;0,1,0)</f>
        <v>1</v>
      </c>
      <c r="G34">
        <f>IF(SUM('F_Input Override'!$F$5:$M$147)&gt;0,1,0)</f>
        <v>1</v>
      </c>
      <c r="H34">
        <f>IF(SUM('F_Input Override'!$F$5:$M$147)&gt;0,1,0)</f>
        <v>1</v>
      </c>
      <c r="I34">
        <f>IF(SUM('F_Input Override'!$F$5:$M$147)&gt;0,1,0)</f>
        <v>1</v>
      </c>
      <c r="J34">
        <f>IF(SUM('F_Input Override'!$F$5:$M$147)&gt;0,1,0)</f>
        <v>1</v>
      </c>
      <c r="K34">
        <f>IF(SUM('F_Input Override'!$F$5:$M$147)&gt;0,1,0)</f>
        <v>1</v>
      </c>
      <c r="L34">
        <f>IF(SUM('F_Input Override'!$F$5:$M$147)&gt;0,1,0)</f>
        <v>1</v>
      </c>
      <c r="M34">
        <f>IF(SUM('F_Input Override'!$F$5:$M$147)&gt;0,1,0)</f>
        <v>1</v>
      </c>
    </row>
    <row r="35" spans="1:13">
      <c r="A35" t="s">
        <v>104</v>
      </c>
      <c r="B35" t="str">
        <f>CONCATENATE("C_", $C$2, "_ENH_WW_ASSESSED")</f>
        <v>C_PR24CA20_ENH_WW_ASSESSED</v>
      </c>
      <c r="C35" t="str">
        <f>CONCATENATE("Total amount assessed - ", MID($C$4,31,200))</f>
        <v>Total amount assessed - Wastewater - CWQM - Totex</v>
      </c>
      <c r="D35" s="48" t="s">
        <v>78</v>
      </c>
      <c r="E35" t="s">
        <v>72</v>
      </c>
      <c r="F35">
        <f ca="1" xml:space="preserve"> SUMIFS(Allowance!$E$14:$E$24, Allowance!$B$14:$B$24, A35)</f>
        <v>84.326432149260754</v>
      </c>
    </row>
    <row r="36" spans="1:13">
      <c r="A36" t="s">
        <v>102</v>
      </c>
      <c r="B36" t="str">
        <f>CONCATENATE("C_", $C$2, "_ENH_WW_TOT")</f>
        <v>C_PR24CA20_ENH_WW_TOT</v>
      </c>
      <c r="C36" t="str">
        <f xml:space="preserve"> $C$4</f>
        <v>Total enhancement allowance - Wastewater - CWQM - Totex</v>
      </c>
      <c r="D36" t="s">
        <v>78</v>
      </c>
      <c r="E36" t="s">
        <v>72</v>
      </c>
      <c r="I36">
        <f ca="1" xml:space="preserve"> SUMIFS('Outputs to aggregator'!U$41:U$51, 'Outputs to aggregator'!$O$41:$O$51, $A36)</f>
        <v>0</v>
      </c>
      <c r="J36">
        <f ca="1" xml:space="preserve"> SUMIFS('Outputs to aggregator'!V$41:V$51, 'Outputs to aggregator'!$O$41:$O$51, $A36)</f>
        <v>0</v>
      </c>
      <c r="K36">
        <f ca="1" xml:space="preserve"> SUMIFS('Outputs to aggregator'!W$41:W$51, 'Outputs to aggregator'!$O$41:$O$51, $A36)</f>
        <v>0</v>
      </c>
      <c r="L36">
        <f ca="1" xml:space="preserve"> SUMIFS('Outputs to aggregator'!X$41:X$51, 'Outputs to aggregator'!$O$41:$O$51, $A36)</f>
        <v>0</v>
      </c>
      <c r="M36">
        <f ca="1" xml:space="preserve"> SUMIFS('Outputs to aggregator'!Y$41:Y$51, 'Outputs to aggregator'!$O$41:$O$51, $A36)</f>
        <v>40.509041095890417</v>
      </c>
    </row>
    <row r="37" spans="1:13">
      <c r="A37" t="s">
        <v>102</v>
      </c>
      <c r="B37" t="str">
        <f>CONCATENATE("C_", $C$2, "_ENH_WW_AP")</f>
        <v>C_PR24CA20_ENH_WW_AP</v>
      </c>
      <c r="C37" t="str">
        <f xml:space="preserve"> $C$5</f>
        <v>Total enhancement allowance - Wastewater - CWQM - Accelerated programme</v>
      </c>
      <c r="D37" t="s">
        <v>78</v>
      </c>
      <c r="E37" t="s">
        <v>72</v>
      </c>
      <c r="G37">
        <f ca="1" xml:space="preserve"> SUMIFS('Outputs to aggregator'!$R$41:$R$51, 'Outputs to aggregator'!$O$41:$O$51, $A37)</f>
        <v>0</v>
      </c>
      <c r="H37">
        <f ca="1" xml:space="preserve"> SUMIFS('Outputs to aggregator'!$T$41:$T$51, 'Outputs to aggregator'!$O$41:$O$51, $A37)</f>
        <v>0</v>
      </c>
    </row>
    <row r="38" spans="1:13">
      <c r="A38" t="s">
        <v>102</v>
      </c>
      <c r="B38" t="str">
        <f>CONCATENATE("C_", $C$2, "_ENH_WW_TE")</f>
        <v>C_PR24CA20_ENH_WW_TE</v>
      </c>
      <c r="C38" t="str">
        <f xml:space="preserve"> $C$6</f>
        <v>Total enhancement allowance - Wastewater - CWQM - Transition allowance</v>
      </c>
      <c r="D38" t="s">
        <v>78</v>
      </c>
      <c r="E38" t="s">
        <v>72</v>
      </c>
      <c r="G38">
        <f ca="1" xml:space="preserve"> SUMIFS('Outputs to aggregator'!$Q$41:$Q$51, 'Outputs to aggregator'!$O$41:$O$51, $A38)</f>
        <v>0</v>
      </c>
      <c r="H38">
        <f ca="1" xml:space="preserve"> SUMIFS('Outputs to aggregator'!$S$41:$S$51, 'Outputs to aggregator'!$O$41:$O$51, $A38)</f>
        <v>0</v>
      </c>
    </row>
    <row r="39" spans="1:13">
      <c r="A39" t="s">
        <v>102</v>
      </c>
      <c r="B39" t="str">
        <f xml:space="preserve"> CONCATENATE("PR24QA_",  $C$2, "_OUT1")</f>
        <v>PR24QA_PR24CA20_OUT1</v>
      </c>
      <c r="C39" t="str">
        <f xml:space="preserve"> CONCATENATE("Date &amp; Time for Model - ", $C$2)</f>
        <v>Date &amp; Time for Model - PR24CA20</v>
      </c>
      <c r="D39" t="s">
        <v>280</v>
      </c>
      <c r="E39" t="s">
        <v>72</v>
      </c>
      <c r="F39" t="str">
        <f t="shared" ref="F39:M39" ca="1" si="8">CONCATENATE("[…]", TEXT(NOW(),"dd/mm/yyy hh:mm:ss"))</f>
        <v>[…]13/12/2024 11:24:45</v>
      </c>
      <c r="G39" t="str">
        <f t="shared" ca="1" si="8"/>
        <v>[…]13/12/2024 11:24:45</v>
      </c>
      <c r="H39" t="str">
        <f t="shared" ca="1" si="8"/>
        <v>[…]13/12/2024 11:24:45</v>
      </c>
      <c r="I39" t="str">
        <f t="shared" ca="1" si="8"/>
        <v>[…]13/12/2024 11:24:45</v>
      </c>
      <c r="J39" t="str">
        <f t="shared" ca="1" si="8"/>
        <v>[…]13/12/2024 11:24:45</v>
      </c>
      <c r="K39" t="str">
        <f t="shared" ca="1" si="8"/>
        <v>[…]13/12/2024 11:24:45</v>
      </c>
      <c r="L39" t="str">
        <f t="shared" ca="1" si="8"/>
        <v>[…]13/12/2024 11:24:45</v>
      </c>
      <c r="M39" t="str">
        <f t="shared" ca="1" si="8"/>
        <v>[…]13/12/2024 11:24:45</v>
      </c>
    </row>
    <row r="40" spans="1:13">
      <c r="A40" t="s">
        <v>102</v>
      </c>
      <c r="B40" t="str">
        <f xml:space="preserve"> CONCATENATE("PR24QA_",  $C$2, "_OUT2")</f>
        <v>PR24QA_PR24CA20_OUT2</v>
      </c>
      <c r="C40" t="str">
        <f xml:space="preserve"> CONCATENATE("Name of Model - ", $C$2)</f>
        <v>Name of Model - PR24CA20</v>
      </c>
      <c r="D40" t="s">
        <v>280</v>
      </c>
      <c r="E40" t="s">
        <v>72</v>
      </c>
      <c r="F40" t="str">
        <f t="shared" ref="F40:M40" ca="1" si="9">MID(CELL("filename"),SEARCH("[",CELL("filename"))+1,SEARCH("]",CELL("filename"))-SEARCH("[",CELL("filename"))-1)</f>
        <v>OT13 Final Determinations Tables.xlsx</v>
      </c>
      <c r="G40" t="str">
        <f t="shared" ca="1" si="9"/>
        <v>OT13 Final Determinations Tables.xlsx</v>
      </c>
      <c r="H40" t="str">
        <f t="shared" ca="1" si="9"/>
        <v>OT13 Final Determinations Tables.xlsx</v>
      </c>
      <c r="I40" t="str">
        <f t="shared" ca="1" si="9"/>
        <v>OT13 Final Determinations Tables.xlsx</v>
      </c>
      <c r="J40" t="str">
        <f t="shared" ca="1" si="9"/>
        <v>OT13 Final Determinations Tables.xlsx</v>
      </c>
      <c r="K40" t="str">
        <f t="shared" ca="1" si="9"/>
        <v>OT13 Final Determinations Tables.xlsx</v>
      </c>
      <c r="L40" t="str">
        <f t="shared" ca="1" si="9"/>
        <v>OT13 Final Determinations Tables.xlsx</v>
      </c>
      <c r="M40" t="str">
        <f t="shared" ca="1" si="9"/>
        <v>OT13 Final Determinations Tables.xlsx</v>
      </c>
    </row>
    <row r="41" spans="1:13">
      <c r="A41" t="s">
        <v>102</v>
      </c>
      <c r="B41" t="str">
        <f xml:space="preserve"> CONCATENATE("PR24QA_",  $C$2, "_OUT3")</f>
        <v>PR24QA_PR24CA20_OUT3</v>
      </c>
      <c r="C41" t="str">
        <f xml:space="preserve"> CONCATENATE("F_Inputs time stamp - ", $C$2)</f>
        <v>F_Inputs time stamp - PR24CA20</v>
      </c>
      <c r="D41" t="s">
        <v>280</v>
      </c>
      <c r="E41" t="s">
        <v>72</v>
      </c>
      <c r="F41" t="str">
        <f>F_Inputs!$E$2</f>
        <v>Run on 05 Sep 2024 9:07</v>
      </c>
      <c r="G41" t="str">
        <f>F_Inputs!$E$2</f>
        <v>Run on 05 Sep 2024 9:07</v>
      </c>
      <c r="H41" t="str">
        <f>F_Inputs!$E$2</f>
        <v>Run on 05 Sep 2024 9:07</v>
      </c>
      <c r="I41" t="str">
        <f>F_Inputs!$E$2</f>
        <v>Run on 05 Sep 2024 9:07</v>
      </c>
      <c r="J41" t="str">
        <f>F_Inputs!$E$2</f>
        <v>Run on 05 Sep 2024 9:07</v>
      </c>
      <c r="K41" t="str">
        <f>F_Inputs!$E$2</f>
        <v>Run on 05 Sep 2024 9:07</v>
      </c>
      <c r="L41" t="str">
        <f>F_Inputs!$E$2</f>
        <v>Run on 05 Sep 2024 9:07</v>
      </c>
      <c r="M41" t="str">
        <f>F_Inputs!$E$2</f>
        <v>Run on 05 Sep 2024 9:07</v>
      </c>
    </row>
    <row r="42" spans="1:13">
      <c r="A42" t="s">
        <v>102</v>
      </c>
      <c r="B42" t="str">
        <f xml:space="preserve"> CONCATENATE("PR24QA_",  $C$2, "_OUT4")</f>
        <v>PR24QA_PR24CA20_OUT4</v>
      </c>
      <c r="C42" t="str">
        <f xml:space="preserve"> CONCATENATE("Model override switch for - ", $C$2)</f>
        <v>Model override switch for - PR24CA20</v>
      </c>
      <c r="D42" t="s">
        <v>86</v>
      </c>
      <c r="E42" t="s">
        <v>72</v>
      </c>
      <c r="F42">
        <f>IF(SUM('F_Input Override'!$F$5:$L$147)&gt;0,1,0)</f>
        <v>1</v>
      </c>
      <c r="G42">
        <f>IF(SUM('F_Input Override'!$F$5:$M$147)&gt;0,1,0)</f>
        <v>1</v>
      </c>
      <c r="H42">
        <f>IF(SUM('F_Input Override'!$F$5:$M$147)&gt;0,1,0)</f>
        <v>1</v>
      </c>
      <c r="I42">
        <f>IF(SUM('F_Input Override'!$F$5:$M$147)&gt;0,1,0)</f>
        <v>1</v>
      </c>
      <c r="J42">
        <f>IF(SUM('F_Input Override'!$F$5:$M$147)&gt;0,1,0)</f>
        <v>1</v>
      </c>
      <c r="K42">
        <f>IF(SUM('F_Input Override'!$F$5:$M$147)&gt;0,1,0)</f>
        <v>1</v>
      </c>
      <c r="L42">
        <f>IF(SUM('F_Input Override'!$F$5:$M$147)&gt;0,1,0)</f>
        <v>1</v>
      </c>
      <c r="M42">
        <f>IF(SUM('F_Input Override'!$F$5:$M$147)&gt;0,1,0)</f>
        <v>1</v>
      </c>
    </row>
    <row r="43" spans="1:13">
      <c r="A43" t="s">
        <v>102</v>
      </c>
      <c r="B43" t="str">
        <f>CONCATENATE("C_", $C$2, "_ENH_WW_ASSESSED")</f>
        <v>C_PR24CA20_ENH_WW_ASSESSED</v>
      </c>
      <c r="C43" t="str">
        <f>CONCATENATE("Total amount assessed - ", MID($C$4,31,200))</f>
        <v>Total amount assessed - Wastewater - CWQM - Totex</v>
      </c>
      <c r="D43" s="48" t="s">
        <v>78</v>
      </c>
      <c r="E43" t="s">
        <v>72</v>
      </c>
      <c r="F43">
        <f ca="1" xml:space="preserve"> SUMIFS(Allowance!$E$14:$E$24, Allowance!$B$14:$B$24, A43)</f>
        <v>43.146999999999998</v>
      </c>
    </row>
    <row r="44" spans="1:13">
      <c r="A44" t="s">
        <v>101</v>
      </c>
      <c r="B44" t="str">
        <f>CONCATENATE("C_", $C$2, "_ENH_WW_TOT")</f>
        <v>C_PR24CA20_ENH_WW_TOT</v>
      </c>
      <c r="C44" t="str">
        <f xml:space="preserve"> $C$4</f>
        <v>Total enhancement allowance - Wastewater - CWQM - Totex</v>
      </c>
      <c r="D44" t="s">
        <v>78</v>
      </c>
      <c r="E44" t="s">
        <v>72</v>
      </c>
      <c r="I44">
        <f ca="1" xml:space="preserve"> SUMIFS('Outputs to aggregator'!U$41:U$51, 'Outputs to aggregator'!$O$41:$O$51, $A44)</f>
        <v>0</v>
      </c>
      <c r="J44">
        <f ca="1" xml:space="preserve"> SUMIFS('Outputs to aggregator'!V$41:V$51, 'Outputs to aggregator'!$O$41:$O$51, $A44)</f>
        <v>33.313356164383563</v>
      </c>
      <c r="K44">
        <f ca="1" xml:space="preserve"> SUMIFS('Outputs to aggregator'!W$41:W$51, 'Outputs to aggregator'!$O$41:$O$51, $A44)</f>
        <v>33.313356164383563</v>
      </c>
      <c r="L44">
        <f ca="1" xml:space="preserve"> SUMIFS('Outputs to aggregator'!X$41:X$51, 'Outputs to aggregator'!$O$41:$O$51, $A44)</f>
        <v>33.313356164383563</v>
      </c>
      <c r="M44">
        <f ca="1" xml:space="preserve"> SUMIFS('Outputs to aggregator'!Y$41:Y$51, 'Outputs to aggregator'!$O$41:$O$51, $A44)</f>
        <v>33.313356164383563</v>
      </c>
    </row>
    <row r="45" spans="1:13">
      <c r="A45" t="s">
        <v>101</v>
      </c>
      <c r="B45" t="str">
        <f>CONCATENATE("C_", $C$2, "_ENH_WW_AP")</f>
        <v>C_PR24CA20_ENH_WW_AP</v>
      </c>
      <c r="C45" t="str">
        <f xml:space="preserve"> $C$5</f>
        <v>Total enhancement allowance - Wastewater - CWQM - Accelerated programme</v>
      </c>
      <c r="D45" t="s">
        <v>78</v>
      </c>
      <c r="E45" t="s">
        <v>72</v>
      </c>
      <c r="G45">
        <f ca="1" xml:space="preserve"> SUMIFS('Outputs to aggregator'!$R$41:$R$51, 'Outputs to aggregator'!$O$41:$O$51, $A45)</f>
        <v>0</v>
      </c>
      <c r="H45">
        <f ca="1" xml:space="preserve"> SUMIFS('Outputs to aggregator'!$T$41:$T$51, 'Outputs to aggregator'!$O$41:$O$51, $A45)</f>
        <v>0</v>
      </c>
    </row>
    <row r="46" spans="1:13">
      <c r="A46" t="s">
        <v>101</v>
      </c>
      <c r="B46" t="str">
        <f>CONCATENATE("C_", $C$2, "_ENH_WW_TE")</f>
        <v>C_PR24CA20_ENH_WW_TE</v>
      </c>
      <c r="C46" t="str">
        <f xml:space="preserve"> $C$6</f>
        <v>Total enhancement allowance - Wastewater - CWQM - Transition allowance</v>
      </c>
      <c r="D46" t="s">
        <v>78</v>
      </c>
      <c r="E46" t="s">
        <v>72</v>
      </c>
      <c r="G46">
        <f ca="1" xml:space="preserve"> SUMIFS('Outputs to aggregator'!$Q$41:$Q$51, 'Outputs to aggregator'!$O$41:$O$51, $A46)</f>
        <v>0</v>
      </c>
      <c r="H46">
        <f ca="1" xml:space="preserve"> SUMIFS('Outputs to aggregator'!$S$41:$S$51, 'Outputs to aggregator'!$O$41:$O$51, $A46)</f>
        <v>0</v>
      </c>
    </row>
    <row r="47" spans="1:13">
      <c r="A47" t="s">
        <v>101</v>
      </c>
      <c r="B47" t="str">
        <f xml:space="preserve"> CONCATENATE("PR24QA_",  $C$2, "_OUT1")</f>
        <v>PR24QA_PR24CA20_OUT1</v>
      </c>
      <c r="C47" t="str">
        <f xml:space="preserve"> CONCATENATE("Date &amp; Time for Model - ", $C$2)</f>
        <v>Date &amp; Time for Model - PR24CA20</v>
      </c>
      <c r="D47" t="s">
        <v>280</v>
      </c>
      <c r="E47" t="s">
        <v>72</v>
      </c>
      <c r="F47" t="str">
        <f t="shared" ref="F47:M47" ca="1" si="10">CONCATENATE("[…]", TEXT(NOW(),"dd/mm/yyy hh:mm:ss"))</f>
        <v>[…]13/12/2024 11:24:45</v>
      </c>
      <c r="G47" t="str">
        <f t="shared" ca="1" si="10"/>
        <v>[…]13/12/2024 11:24:45</v>
      </c>
      <c r="H47" t="str">
        <f t="shared" ca="1" si="10"/>
        <v>[…]13/12/2024 11:24:45</v>
      </c>
      <c r="I47" t="str">
        <f t="shared" ca="1" si="10"/>
        <v>[…]13/12/2024 11:24:45</v>
      </c>
      <c r="J47" t="str">
        <f t="shared" ca="1" si="10"/>
        <v>[…]13/12/2024 11:24:45</v>
      </c>
      <c r="K47" t="str">
        <f t="shared" ca="1" si="10"/>
        <v>[…]13/12/2024 11:24:45</v>
      </c>
      <c r="L47" t="str">
        <f t="shared" ca="1" si="10"/>
        <v>[…]13/12/2024 11:24:45</v>
      </c>
      <c r="M47" t="str">
        <f t="shared" ca="1" si="10"/>
        <v>[…]13/12/2024 11:24:45</v>
      </c>
    </row>
    <row r="48" spans="1:13">
      <c r="A48" t="s">
        <v>101</v>
      </c>
      <c r="B48" t="str">
        <f xml:space="preserve"> CONCATENATE("PR24QA_",  $C$2, "_OUT2")</f>
        <v>PR24QA_PR24CA20_OUT2</v>
      </c>
      <c r="C48" t="str">
        <f xml:space="preserve"> CONCATENATE("Name of Model - ", $C$2)</f>
        <v>Name of Model - PR24CA20</v>
      </c>
      <c r="D48" t="s">
        <v>280</v>
      </c>
      <c r="E48" t="s">
        <v>72</v>
      </c>
      <c r="F48" t="str">
        <f t="shared" ref="F48:M48" ca="1" si="11">MID(CELL("filename"),SEARCH("[",CELL("filename"))+1,SEARCH("]",CELL("filename"))-SEARCH("[",CELL("filename"))-1)</f>
        <v>OT13 Final Determinations Tables.xlsx</v>
      </c>
      <c r="G48" t="str">
        <f t="shared" ca="1" si="11"/>
        <v>OT13 Final Determinations Tables.xlsx</v>
      </c>
      <c r="H48" t="str">
        <f t="shared" ca="1" si="11"/>
        <v>OT13 Final Determinations Tables.xlsx</v>
      </c>
      <c r="I48" t="str">
        <f t="shared" ca="1" si="11"/>
        <v>OT13 Final Determinations Tables.xlsx</v>
      </c>
      <c r="J48" t="str">
        <f t="shared" ca="1" si="11"/>
        <v>OT13 Final Determinations Tables.xlsx</v>
      </c>
      <c r="K48" t="str">
        <f t="shared" ca="1" si="11"/>
        <v>OT13 Final Determinations Tables.xlsx</v>
      </c>
      <c r="L48" t="str">
        <f t="shared" ca="1" si="11"/>
        <v>OT13 Final Determinations Tables.xlsx</v>
      </c>
      <c r="M48" t="str">
        <f t="shared" ca="1" si="11"/>
        <v>OT13 Final Determinations Tables.xlsx</v>
      </c>
    </row>
    <row r="49" spans="1:13">
      <c r="A49" t="s">
        <v>101</v>
      </c>
      <c r="B49" t="str">
        <f xml:space="preserve"> CONCATENATE("PR24QA_",  $C$2, "_OUT3")</f>
        <v>PR24QA_PR24CA20_OUT3</v>
      </c>
      <c r="C49" t="str">
        <f xml:space="preserve"> CONCATENATE("F_Inputs time stamp - ", $C$2)</f>
        <v>F_Inputs time stamp - PR24CA20</v>
      </c>
      <c r="D49" t="s">
        <v>280</v>
      </c>
      <c r="E49" t="s">
        <v>72</v>
      </c>
      <c r="F49" t="str">
        <f>F_Inputs!$E$2</f>
        <v>Run on 05 Sep 2024 9:07</v>
      </c>
      <c r="G49" t="str">
        <f>F_Inputs!$E$2</f>
        <v>Run on 05 Sep 2024 9:07</v>
      </c>
      <c r="H49" t="str">
        <f>F_Inputs!$E$2</f>
        <v>Run on 05 Sep 2024 9:07</v>
      </c>
      <c r="I49" t="str">
        <f>F_Inputs!$E$2</f>
        <v>Run on 05 Sep 2024 9:07</v>
      </c>
      <c r="J49" t="str">
        <f>F_Inputs!$E$2</f>
        <v>Run on 05 Sep 2024 9:07</v>
      </c>
      <c r="K49" t="str">
        <f>F_Inputs!$E$2</f>
        <v>Run on 05 Sep 2024 9:07</v>
      </c>
      <c r="L49" t="str">
        <f>F_Inputs!$E$2</f>
        <v>Run on 05 Sep 2024 9:07</v>
      </c>
      <c r="M49" t="str">
        <f>F_Inputs!$E$2</f>
        <v>Run on 05 Sep 2024 9:07</v>
      </c>
    </row>
    <row r="50" spans="1:13">
      <c r="A50" t="s">
        <v>101</v>
      </c>
      <c r="B50" t="str">
        <f xml:space="preserve"> CONCATENATE("PR24QA_",  $C$2, "_OUT4")</f>
        <v>PR24QA_PR24CA20_OUT4</v>
      </c>
      <c r="C50" t="str">
        <f xml:space="preserve"> CONCATENATE("Model override switch for - ", $C$2)</f>
        <v>Model override switch for - PR24CA20</v>
      </c>
      <c r="D50" t="s">
        <v>86</v>
      </c>
      <c r="E50" t="s">
        <v>72</v>
      </c>
      <c r="F50">
        <f>IF(SUM('F_Input Override'!$F$5:$L$147)&gt;0,1,0)</f>
        <v>1</v>
      </c>
      <c r="G50">
        <f>IF(SUM('F_Input Override'!$F$5:$M$147)&gt;0,1,0)</f>
        <v>1</v>
      </c>
      <c r="H50">
        <f>IF(SUM('F_Input Override'!$F$5:$M$147)&gt;0,1,0)</f>
        <v>1</v>
      </c>
      <c r="I50">
        <f>IF(SUM('F_Input Override'!$F$5:$M$147)&gt;0,1,0)</f>
        <v>1</v>
      </c>
      <c r="J50">
        <f>IF(SUM('F_Input Override'!$F$5:$M$147)&gt;0,1,0)</f>
        <v>1</v>
      </c>
      <c r="K50">
        <f>IF(SUM('F_Input Override'!$F$5:$M$147)&gt;0,1,0)</f>
        <v>1</v>
      </c>
      <c r="L50">
        <f>IF(SUM('F_Input Override'!$F$5:$M$147)&gt;0,1,0)</f>
        <v>1</v>
      </c>
      <c r="M50">
        <f>IF(SUM('F_Input Override'!$F$5:$M$147)&gt;0,1,0)</f>
        <v>1</v>
      </c>
    </row>
    <row r="51" spans="1:13">
      <c r="A51" t="s">
        <v>101</v>
      </c>
      <c r="B51" t="str">
        <f>CONCATENATE("C_", $C$2, "_ENH_WW_ASSESSED")</f>
        <v>C_PR24CA20_ENH_WW_ASSESSED</v>
      </c>
      <c r="C51" t="str">
        <f>CONCATENATE("Total amount assessed - ", MID($C$4,31,200))</f>
        <v>Total amount assessed - Wastewater - CWQM - Totex</v>
      </c>
      <c r="D51" s="48" t="s">
        <v>78</v>
      </c>
      <c r="E51" t="s">
        <v>72</v>
      </c>
      <c r="F51">
        <f ca="1" xml:space="preserve"> SUMIFS(Allowance!$E$14:$E$24, Allowance!$B$14:$B$24, A51)</f>
        <v>134.34716344920167</v>
      </c>
    </row>
    <row r="52" spans="1:13">
      <c r="A52" t="s">
        <v>100</v>
      </c>
      <c r="B52" t="str">
        <f>CONCATENATE("C_", $C$2, "_ENH_WW_TOT")</f>
        <v>C_PR24CA20_ENH_WW_TOT</v>
      </c>
      <c r="C52" t="str">
        <f xml:space="preserve"> $C$4</f>
        <v>Total enhancement allowance - Wastewater - CWQM - Totex</v>
      </c>
      <c r="D52" t="s">
        <v>78</v>
      </c>
      <c r="E52" t="s">
        <v>72</v>
      </c>
      <c r="I52">
        <f ca="1" xml:space="preserve"> SUMIFS('Outputs to aggregator'!U$41:U$51, 'Outputs to aggregator'!$O$41:$O$51, $A52)</f>
        <v>10.926780821917809</v>
      </c>
      <c r="J52">
        <f ca="1" xml:space="preserve"> SUMIFS('Outputs to aggregator'!V$41:V$51, 'Outputs to aggregator'!$O$41:$O$51, $A52)</f>
        <v>10.926780821917809</v>
      </c>
      <c r="K52">
        <f ca="1" xml:space="preserve"> SUMIFS('Outputs to aggregator'!W$41:W$51, 'Outputs to aggregator'!$O$41:$O$51, $A52)</f>
        <v>10.926780821917809</v>
      </c>
      <c r="L52">
        <f ca="1" xml:space="preserve"> SUMIFS('Outputs to aggregator'!X$41:X$51, 'Outputs to aggregator'!$O$41:$O$51, $A52)</f>
        <v>10.926780821917809</v>
      </c>
      <c r="M52">
        <f ca="1" xml:space="preserve"> SUMIFS('Outputs to aggregator'!Y$41:Y$51, 'Outputs to aggregator'!$O$41:$O$51, $A52)</f>
        <v>10.793527397260275</v>
      </c>
    </row>
    <row r="53" spans="1:13">
      <c r="A53" t="s">
        <v>100</v>
      </c>
      <c r="B53" t="str">
        <f>CONCATENATE("C_", $C$2, "_ENH_WW_AP")</f>
        <v>C_PR24CA20_ENH_WW_AP</v>
      </c>
      <c r="C53" t="str">
        <f xml:space="preserve"> $C$5</f>
        <v>Total enhancement allowance - Wastewater - CWQM - Accelerated programme</v>
      </c>
      <c r="D53" t="s">
        <v>78</v>
      </c>
      <c r="E53" t="s">
        <v>72</v>
      </c>
      <c r="G53">
        <f ca="1" xml:space="preserve"> SUMIFS('Outputs to aggregator'!$R$41:$R$51, 'Outputs to aggregator'!$O$41:$O$51, $A53)</f>
        <v>0</v>
      </c>
      <c r="H53">
        <f ca="1" xml:space="preserve"> SUMIFS('Outputs to aggregator'!$T$41:$T$51, 'Outputs to aggregator'!$O$41:$O$51, $A53)</f>
        <v>0</v>
      </c>
    </row>
    <row r="54" spans="1:13">
      <c r="A54" t="s">
        <v>100</v>
      </c>
      <c r="B54" t="str">
        <f>CONCATENATE("C_", $C$2, "_ENH_WW_TE")</f>
        <v>C_PR24CA20_ENH_WW_TE</v>
      </c>
      <c r="C54" t="str">
        <f xml:space="preserve"> $C$6</f>
        <v>Total enhancement allowance - Wastewater - CWQM - Transition allowance</v>
      </c>
      <c r="D54" t="s">
        <v>78</v>
      </c>
      <c r="E54" t="s">
        <v>72</v>
      </c>
      <c r="G54">
        <f ca="1" xml:space="preserve"> SUMIFS('Outputs to aggregator'!$Q$41:$Q$51, 'Outputs to aggregator'!$O$41:$O$51, $A54)</f>
        <v>0</v>
      </c>
      <c r="H54">
        <f ca="1" xml:space="preserve"> SUMIFS('Outputs to aggregator'!$S$41:$S$51, 'Outputs to aggregator'!$O$41:$O$51, $A54)</f>
        <v>0</v>
      </c>
    </row>
    <row r="55" spans="1:13">
      <c r="A55" t="s">
        <v>100</v>
      </c>
      <c r="B55" t="str">
        <f xml:space="preserve"> CONCATENATE("PR24QA_",  $C$2, "_OUT1")</f>
        <v>PR24QA_PR24CA20_OUT1</v>
      </c>
      <c r="C55" t="str">
        <f xml:space="preserve"> CONCATENATE("Date &amp; Time for Model - ", $C$2)</f>
        <v>Date &amp; Time for Model - PR24CA20</v>
      </c>
      <c r="D55" t="s">
        <v>280</v>
      </c>
      <c r="E55" t="s">
        <v>72</v>
      </c>
      <c r="F55" t="str">
        <f t="shared" ref="F55:M55" ca="1" si="12">CONCATENATE("[…]", TEXT(NOW(),"dd/mm/yyy hh:mm:ss"))</f>
        <v>[…]13/12/2024 11:24:45</v>
      </c>
      <c r="G55" t="str">
        <f t="shared" ca="1" si="12"/>
        <v>[…]13/12/2024 11:24:45</v>
      </c>
      <c r="H55" t="str">
        <f t="shared" ca="1" si="12"/>
        <v>[…]13/12/2024 11:24:45</v>
      </c>
      <c r="I55" t="str">
        <f t="shared" ca="1" si="12"/>
        <v>[…]13/12/2024 11:24:45</v>
      </c>
      <c r="J55" t="str">
        <f t="shared" ca="1" si="12"/>
        <v>[…]13/12/2024 11:24:45</v>
      </c>
      <c r="K55" t="str">
        <f t="shared" ca="1" si="12"/>
        <v>[…]13/12/2024 11:24:45</v>
      </c>
      <c r="L55" t="str">
        <f t="shared" ca="1" si="12"/>
        <v>[…]13/12/2024 11:24:45</v>
      </c>
      <c r="M55" t="str">
        <f t="shared" ca="1" si="12"/>
        <v>[…]13/12/2024 11:24:45</v>
      </c>
    </row>
    <row r="56" spans="1:13">
      <c r="A56" t="s">
        <v>100</v>
      </c>
      <c r="B56" t="str">
        <f xml:space="preserve"> CONCATENATE("PR24QA_",  $C$2, "_OUT2")</f>
        <v>PR24QA_PR24CA20_OUT2</v>
      </c>
      <c r="C56" t="str">
        <f xml:space="preserve"> CONCATENATE("Name of Model - ", $C$2)</f>
        <v>Name of Model - PR24CA20</v>
      </c>
      <c r="D56" t="s">
        <v>280</v>
      </c>
      <c r="E56" t="s">
        <v>72</v>
      </c>
      <c r="F56" t="str">
        <f t="shared" ref="F56:M56" ca="1" si="13">MID(CELL("filename"),SEARCH("[",CELL("filename"))+1,SEARCH("]",CELL("filename"))-SEARCH("[",CELL("filename"))-1)</f>
        <v>OT13 Final Determinations Tables.xlsx</v>
      </c>
      <c r="G56" t="str">
        <f t="shared" ca="1" si="13"/>
        <v>OT13 Final Determinations Tables.xlsx</v>
      </c>
      <c r="H56" t="str">
        <f t="shared" ca="1" si="13"/>
        <v>OT13 Final Determinations Tables.xlsx</v>
      </c>
      <c r="I56" t="str">
        <f t="shared" ca="1" si="13"/>
        <v>OT13 Final Determinations Tables.xlsx</v>
      </c>
      <c r="J56" t="str">
        <f t="shared" ca="1" si="13"/>
        <v>OT13 Final Determinations Tables.xlsx</v>
      </c>
      <c r="K56" t="str">
        <f t="shared" ca="1" si="13"/>
        <v>OT13 Final Determinations Tables.xlsx</v>
      </c>
      <c r="L56" t="str">
        <f t="shared" ca="1" si="13"/>
        <v>OT13 Final Determinations Tables.xlsx</v>
      </c>
      <c r="M56" t="str">
        <f t="shared" ca="1" si="13"/>
        <v>OT13 Final Determinations Tables.xlsx</v>
      </c>
    </row>
    <row r="57" spans="1:13">
      <c r="A57" t="s">
        <v>100</v>
      </c>
      <c r="B57" t="str">
        <f xml:space="preserve"> CONCATENATE("PR24QA_",  $C$2, "_OUT3")</f>
        <v>PR24QA_PR24CA20_OUT3</v>
      </c>
      <c r="C57" t="str">
        <f xml:space="preserve"> CONCATENATE("F_Inputs time stamp - ", $C$2)</f>
        <v>F_Inputs time stamp - PR24CA20</v>
      </c>
      <c r="D57" t="s">
        <v>280</v>
      </c>
      <c r="E57" t="s">
        <v>72</v>
      </c>
      <c r="F57" t="str">
        <f>F_Inputs!$E$2</f>
        <v>Run on 05 Sep 2024 9:07</v>
      </c>
      <c r="G57" t="str">
        <f>F_Inputs!$E$2</f>
        <v>Run on 05 Sep 2024 9:07</v>
      </c>
      <c r="H57" t="str">
        <f>F_Inputs!$E$2</f>
        <v>Run on 05 Sep 2024 9:07</v>
      </c>
      <c r="I57" t="str">
        <f>F_Inputs!$E$2</f>
        <v>Run on 05 Sep 2024 9:07</v>
      </c>
      <c r="J57" t="str">
        <f>F_Inputs!$E$2</f>
        <v>Run on 05 Sep 2024 9:07</v>
      </c>
      <c r="K57" t="str">
        <f>F_Inputs!$E$2</f>
        <v>Run on 05 Sep 2024 9:07</v>
      </c>
      <c r="L57" t="str">
        <f>F_Inputs!$E$2</f>
        <v>Run on 05 Sep 2024 9:07</v>
      </c>
      <c r="M57" t="str">
        <f>F_Inputs!$E$2</f>
        <v>Run on 05 Sep 2024 9:07</v>
      </c>
    </row>
    <row r="58" spans="1:13">
      <c r="A58" t="s">
        <v>100</v>
      </c>
      <c r="B58" t="str">
        <f xml:space="preserve"> CONCATENATE("PR24QA_",  $C$2, "_OUT4")</f>
        <v>PR24QA_PR24CA20_OUT4</v>
      </c>
      <c r="C58" t="str">
        <f xml:space="preserve"> CONCATENATE("Model override switch for - ", $C$2)</f>
        <v>Model override switch for - PR24CA20</v>
      </c>
      <c r="D58" t="s">
        <v>86</v>
      </c>
      <c r="E58" t="s">
        <v>72</v>
      </c>
      <c r="F58">
        <f>IF(SUM('F_Input Override'!$F$5:$L$147)&gt;0,1,0)</f>
        <v>1</v>
      </c>
      <c r="G58">
        <f>IF(SUM('F_Input Override'!$F$5:$M$147)&gt;0,1,0)</f>
        <v>1</v>
      </c>
      <c r="H58">
        <f>IF(SUM('F_Input Override'!$F$5:$M$147)&gt;0,1,0)</f>
        <v>1</v>
      </c>
      <c r="I58">
        <f>IF(SUM('F_Input Override'!$F$5:$M$147)&gt;0,1,0)</f>
        <v>1</v>
      </c>
      <c r="J58">
        <f>IF(SUM('F_Input Override'!$F$5:$M$147)&gt;0,1,0)</f>
        <v>1</v>
      </c>
      <c r="K58">
        <f>IF(SUM('F_Input Override'!$F$5:$M$147)&gt;0,1,0)</f>
        <v>1</v>
      </c>
      <c r="L58">
        <f>IF(SUM('F_Input Override'!$F$5:$M$147)&gt;0,1,0)</f>
        <v>1</v>
      </c>
      <c r="M58">
        <f>IF(SUM('F_Input Override'!$F$5:$M$147)&gt;0,1,0)</f>
        <v>1</v>
      </c>
    </row>
    <row r="59" spans="1:13">
      <c r="A59" t="s">
        <v>100</v>
      </c>
      <c r="B59" t="str">
        <f>CONCATENATE("C_", $C$2, "_ENH_WW_ASSESSED")</f>
        <v>C_PR24CA20_ENH_WW_ASSESSED</v>
      </c>
      <c r="C59" t="str">
        <f>CONCATENATE("Total amount assessed - ", MID($C$4,31,200))</f>
        <v>Total amount assessed - Wastewater - CWQM - Totex</v>
      </c>
      <c r="D59" s="48" t="s">
        <v>78</v>
      </c>
      <c r="E59" t="s">
        <v>72</v>
      </c>
      <c r="F59">
        <f ca="1" xml:space="preserve"> SUMIFS(Allowance!$E$14:$E$24, Allowance!$B$14:$B$24, A59)</f>
        <v>54.433</v>
      </c>
    </row>
    <row r="60" spans="1:13">
      <c r="A60" t="s">
        <v>103</v>
      </c>
      <c r="B60" t="str">
        <f>CONCATENATE("C_", $C$2, "_ENH_WW_TOT")</f>
        <v>C_PR24CA20_ENH_WW_TOT</v>
      </c>
      <c r="C60" t="str">
        <f xml:space="preserve"> $C$4</f>
        <v>Total enhancement allowance - Wastewater - CWQM - Totex</v>
      </c>
      <c r="D60" t="s">
        <v>78</v>
      </c>
      <c r="E60" t="s">
        <v>72</v>
      </c>
      <c r="I60">
        <f ca="1" xml:space="preserve"> SUMIFS('Outputs to aggregator'!U$41:U$51, 'Outputs to aggregator'!$O$41:$O$51, $A60)</f>
        <v>8.3949657534246587</v>
      </c>
      <c r="J60">
        <f ca="1" xml:space="preserve"> SUMIFS('Outputs to aggregator'!V$41:V$51, 'Outputs to aggregator'!$O$41:$O$51, $A60)</f>
        <v>8.3949657534246587</v>
      </c>
      <c r="K60">
        <f ca="1" xml:space="preserve"> SUMIFS('Outputs to aggregator'!W$41:W$51, 'Outputs to aggregator'!$O$41:$O$51, $A60)</f>
        <v>8.3949657534246587</v>
      </c>
      <c r="L60">
        <f ca="1" xml:space="preserve"> SUMIFS('Outputs to aggregator'!X$41:X$51, 'Outputs to aggregator'!$O$41:$O$51, $A60)</f>
        <v>8.3949657534246587</v>
      </c>
      <c r="M60">
        <f ca="1" xml:space="preserve"> SUMIFS('Outputs to aggregator'!Y$41:Y$51, 'Outputs to aggregator'!$O$41:$O$51, $A60)</f>
        <v>8.2617123287671248</v>
      </c>
    </row>
    <row r="61" spans="1:13">
      <c r="A61" t="s">
        <v>103</v>
      </c>
      <c r="B61" t="str">
        <f>CONCATENATE("C_", $C$2, "_ENH_WW_AP")</f>
        <v>C_PR24CA20_ENH_WW_AP</v>
      </c>
      <c r="C61" t="str">
        <f xml:space="preserve"> $C$5</f>
        <v>Total enhancement allowance - Wastewater - CWQM - Accelerated programme</v>
      </c>
      <c r="D61" t="s">
        <v>78</v>
      </c>
      <c r="E61" t="s">
        <v>72</v>
      </c>
      <c r="G61">
        <f ca="1" xml:space="preserve"> SUMIFS('Outputs to aggregator'!$R$41:$R$51, 'Outputs to aggregator'!$O$41:$O$51, $A61)</f>
        <v>0</v>
      </c>
      <c r="H61">
        <f ca="1" xml:space="preserve"> SUMIFS('Outputs to aggregator'!$T$41:$T$51, 'Outputs to aggregator'!$O$41:$O$51, $A61)</f>
        <v>0</v>
      </c>
    </row>
    <row r="62" spans="1:13">
      <c r="A62" t="s">
        <v>103</v>
      </c>
      <c r="B62" t="str">
        <f>CONCATENATE("C_", $C$2, "_ENH_WW_TE")</f>
        <v>C_PR24CA20_ENH_WW_TE</v>
      </c>
      <c r="C62" t="str">
        <f xml:space="preserve"> $C$6</f>
        <v>Total enhancement allowance - Wastewater - CWQM - Transition allowance</v>
      </c>
      <c r="D62" t="s">
        <v>78</v>
      </c>
      <c r="E62" t="s">
        <v>72</v>
      </c>
      <c r="G62">
        <f ca="1" xml:space="preserve"> SUMIFS('Outputs to aggregator'!$Q$41:$Q$51, 'Outputs to aggregator'!$O$41:$O$51, $A62)</f>
        <v>0</v>
      </c>
      <c r="H62">
        <f ca="1" xml:space="preserve"> SUMIFS('Outputs to aggregator'!$S$41:$S$51, 'Outputs to aggregator'!$O$41:$O$51, $A62)</f>
        <v>0</v>
      </c>
    </row>
    <row r="63" spans="1:13">
      <c r="A63" t="s">
        <v>103</v>
      </c>
      <c r="B63" t="str">
        <f xml:space="preserve"> CONCATENATE("PR24QA_",  $C$2, "_OUT1")</f>
        <v>PR24QA_PR24CA20_OUT1</v>
      </c>
      <c r="C63" t="str">
        <f xml:space="preserve"> CONCATENATE("Date &amp; Time for Model - ", $C$2)</f>
        <v>Date &amp; Time for Model - PR24CA20</v>
      </c>
      <c r="D63" t="s">
        <v>280</v>
      </c>
      <c r="E63" t="s">
        <v>72</v>
      </c>
      <c r="F63" t="str">
        <f t="shared" ref="F63:M63" ca="1" si="14">CONCATENATE("[…]", TEXT(NOW(),"dd/mm/yyy hh:mm:ss"))</f>
        <v>[…]13/12/2024 11:24:45</v>
      </c>
      <c r="G63" t="str">
        <f t="shared" ca="1" si="14"/>
        <v>[…]13/12/2024 11:24:45</v>
      </c>
      <c r="H63" t="str">
        <f t="shared" ca="1" si="14"/>
        <v>[…]13/12/2024 11:24:45</v>
      </c>
      <c r="I63" t="str">
        <f t="shared" ca="1" si="14"/>
        <v>[…]13/12/2024 11:24:45</v>
      </c>
      <c r="J63" t="str">
        <f t="shared" ca="1" si="14"/>
        <v>[…]13/12/2024 11:24:45</v>
      </c>
      <c r="K63" t="str">
        <f t="shared" ca="1" si="14"/>
        <v>[…]13/12/2024 11:24:45</v>
      </c>
      <c r="L63" t="str">
        <f t="shared" ca="1" si="14"/>
        <v>[…]13/12/2024 11:24:45</v>
      </c>
      <c r="M63" t="str">
        <f t="shared" ca="1" si="14"/>
        <v>[…]13/12/2024 11:24:45</v>
      </c>
    </row>
    <row r="64" spans="1:13">
      <c r="A64" t="s">
        <v>103</v>
      </c>
      <c r="B64" t="str">
        <f xml:space="preserve"> CONCATENATE("PR24QA_",  $C$2, "_OUT2")</f>
        <v>PR24QA_PR24CA20_OUT2</v>
      </c>
      <c r="C64" t="str">
        <f xml:space="preserve"> CONCATENATE("Name of Model - ", $C$2)</f>
        <v>Name of Model - PR24CA20</v>
      </c>
      <c r="D64" t="s">
        <v>280</v>
      </c>
      <c r="E64" t="s">
        <v>72</v>
      </c>
      <c r="F64" t="str">
        <f t="shared" ref="F64:M64" ca="1" si="15">MID(CELL("filename"),SEARCH("[",CELL("filename"))+1,SEARCH("]",CELL("filename"))-SEARCH("[",CELL("filename"))-1)</f>
        <v>OT13 Final Determinations Tables.xlsx</v>
      </c>
      <c r="G64" t="str">
        <f t="shared" ca="1" si="15"/>
        <v>OT13 Final Determinations Tables.xlsx</v>
      </c>
      <c r="H64" t="str">
        <f t="shared" ca="1" si="15"/>
        <v>OT13 Final Determinations Tables.xlsx</v>
      </c>
      <c r="I64" t="str">
        <f t="shared" ca="1" si="15"/>
        <v>OT13 Final Determinations Tables.xlsx</v>
      </c>
      <c r="J64" t="str">
        <f t="shared" ca="1" si="15"/>
        <v>OT13 Final Determinations Tables.xlsx</v>
      </c>
      <c r="K64" t="str">
        <f t="shared" ca="1" si="15"/>
        <v>OT13 Final Determinations Tables.xlsx</v>
      </c>
      <c r="L64" t="str">
        <f t="shared" ca="1" si="15"/>
        <v>OT13 Final Determinations Tables.xlsx</v>
      </c>
      <c r="M64" t="str">
        <f t="shared" ca="1" si="15"/>
        <v>OT13 Final Determinations Tables.xlsx</v>
      </c>
    </row>
    <row r="65" spans="1:13">
      <c r="A65" t="s">
        <v>103</v>
      </c>
      <c r="B65" t="str">
        <f xml:space="preserve"> CONCATENATE("PR24QA_",  $C$2, "_OUT3")</f>
        <v>PR24QA_PR24CA20_OUT3</v>
      </c>
      <c r="C65" t="str">
        <f xml:space="preserve"> CONCATENATE("F_Inputs time stamp - ", $C$2)</f>
        <v>F_Inputs time stamp - PR24CA20</v>
      </c>
      <c r="D65" t="s">
        <v>280</v>
      </c>
      <c r="E65" t="s">
        <v>72</v>
      </c>
      <c r="F65" t="str">
        <f>F_Inputs!$E$2</f>
        <v>Run on 05 Sep 2024 9:07</v>
      </c>
      <c r="G65" t="str">
        <f>F_Inputs!$E$2</f>
        <v>Run on 05 Sep 2024 9:07</v>
      </c>
      <c r="H65" t="str">
        <f>F_Inputs!$E$2</f>
        <v>Run on 05 Sep 2024 9:07</v>
      </c>
      <c r="I65" t="str">
        <f>F_Inputs!$E$2</f>
        <v>Run on 05 Sep 2024 9:07</v>
      </c>
      <c r="J65" t="str">
        <f>F_Inputs!$E$2</f>
        <v>Run on 05 Sep 2024 9:07</v>
      </c>
      <c r="K65" t="str">
        <f>F_Inputs!$E$2</f>
        <v>Run on 05 Sep 2024 9:07</v>
      </c>
      <c r="L65" t="str">
        <f>F_Inputs!$E$2</f>
        <v>Run on 05 Sep 2024 9:07</v>
      </c>
      <c r="M65" t="str">
        <f>F_Inputs!$E$2</f>
        <v>Run on 05 Sep 2024 9:07</v>
      </c>
    </row>
    <row r="66" spans="1:13">
      <c r="A66" t="s">
        <v>103</v>
      </c>
      <c r="B66" t="str">
        <f xml:space="preserve"> CONCATENATE("PR24QA_",  $C$2, "_OUT4")</f>
        <v>PR24QA_PR24CA20_OUT4</v>
      </c>
      <c r="C66" t="str">
        <f xml:space="preserve"> CONCATENATE("Model override switch for - ", $C$2)</f>
        <v>Model override switch for - PR24CA20</v>
      </c>
      <c r="D66" t="s">
        <v>86</v>
      </c>
      <c r="E66" t="s">
        <v>72</v>
      </c>
      <c r="F66">
        <f>IF(SUM('F_Input Override'!$F$5:$L$147)&gt;0,1,0)</f>
        <v>1</v>
      </c>
      <c r="G66">
        <f>IF(SUM('F_Input Override'!$F$5:$M$147)&gt;0,1,0)</f>
        <v>1</v>
      </c>
      <c r="H66">
        <f>IF(SUM('F_Input Override'!$F$5:$M$147)&gt;0,1,0)</f>
        <v>1</v>
      </c>
      <c r="I66">
        <f>IF(SUM('F_Input Override'!$F$5:$M$147)&gt;0,1,0)</f>
        <v>1</v>
      </c>
      <c r="J66">
        <f>IF(SUM('F_Input Override'!$F$5:$M$147)&gt;0,1,0)</f>
        <v>1</v>
      </c>
      <c r="K66">
        <f>IF(SUM('F_Input Override'!$F$5:$M$147)&gt;0,1,0)</f>
        <v>1</v>
      </c>
      <c r="L66">
        <f>IF(SUM('F_Input Override'!$F$5:$M$147)&gt;0,1,0)</f>
        <v>1</v>
      </c>
      <c r="M66">
        <f>IF(SUM('F_Input Override'!$F$5:$M$147)&gt;0,1,0)</f>
        <v>1</v>
      </c>
    </row>
    <row r="67" spans="1:13">
      <c r="A67" t="s">
        <v>103</v>
      </c>
      <c r="B67" t="str">
        <f>CONCATENATE("C_", $C$2, "_ENH_WW_ASSESSED")</f>
        <v>C_PR24CA20_ENH_WW_ASSESSED</v>
      </c>
      <c r="C67" t="str">
        <f>CONCATENATE("Total amount assessed - ", MID($C$4,31,200))</f>
        <v>Total amount assessed - Wastewater - CWQM - Totex</v>
      </c>
      <c r="D67" s="48" t="s">
        <v>78</v>
      </c>
      <c r="E67" t="s">
        <v>72</v>
      </c>
      <c r="F67">
        <f ca="1" xml:space="preserve"> SUMIFS(Allowance!$E$14:$E$24, Allowance!$B$14:$B$24, A67)</f>
        <v>52.985999999999997</v>
      </c>
    </row>
    <row r="68" spans="1:13">
      <c r="A68" t="s">
        <v>97</v>
      </c>
      <c r="B68" t="str">
        <f>CONCATENATE("C_", $C$2, "_ENH_WW_TOT")</f>
        <v>C_PR24CA20_ENH_WW_TOT</v>
      </c>
      <c r="C68" t="str">
        <f xml:space="preserve"> $C$4</f>
        <v>Total enhancement allowance - Wastewater - CWQM - Totex</v>
      </c>
      <c r="D68" t="s">
        <v>78</v>
      </c>
      <c r="E68" t="s">
        <v>72</v>
      </c>
      <c r="I68">
        <f ca="1" xml:space="preserve"> SUMIFS('Outputs to aggregator'!U$41:U$51, 'Outputs to aggregator'!$O$41:$O$51, $A68)</f>
        <v>3.0359999999999996</v>
      </c>
      <c r="J68">
        <f ca="1" xml:space="preserve"> SUMIFS('Outputs to aggregator'!V$41:V$51, 'Outputs to aggregator'!$O$41:$O$51, $A68)</f>
        <v>3.0359999999999996</v>
      </c>
      <c r="K68">
        <f ca="1" xml:space="preserve"> SUMIFS('Outputs to aggregator'!W$41:W$51, 'Outputs to aggregator'!$O$41:$O$51, $A68)</f>
        <v>0</v>
      </c>
      <c r="L68">
        <f ca="1" xml:space="preserve"> SUMIFS('Outputs to aggregator'!X$41:X$51, 'Outputs to aggregator'!$O$41:$O$51, $A68)</f>
        <v>0</v>
      </c>
      <c r="M68">
        <f ca="1" xml:space="preserve"> SUMIFS('Outputs to aggregator'!Y$41:Y$51, 'Outputs to aggregator'!$O$41:$O$51, $A68)</f>
        <v>0</v>
      </c>
    </row>
    <row r="69" spans="1:13">
      <c r="A69" t="s">
        <v>97</v>
      </c>
      <c r="B69" t="str">
        <f>CONCATENATE("C_", $C$2, "_ENH_WW_AP")</f>
        <v>C_PR24CA20_ENH_WW_AP</v>
      </c>
      <c r="C69" t="str">
        <f xml:space="preserve"> $C$5</f>
        <v>Total enhancement allowance - Wastewater - CWQM - Accelerated programme</v>
      </c>
      <c r="D69" t="s">
        <v>78</v>
      </c>
      <c r="E69" t="s">
        <v>72</v>
      </c>
      <c r="G69">
        <f ca="1" xml:space="preserve"> SUMIFS('Outputs to aggregator'!$R$41:$R$51, 'Outputs to aggregator'!$O$41:$O$51, $A69)</f>
        <v>0</v>
      </c>
      <c r="H69">
        <f ca="1" xml:space="preserve"> SUMIFS('Outputs to aggregator'!$T$41:$T$51, 'Outputs to aggregator'!$O$41:$O$51, $A69)</f>
        <v>0</v>
      </c>
    </row>
    <row r="70" spans="1:13">
      <c r="A70" t="s">
        <v>97</v>
      </c>
      <c r="B70" t="str">
        <f>CONCATENATE("C_", $C$2, "_ENH_WW_TE")</f>
        <v>C_PR24CA20_ENH_WW_TE</v>
      </c>
      <c r="C70" t="str">
        <f xml:space="preserve"> $C$6</f>
        <v>Total enhancement allowance - Wastewater - CWQM - Transition allowance</v>
      </c>
      <c r="D70" t="s">
        <v>78</v>
      </c>
      <c r="E70" t="s">
        <v>72</v>
      </c>
      <c r="G70">
        <f ca="1" xml:space="preserve"> SUMIFS('Outputs to aggregator'!$Q$41:$Q$51, 'Outputs to aggregator'!$O$41:$O$51, $A70)</f>
        <v>0</v>
      </c>
      <c r="H70">
        <f ca="1" xml:space="preserve"> SUMIFS('Outputs to aggregator'!$S$41:$S$51, 'Outputs to aggregator'!$O$41:$O$51, $A70)</f>
        <v>0</v>
      </c>
    </row>
    <row r="71" spans="1:13">
      <c r="A71" t="s">
        <v>97</v>
      </c>
      <c r="B71" t="str">
        <f xml:space="preserve"> CONCATENATE("PR24QA_",  $C$2, "_OUT1")</f>
        <v>PR24QA_PR24CA20_OUT1</v>
      </c>
      <c r="C71" t="str">
        <f xml:space="preserve"> CONCATENATE("Date &amp; Time for Model - ", $C$2)</f>
        <v>Date &amp; Time for Model - PR24CA20</v>
      </c>
      <c r="D71" t="s">
        <v>280</v>
      </c>
      <c r="E71" t="s">
        <v>72</v>
      </c>
      <c r="F71" t="str">
        <f t="shared" ref="F71:M71" ca="1" si="16">CONCATENATE("[…]", TEXT(NOW(),"dd/mm/yyy hh:mm:ss"))</f>
        <v>[…]13/12/2024 11:24:45</v>
      </c>
      <c r="G71" t="str">
        <f t="shared" ca="1" si="16"/>
        <v>[…]13/12/2024 11:24:45</v>
      </c>
      <c r="H71" t="str">
        <f t="shared" ca="1" si="16"/>
        <v>[…]13/12/2024 11:24:45</v>
      </c>
      <c r="I71" t="str">
        <f t="shared" ca="1" si="16"/>
        <v>[…]13/12/2024 11:24:45</v>
      </c>
      <c r="J71" t="str">
        <f t="shared" ca="1" si="16"/>
        <v>[…]13/12/2024 11:24:45</v>
      </c>
      <c r="K71" t="str">
        <f t="shared" ca="1" si="16"/>
        <v>[…]13/12/2024 11:24:45</v>
      </c>
      <c r="L71" t="str">
        <f t="shared" ca="1" si="16"/>
        <v>[…]13/12/2024 11:24:45</v>
      </c>
      <c r="M71" t="str">
        <f t="shared" ca="1" si="16"/>
        <v>[…]13/12/2024 11:24:45</v>
      </c>
    </row>
    <row r="72" spans="1:13">
      <c r="A72" t="s">
        <v>97</v>
      </c>
      <c r="B72" t="str">
        <f xml:space="preserve"> CONCATENATE("PR24QA_",  $C$2, "_OUT2")</f>
        <v>PR24QA_PR24CA20_OUT2</v>
      </c>
      <c r="C72" t="str">
        <f xml:space="preserve"> CONCATENATE("Name of Model - ", $C$2)</f>
        <v>Name of Model - PR24CA20</v>
      </c>
      <c r="D72" t="s">
        <v>280</v>
      </c>
      <c r="E72" t="s">
        <v>72</v>
      </c>
      <c r="F72" t="str">
        <f t="shared" ref="F72:M72" ca="1" si="17">MID(CELL("filename"),SEARCH("[",CELL("filename"))+1,SEARCH("]",CELL("filename"))-SEARCH("[",CELL("filename"))-1)</f>
        <v>OT13 Final Determinations Tables.xlsx</v>
      </c>
      <c r="G72" t="str">
        <f t="shared" ca="1" si="17"/>
        <v>OT13 Final Determinations Tables.xlsx</v>
      </c>
      <c r="H72" t="str">
        <f t="shared" ca="1" si="17"/>
        <v>OT13 Final Determinations Tables.xlsx</v>
      </c>
      <c r="I72" t="str">
        <f t="shared" ca="1" si="17"/>
        <v>OT13 Final Determinations Tables.xlsx</v>
      </c>
      <c r="J72" t="str">
        <f t="shared" ca="1" si="17"/>
        <v>OT13 Final Determinations Tables.xlsx</v>
      </c>
      <c r="K72" t="str">
        <f t="shared" ca="1" si="17"/>
        <v>OT13 Final Determinations Tables.xlsx</v>
      </c>
      <c r="L72" t="str">
        <f t="shared" ca="1" si="17"/>
        <v>OT13 Final Determinations Tables.xlsx</v>
      </c>
      <c r="M72" t="str">
        <f t="shared" ca="1" si="17"/>
        <v>OT13 Final Determinations Tables.xlsx</v>
      </c>
    </row>
    <row r="73" spans="1:13">
      <c r="A73" t="s">
        <v>97</v>
      </c>
      <c r="B73" t="str">
        <f xml:space="preserve"> CONCATENATE("PR24QA_",  $C$2, "_OUT3")</f>
        <v>PR24QA_PR24CA20_OUT3</v>
      </c>
      <c r="C73" t="str">
        <f xml:space="preserve"> CONCATENATE("F_Inputs time stamp - ", $C$2)</f>
        <v>F_Inputs time stamp - PR24CA20</v>
      </c>
      <c r="D73" t="s">
        <v>280</v>
      </c>
      <c r="E73" t="s">
        <v>72</v>
      </c>
      <c r="F73" t="str">
        <f>F_Inputs!$E$2</f>
        <v>Run on 05 Sep 2024 9:07</v>
      </c>
      <c r="G73" t="str">
        <f>F_Inputs!$E$2</f>
        <v>Run on 05 Sep 2024 9:07</v>
      </c>
      <c r="H73" t="str">
        <f>F_Inputs!$E$2</f>
        <v>Run on 05 Sep 2024 9:07</v>
      </c>
      <c r="I73" t="str">
        <f>F_Inputs!$E$2</f>
        <v>Run on 05 Sep 2024 9:07</v>
      </c>
      <c r="J73" t="str">
        <f>F_Inputs!$E$2</f>
        <v>Run on 05 Sep 2024 9:07</v>
      </c>
      <c r="K73" t="str">
        <f>F_Inputs!$E$2</f>
        <v>Run on 05 Sep 2024 9:07</v>
      </c>
      <c r="L73" t="str">
        <f>F_Inputs!$E$2</f>
        <v>Run on 05 Sep 2024 9:07</v>
      </c>
      <c r="M73" t="str">
        <f>F_Inputs!$E$2</f>
        <v>Run on 05 Sep 2024 9:07</v>
      </c>
    </row>
    <row r="74" spans="1:13">
      <c r="A74" t="s">
        <v>97</v>
      </c>
      <c r="B74" t="str">
        <f xml:space="preserve"> CONCATENATE("PR24QA_",  $C$2, "_OUT4")</f>
        <v>PR24QA_PR24CA20_OUT4</v>
      </c>
      <c r="C74" t="str">
        <f xml:space="preserve"> CONCATENATE("Model override switch for - ", $C$2)</f>
        <v>Model override switch for - PR24CA20</v>
      </c>
      <c r="D74" t="s">
        <v>86</v>
      </c>
      <c r="E74" t="s">
        <v>72</v>
      </c>
      <c r="F74">
        <f>IF(SUM('F_Input Override'!$F$5:$L$147)&gt;0,1,0)</f>
        <v>1</v>
      </c>
      <c r="G74">
        <f>IF(SUM('F_Input Override'!$F$5:$M$147)&gt;0,1,0)</f>
        <v>1</v>
      </c>
      <c r="H74">
        <f>IF(SUM('F_Input Override'!$F$5:$M$147)&gt;0,1,0)</f>
        <v>1</v>
      </c>
      <c r="I74">
        <f>IF(SUM('F_Input Override'!$F$5:$M$147)&gt;0,1,0)</f>
        <v>1</v>
      </c>
      <c r="J74">
        <f>IF(SUM('F_Input Override'!$F$5:$M$147)&gt;0,1,0)</f>
        <v>1</v>
      </c>
      <c r="K74">
        <f>IF(SUM('F_Input Override'!$F$5:$M$147)&gt;0,1,0)</f>
        <v>1</v>
      </c>
      <c r="L74">
        <f>IF(SUM('F_Input Override'!$F$5:$M$147)&gt;0,1,0)</f>
        <v>1</v>
      </c>
      <c r="M74">
        <f>IF(SUM('F_Input Override'!$F$5:$M$147)&gt;0,1,0)</f>
        <v>1</v>
      </c>
    </row>
    <row r="75" spans="1:13">
      <c r="A75" t="s">
        <v>97</v>
      </c>
      <c r="B75" t="str">
        <f>CONCATENATE("C_", $C$2, "_ENH_WW_ASSESSED")</f>
        <v>C_PR24CA20_ENH_WW_ASSESSED</v>
      </c>
      <c r="C75" t="str">
        <f>CONCATENATE("Total amount assessed - ", MID($C$4,31,200))</f>
        <v>Total amount assessed - Wastewater - CWQM - Totex</v>
      </c>
      <c r="D75" s="48" t="s">
        <v>78</v>
      </c>
      <c r="E75" t="s">
        <v>72</v>
      </c>
      <c r="F75">
        <f ca="1" xml:space="preserve"> SUMIFS(Allowance!$E$14:$E$24, Allowance!$B$14:$B$24, A75)</f>
        <v>6.0719999999999992</v>
      </c>
    </row>
    <row r="76" spans="1:13">
      <c r="A76" t="s">
        <v>105</v>
      </c>
      <c r="B76" t="str">
        <f>CONCATENATE("C_", $C$2, "_ENH_WW_TOT")</f>
        <v>C_PR24CA20_ENH_WW_TOT</v>
      </c>
      <c r="C76" t="str">
        <f xml:space="preserve"> $C$4</f>
        <v>Total enhancement allowance - Wastewater - CWQM - Totex</v>
      </c>
      <c r="D76" t="s">
        <v>78</v>
      </c>
      <c r="E76" t="s">
        <v>72</v>
      </c>
      <c r="I76">
        <f ca="1" xml:space="preserve"> SUMIFS('Outputs to aggregator'!U$41:U$51, 'Outputs to aggregator'!$O$41:$O$51, $A76)</f>
        <v>1.3325342465753425</v>
      </c>
      <c r="J76">
        <f ca="1" xml:space="preserve"> SUMIFS('Outputs to aggregator'!V$41:V$51, 'Outputs to aggregator'!$O$41:$O$51, $A76)</f>
        <v>13.325342465753426</v>
      </c>
      <c r="K76">
        <f ca="1" xml:space="preserve"> SUMIFS('Outputs to aggregator'!W$41:W$51, 'Outputs to aggregator'!$O$41:$O$51, $A76)</f>
        <v>13.325342465753426</v>
      </c>
      <c r="L76">
        <f ca="1" xml:space="preserve"> SUMIFS('Outputs to aggregator'!X$41:X$51, 'Outputs to aggregator'!$O$41:$O$51, $A76)</f>
        <v>15.990410958904109</v>
      </c>
      <c r="M76">
        <f ca="1" xml:space="preserve"> SUMIFS('Outputs to aggregator'!Y$41:Y$51, 'Outputs to aggregator'!$O$41:$O$51, $A76)</f>
        <v>18.655479452054795</v>
      </c>
    </row>
    <row r="77" spans="1:13">
      <c r="A77" t="s">
        <v>105</v>
      </c>
      <c r="B77" t="str">
        <f>CONCATENATE("C_", $C$2, "_ENH_WW_AP")</f>
        <v>C_PR24CA20_ENH_WW_AP</v>
      </c>
      <c r="C77" t="str">
        <f xml:space="preserve"> $C$5</f>
        <v>Total enhancement allowance - Wastewater - CWQM - Accelerated programme</v>
      </c>
      <c r="D77" t="s">
        <v>78</v>
      </c>
      <c r="E77" t="s">
        <v>72</v>
      </c>
      <c r="G77">
        <f ca="1" xml:space="preserve"> SUMIFS('Outputs to aggregator'!$R$41:$R$51, 'Outputs to aggregator'!$O$41:$O$51, $A77)</f>
        <v>0</v>
      </c>
      <c r="H77">
        <f ca="1" xml:space="preserve"> SUMIFS('Outputs to aggregator'!$T$41:$T$51, 'Outputs to aggregator'!$O$41:$O$51, $A77)</f>
        <v>0</v>
      </c>
    </row>
    <row r="78" spans="1:13">
      <c r="A78" t="s">
        <v>105</v>
      </c>
      <c r="B78" t="str">
        <f>CONCATENATE("C_", $C$2, "_ENH_WW_TE")</f>
        <v>C_PR24CA20_ENH_WW_TE</v>
      </c>
      <c r="C78" t="str">
        <f xml:space="preserve"> $C$6</f>
        <v>Total enhancement allowance - Wastewater - CWQM - Transition allowance</v>
      </c>
      <c r="D78" t="s">
        <v>78</v>
      </c>
      <c r="E78" t="s">
        <v>72</v>
      </c>
      <c r="G78">
        <f ca="1" xml:space="preserve"> SUMIFS('Outputs to aggregator'!$Q$41:$Q$51, 'Outputs to aggregator'!$O$41:$O$51, $A78)</f>
        <v>0</v>
      </c>
      <c r="H78">
        <f ca="1" xml:space="preserve"> SUMIFS('Outputs to aggregator'!$S$41:$S$51, 'Outputs to aggregator'!$O$41:$O$51, $A78)</f>
        <v>0</v>
      </c>
    </row>
    <row r="79" spans="1:13">
      <c r="A79" t="s">
        <v>105</v>
      </c>
      <c r="B79" t="str">
        <f xml:space="preserve"> CONCATENATE("PR24QA_",  $C$2, "_OUT1")</f>
        <v>PR24QA_PR24CA20_OUT1</v>
      </c>
      <c r="C79" t="str">
        <f xml:space="preserve"> CONCATENATE("Date &amp; Time for Model - ", $C$2)</f>
        <v>Date &amp; Time for Model - PR24CA20</v>
      </c>
      <c r="D79" t="s">
        <v>280</v>
      </c>
      <c r="E79" t="s">
        <v>72</v>
      </c>
      <c r="F79" t="str">
        <f t="shared" ref="F79:M79" ca="1" si="18">CONCATENATE("[…]", TEXT(NOW(),"dd/mm/yyy hh:mm:ss"))</f>
        <v>[…]13/12/2024 11:24:45</v>
      </c>
      <c r="G79" t="str">
        <f t="shared" ca="1" si="18"/>
        <v>[…]13/12/2024 11:24:45</v>
      </c>
      <c r="H79" t="str">
        <f t="shared" ca="1" si="18"/>
        <v>[…]13/12/2024 11:24:45</v>
      </c>
      <c r="I79" t="str">
        <f t="shared" ca="1" si="18"/>
        <v>[…]13/12/2024 11:24:45</v>
      </c>
      <c r="J79" t="str">
        <f t="shared" ca="1" si="18"/>
        <v>[…]13/12/2024 11:24:45</v>
      </c>
      <c r="K79" t="str">
        <f t="shared" ca="1" si="18"/>
        <v>[…]13/12/2024 11:24:45</v>
      </c>
      <c r="L79" t="str">
        <f t="shared" ca="1" si="18"/>
        <v>[…]13/12/2024 11:24:45</v>
      </c>
      <c r="M79" t="str">
        <f t="shared" ca="1" si="18"/>
        <v>[…]13/12/2024 11:24:45</v>
      </c>
    </row>
    <row r="80" spans="1:13">
      <c r="A80" t="s">
        <v>105</v>
      </c>
      <c r="B80" t="str">
        <f xml:space="preserve"> CONCATENATE("PR24QA_",  $C$2, "_OUT2")</f>
        <v>PR24QA_PR24CA20_OUT2</v>
      </c>
      <c r="C80" t="str">
        <f xml:space="preserve"> CONCATENATE("Name of Model - ", $C$2)</f>
        <v>Name of Model - PR24CA20</v>
      </c>
      <c r="D80" t="s">
        <v>280</v>
      </c>
      <c r="E80" t="s">
        <v>72</v>
      </c>
      <c r="F80" t="str">
        <f t="shared" ref="F80:M80" ca="1" si="19">MID(CELL("filename"),SEARCH("[",CELL("filename"))+1,SEARCH("]",CELL("filename"))-SEARCH("[",CELL("filename"))-1)</f>
        <v>OT13 Final Determinations Tables.xlsx</v>
      </c>
      <c r="G80" t="str">
        <f t="shared" ca="1" si="19"/>
        <v>OT13 Final Determinations Tables.xlsx</v>
      </c>
      <c r="H80" t="str">
        <f t="shared" ca="1" si="19"/>
        <v>OT13 Final Determinations Tables.xlsx</v>
      </c>
      <c r="I80" t="str">
        <f t="shared" ca="1" si="19"/>
        <v>OT13 Final Determinations Tables.xlsx</v>
      </c>
      <c r="J80" t="str">
        <f t="shared" ca="1" si="19"/>
        <v>OT13 Final Determinations Tables.xlsx</v>
      </c>
      <c r="K80" t="str">
        <f t="shared" ca="1" si="19"/>
        <v>OT13 Final Determinations Tables.xlsx</v>
      </c>
      <c r="L80" t="str">
        <f t="shared" ca="1" si="19"/>
        <v>OT13 Final Determinations Tables.xlsx</v>
      </c>
      <c r="M80" t="str">
        <f t="shared" ca="1" si="19"/>
        <v>OT13 Final Determinations Tables.xlsx</v>
      </c>
    </row>
    <row r="81" spans="1:13">
      <c r="A81" t="s">
        <v>105</v>
      </c>
      <c r="B81" t="str">
        <f xml:space="preserve"> CONCATENATE("PR24QA_",  $C$2, "_OUT3")</f>
        <v>PR24QA_PR24CA20_OUT3</v>
      </c>
      <c r="C81" t="str">
        <f xml:space="preserve"> CONCATENATE("F_Inputs time stamp - ", $C$2)</f>
        <v>F_Inputs time stamp - PR24CA20</v>
      </c>
      <c r="D81" t="s">
        <v>280</v>
      </c>
      <c r="E81" t="s">
        <v>72</v>
      </c>
      <c r="F81" t="str">
        <f>F_Inputs!$E$2</f>
        <v>Run on 05 Sep 2024 9:07</v>
      </c>
      <c r="G81" t="str">
        <f>F_Inputs!$E$2</f>
        <v>Run on 05 Sep 2024 9:07</v>
      </c>
      <c r="H81" t="str">
        <f>F_Inputs!$E$2</f>
        <v>Run on 05 Sep 2024 9:07</v>
      </c>
      <c r="I81" t="str">
        <f>F_Inputs!$E$2</f>
        <v>Run on 05 Sep 2024 9:07</v>
      </c>
      <c r="J81" t="str">
        <f>F_Inputs!$E$2</f>
        <v>Run on 05 Sep 2024 9:07</v>
      </c>
      <c r="K81" t="str">
        <f>F_Inputs!$E$2</f>
        <v>Run on 05 Sep 2024 9:07</v>
      </c>
      <c r="L81" t="str">
        <f>F_Inputs!$E$2</f>
        <v>Run on 05 Sep 2024 9:07</v>
      </c>
      <c r="M81" t="str">
        <f>F_Inputs!$E$2</f>
        <v>Run on 05 Sep 2024 9:07</v>
      </c>
    </row>
    <row r="82" spans="1:13">
      <c r="A82" t="s">
        <v>105</v>
      </c>
      <c r="B82" t="str">
        <f xml:space="preserve"> CONCATENATE("PR24QA_",  $C$2, "_OUT4")</f>
        <v>PR24QA_PR24CA20_OUT4</v>
      </c>
      <c r="C82" t="str">
        <f xml:space="preserve"> CONCATENATE("Model override switch for - ", $C$2)</f>
        <v>Model override switch for - PR24CA20</v>
      </c>
      <c r="D82" t="s">
        <v>86</v>
      </c>
      <c r="E82" t="s">
        <v>72</v>
      </c>
      <c r="F82">
        <f>IF(SUM('F_Input Override'!$F$5:$L$147)&gt;0,1,0)</f>
        <v>1</v>
      </c>
      <c r="G82">
        <f>IF(SUM('F_Input Override'!$F$5:$M$147)&gt;0,1,0)</f>
        <v>1</v>
      </c>
      <c r="H82">
        <f>IF(SUM('F_Input Override'!$F$5:$M$147)&gt;0,1,0)</f>
        <v>1</v>
      </c>
      <c r="I82">
        <f>IF(SUM('F_Input Override'!$F$5:$M$147)&gt;0,1,0)</f>
        <v>1</v>
      </c>
      <c r="J82">
        <f>IF(SUM('F_Input Override'!$F$5:$M$147)&gt;0,1,0)</f>
        <v>1</v>
      </c>
      <c r="K82">
        <f>IF(SUM('F_Input Override'!$F$5:$M$147)&gt;0,1,0)</f>
        <v>1</v>
      </c>
      <c r="L82">
        <f>IF(SUM('F_Input Override'!$F$5:$M$147)&gt;0,1,0)</f>
        <v>1</v>
      </c>
      <c r="M82">
        <f>IF(SUM('F_Input Override'!$F$5:$M$147)&gt;0,1,0)</f>
        <v>1</v>
      </c>
    </row>
    <row r="83" spans="1:13">
      <c r="A83" t="s">
        <v>105</v>
      </c>
      <c r="B83" t="str">
        <f>CONCATENATE("C_", $C$2, "_ENH_WW_ASSESSED")</f>
        <v>C_PR24CA20_ENH_WW_ASSESSED</v>
      </c>
      <c r="C83" t="str">
        <f>CONCATENATE("Total amount assessed - ", MID($C$4,31,200))</f>
        <v>Total amount assessed - Wastewater - CWQM - Totex</v>
      </c>
      <c r="D83" s="48" t="s">
        <v>78</v>
      </c>
      <c r="E83" t="s">
        <v>72</v>
      </c>
      <c r="F83">
        <f ca="1" xml:space="preserve"> SUMIFS(Allowance!$E$14:$E$24, Allowance!$B$14:$B$24, A83)</f>
        <v>62.595305999999994</v>
      </c>
    </row>
    <row r="84" spans="1:13">
      <c r="A84" t="s">
        <v>106</v>
      </c>
      <c r="B84" t="str">
        <f>CONCATENATE("C_", $C$2, "_ENH_WW_TOT")</f>
        <v>C_PR24CA20_ENH_WW_TOT</v>
      </c>
      <c r="C84" t="str">
        <f xml:space="preserve"> $C$4</f>
        <v>Total enhancement allowance - Wastewater - CWQM - Totex</v>
      </c>
      <c r="D84" t="s">
        <v>78</v>
      </c>
      <c r="E84" t="s">
        <v>72</v>
      </c>
      <c r="I84">
        <f ca="1" xml:space="preserve"> SUMIFS('Outputs to aggregator'!U$41:U$51, 'Outputs to aggregator'!$O$41:$O$51, $A84)</f>
        <v>2.9315753424657536</v>
      </c>
      <c r="J84">
        <f ca="1" xml:space="preserve"> SUMIFS('Outputs to aggregator'!V$41:V$51, 'Outputs to aggregator'!$O$41:$O$51, $A84)</f>
        <v>5.4633904109589047</v>
      </c>
      <c r="K84">
        <f ca="1" xml:space="preserve"> SUMIFS('Outputs to aggregator'!W$41:W$51, 'Outputs to aggregator'!$O$41:$O$51, $A84)</f>
        <v>19.055239726027398</v>
      </c>
      <c r="L84">
        <f ca="1" xml:space="preserve"> SUMIFS('Outputs to aggregator'!X$41:X$51, 'Outputs to aggregator'!$O$41:$O$51, $A84)</f>
        <v>35.31215753424658</v>
      </c>
      <c r="M84">
        <f ca="1" xml:space="preserve"> SUMIFS('Outputs to aggregator'!Y$41:Y$51, 'Outputs to aggregator'!$O$41:$O$51, $A84)</f>
        <v>35.31215753424658</v>
      </c>
    </row>
    <row r="85" spans="1:13">
      <c r="A85" t="s">
        <v>106</v>
      </c>
      <c r="B85" t="str">
        <f>CONCATENATE("C_", $C$2, "_ENH_WW_AP")</f>
        <v>C_PR24CA20_ENH_WW_AP</v>
      </c>
      <c r="C85" t="str">
        <f xml:space="preserve"> $C$5</f>
        <v>Total enhancement allowance - Wastewater - CWQM - Accelerated programme</v>
      </c>
      <c r="D85" t="s">
        <v>78</v>
      </c>
      <c r="E85" t="s">
        <v>72</v>
      </c>
      <c r="G85">
        <f ca="1" xml:space="preserve"> SUMIFS('Outputs to aggregator'!$R$41:$R$51, 'Outputs to aggregator'!$O$41:$O$51, $A85)</f>
        <v>0</v>
      </c>
      <c r="H85">
        <f ca="1" xml:space="preserve"> SUMIFS('Outputs to aggregator'!$T$41:$T$51, 'Outputs to aggregator'!$O$41:$O$51, $A85)</f>
        <v>0</v>
      </c>
    </row>
    <row r="86" spans="1:13">
      <c r="A86" t="s">
        <v>106</v>
      </c>
      <c r="B86" t="str">
        <f>CONCATENATE("C_", $C$2, "_ENH_WW_TE")</f>
        <v>C_PR24CA20_ENH_WW_TE</v>
      </c>
      <c r="C86" t="str">
        <f xml:space="preserve"> $C$6</f>
        <v>Total enhancement allowance - Wastewater - CWQM - Transition allowance</v>
      </c>
      <c r="D86" t="s">
        <v>78</v>
      </c>
      <c r="E86" t="s">
        <v>72</v>
      </c>
      <c r="G86">
        <f ca="1" xml:space="preserve"> SUMIFS('Outputs to aggregator'!$Q$41:$Q$51, 'Outputs to aggregator'!$O$41:$O$51, $A86)</f>
        <v>0</v>
      </c>
      <c r="H86">
        <f ca="1" xml:space="preserve"> SUMIFS('Outputs to aggregator'!$S$41:$S$51, 'Outputs to aggregator'!$O$41:$O$51, $A86)</f>
        <v>0</v>
      </c>
    </row>
    <row r="87" spans="1:13">
      <c r="A87" t="s">
        <v>106</v>
      </c>
      <c r="B87" t="str">
        <f xml:space="preserve"> CONCATENATE("PR24QA_",  $C$2, "_OUT1")</f>
        <v>PR24QA_PR24CA20_OUT1</v>
      </c>
      <c r="C87" t="str">
        <f xml:space="preserve"> CONCATENATE("Date &amp; Time for Model - ", $C$2)</f>
        <v>Date &amp; Time for Model - PR24CA20</v>
      </c>
      <c r="D87" t="s">
        <v>280</v>
      </c>
      <c r="E87" t="s">
        <v>72</v>
      </c>
      <c r="F87" t="str">
        <f t="shared" ref="F87:M87" ca="1" si="20">CONCATENATE("[…]", TEXT(NOW(),"dd/mm/yyy hh:mm:ss"))</f>
        <v>[…]13/12/2024 11:24:45</v>
      </c>
      <c r="G87" t="str">
        <f t="shared" ca="1" si="20"/>
        <v>[…]13/12/2024 11:24:45</v>
      </c>
      <c r="H87" t="str">
        <f t="shared" ca="1" si="20"/>
        <v>[…]13/12/2024 11:24:45</v>
      </c>
      <c r="I87" t="str">
        <f t="shared" ca="1" si="20"/>
        <v>[…]13/12/2024 11:24:45</v>
      </c>
      <c r="J87" t="str">
        <f t="shared" ca="1" si="20"/>
        <v>[…]13/12/2024 11:24:45</v>
      </c>
      <c r="K87" t="str">
        <f t="shared" ca="1" si="20"/>
        <v>[…]13/12/2024 11:24:45</v>
      </c>
      <c r="L87" t="str">
        <f t="shared" ca="1" si="20"/>
        <v>[…]13/12/2024 11:24:45</v>
      </c>
      <c r="M87" t="str">
        <f t="shared" ca="1" si="20"/>
        <v>[…]13/12/2024 11:24:45</v>
      </c>
    </row>
    <row r="88" spans="1:13">
      <c r="A88" t="s">
        <v>106</v>
      </c>
      <c r="B88" t="str">
        <f xml:space="preserve"> CONCATENATE("PR24QA_",  $C$2, "_OUT2")</f>
        <v>PR24QA_PR24CA20_OUT2</v>
      </c>
      <c r="C88" t="str">
        <f xml:space="preserve"> CONCATENATE("Name of Model - ", $C$2)</f>
        <v>Name of Model - PR24CA20</v>
      </c>
      <c r="D88" t="s">
        <v>280</v>
      </c>
      <c r="E88" t="s">
        <v>72</v>
      </c>
      <c r="F88" t="str">
        <f t="shared" ref="F88:M88" ca="1" si="21">MID(CELL("filename"),SEARCH("[",CELL("filename"))+1,SEARCH("]",CELL("filename"))-SEARCH("[",CELL("filename"))-1)</f>
        <v>OT13 Final Determinations Tables.xlsx</v>
      </c>
      <c r="G88" t="str">
        <f t="shared" ca="1" si="21"/>
        <v>OT13 Final Determinations Tables.xlsx</v>
      </c>
      <c r="H88" t="str">
        <f t="shared" ca="1" si="21"/>
        <v>OT13 Final Determinations Tables.xlsx</v>
      </c>
      <c r="I88" t="str">
        <f t="shared" ca="1" si="21"/>
        <v>OT13 Final Determinations Tables.xlsx</v>
      </c>
      <c r="J88" t="str">
        <f t="shared" ca="1" si="21"/>
        <v>OT13 Final Determinations Tables.xlsx</v>
      </c>
      <c r="K88" t="str">
        <f t="shared" ca="1" si="21"/>
        <v>OT13 Final Determinations Tables.xlsx</v>
      </c>
      <c r="L88" t="str">
        <f t="shared" ca="1" si="21"/>
        <v>OT13 Final Determinations Tables.xlsx</v>
      </c>
      <c r="M88" t="str">
        <f t="shared" ca="1" si="21"/>
        <v>OT13 Final Determinations Tables.xlsx</v>
      </c>
    </row>
    <row r="89" spans="1:13">
      <c r="A89" t="s">
        <v>106</v>
      </c>
      <c r="B89" t="str">
        <f xml:space="preserve"> CONCATENATE("PR24QA_",  $C$2, "_OUT3")</f>
        <v>PR24QA_PR24CA20_OUT3</v>
      </c>
      <c r="C89" t="str">
        <f xml:space="preserve"> CONCATENATE("F_Inputs time stamp - ", $C$2)</f>
        <v>F_Inputs time stamp - PR24CA20</v>
      </c>
      <c r="D89" t="s">
        <v>280</v>
      </c>
      <c r="E89" t="s">
        <v>72</v>
      </c>
      <c r="F89" t="str">
        <f>F_Inputs!$E$2</f>
        <v>Run on 05 Sep 2024 9:07</v>
      </c>
      <c r="G89" t="str">
        <f>F_Inputs!$E$2</f>
        <v>Run on 05 Sep 2024 9:07</v>
      </c>
      <c r="H89" t="str">
        <f>F_Inputs!$E$2</f>
        <v>Run on 05 Sep 2024 9:07</v>
      </c>
      <c r="I89" t="str">
        <f>F_Inputs!$E$2</f>
        <v>Run on 05 Sep 2024 9:07</v>
      </c>
      <c r="J89" t="str">
        <f>F_Inputs!$E$2</f>
        <v>Run on 05 Sep 2024 9:07</v>
      </c>
      <c r="K89" t="str">
        <f>F_Inputs!$E$2</f>
        <v>Run on 05 Sep 2024 9:07</v>
      </c>
      <c r="L89" t="str">
        <f>F_Inputs!$E$2</f>
        <v>Run on 05 Sep 2024 9:07</v>
      </c>
      <c r="M89" t="str">
        <f>F_Inputs!$E$2</f>
        <v>Run on 05 Sep 2024 9:07</v>
      </c>
    </row>
    <row r="90" spans="1:13">
      <c r="A90" t="s">
        <v>106</v>
      </c>
      <c r="B90" t="str">
        <f xml:space="preserve"> CONCATENATE("PR24QA_",  $C$2, "_OUT4")</f>
        <v>PR24QA_PR24CA20_OUT4</v>
      </c>
      <c r="C90" t="str">
        <f xml:space="preserve"> CONCATENATE("Model override switch for - ", $C$2)</f>
        <v>Model override switch for - PR24CA20</v>
      </c>
      <c r="D90" t="s">
        <v>86</v>
      </c>
      <c r="E90" t="s">
        <v>72</v>
      </c>
      <c r="F90">
        <f>IF(SUM('F_Input Override'!$F$5:$L$147)&gt;0,1,0)</f>
        <v>1</v>
      </c>
      <c r="G90">
        <f>IF(SUM('F_Input Override'!$F$5:$M$147)&gt;0,1,0)</f>
        <v>1</v>
      </c>
      <c r="H90">
        <f>IF(SUM('F_Input Override'!$F$5:$M$147)&gt;0,1,0)</f>
        <v>1</v>
      </c>
      <c r="I90">
        <f>IF(SUM('F_Input Override'!$F$5:$M$147)&gt;0,1,0)</f>
        <v>1</v>
      </c>
      <c r="J90">
        <f>IF(SUM('F_Input Override'!$F$5:$M$147)&gt;0,1,0)</f>
        <v>1</v>
      </c>
      <c r="K90">
        <f>IF(SUM('F_Input Override'!$F$5:$M$147)&gt;0,1,0)</f>
        <v>1</v>
      </c>
      <c r="L90">
        <f>IF(SUM('F_Input Override'!$F$5:$M$147)&gt;0,1,0)</f>
        <v>1</v>
      </c>
      <c r="M90">
        <f>IF(SUM('F_Input Override'!$F$5:$M$147)&gt;0,1,0)</f>
        <v>1</v>
      </c>
    </row>
    <row r="91" spans="1:13">
      <c r="A91" t="s">
        <v>106</v>
      </c>
      <c r="B91" t="str">
        <f>CONCATENATE("C_", $C$2, "_ENH_WW_ASSESSED")</f>
        <v>C_PR24CA20_ENH_WW_ASSESSED</v>
      </c>
      <c r="C91" t="str">
        <f>CONCATENATE("Total amount assessed - ", MID($C$4,31,200))</f>
        <v>Total amount assessed - Wastewater - CWQM - Totex</v>
      </c>
      <c r="D91" s="48" t="s">
        <v>78</v>
      </c>
      <c r="E91" t="s">
        <v>72</v>
      </c>
      <c r="F91">
        <f ca="1" xml:space="preserve"> SUMIFS(Allowance!$E$14:$E$24, Allowance!$B$14:$B$24, A91)</f>
        <v>97.493692799999991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6E87E-00AC-4A36-ADE5-7AFAFEAA8C77}">
  <sheetPr>
    <tabColor theme="0" tint="-0.249977111117893"/>
  </sheetPr>
  <dimension ref="A1:AM49"/>
  <sheetViews>
    <sheetView showGridLines="0" zoomScale="80" zoomScaleNormal="80" workbookViewId="0"/>
  </sheetViews>
  <sheetFormatPr defaultColWidth="8.85546875" defaultRowHeight="12.95" customHeight="1" zeroHeight="1"/>
  <cols>
    <col min="1" max="4" width="1.42578125" style="74" customWidth="1"/>
    <col min="5" max="5" width="2.5703125" style="74" customWidth="1"/>
    <col min="6" max="6" width="4.42578125" style="74" customWidth="1"/>
    <col min="7" max="7" width="2.5703125" style="74" customWidth="1"/>
    <col min="8" max="8" width="30.5703125" style="74" customWidth="1"/>
    <col min="9" max="9" width="2.5703125" style="74" customWidth="1"/>
    <col min="10" max="10" width="4.42578125" style="74" customWidth="1"/>
    <col min="11" max="11" width="2.5703125" style="74" customWidth="1"/>
    <col min="12" max="12" width="30.5703125" style="74" customWidth="1"/>
    <col min="13" max="13" width="2.5703125" style="74" customWidth="1"/>
    <col min="14" max="14" width="4.42578125" style="74" customWidth="1"/>
    <col min="15" max="16" width="2.5703125" style="74" customWidth="1"/>
    <col min="17" max="17" width="30.5703125" style="74" customWidth="1"/>
    <col min="18" max="18" width="38.7109375" style="74" customWidth="1"/>
    <col min="19" max="39" width="8.85546875" style="74" customWidth="1"/>
    <col min="40" max="40" width="8.85546875" style="63" customWidth="1"/>
    <col min="41" max="50" width="0" style="63" hidden="1" customWidth="1"/>
    <col min="51" max="16384" width="8.85546875" style="63"/>
  </cols>
  <sheetData>
    <row r="1" spans="1:39" ht="47.25">
      <c r="A1" s="204" t="str">
        <f ca="1" xml:space="preserve"> RIGHT(CELL("filename", A1), LEN(CELL("filename", A1)) - SEARCH("]", CELL("filename", A1)))</f>
        <v>Conceptual model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</row>
    <row r="2" spans="1:39" ht="20.25">
      <c r="A2" s="64"/>
      <c r="B2" s="65"/>
      <c r="C2" s="65"/>
      <c r="D2" s="65"/>
      <c r="E2" s="65"/>
      <c r="F2" s="65"/>
      <c r="G2" s="65"/>
      <c r="H2" s="66"/>
      <c r="I2" s="65"/>
      <c r="J2" s="65"/>
      <c r="K2" s="65"/>
      <c r="L2" s="65"/>
      <c r="M2" s="65"/>
      <c r="N2" s="65"/>
      <c r="O2" s="65"/>
      <c r="P2" s="65"/>
      <c r="Q2" s="65"/>
      <c r="R2" s="65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</row>
    <row r="3" spans="1:39" s="67" customFormat="1" ht="12.75">
      <c r="A3" s="67" t="s">
        <v>55</v>
      </c>
    </row>
    <row r="4" spans="1:39" ht="20.25">
      <c r="A4" s="64"/>
      <c r="B4" s="65"/>
      <c r="C4" s="65"/>
      <c r="D4" s="65"/>
      <c r="E4" s="65"/>
      <c r="F4" s="65"/>
      <c r="G4" s="65"/>
      <c r="H4" s="66"/>
      <c r="I4" s="65"/>
      <c r="J4" s="65"/>
      <c r="K4" s="65"/>
      <c r="L4" s="65"/>
      <c r="M4" s="65"/>
      <c r="N4" s="65"/>
      <c r="O4" s="65"/>
      <c r="P4" s="65"/>
      <c r="Q4" s="65"/>
      <c r="R4" s="65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</row>
    <row r="5" spans="1:39" ht="20.25">
      <c r="A5" s="68"/>
      <c r="B5" s="69"/>
      <c r="C5" s="69"/>
      <c r="D5" s="69"/>
      <c r="E5" s="69"/>
      <c r="F5" s="70"/>
      <c r="G5" s="71"/>
      <c r="H5" s="71"/>
      <c r="I5" s="71"/>
      <c r="J5" s="71"/>
      <c r="K5" s="72"/>
      <c r="L5" s="70"/>
      <c r="M5" s="72"/>
      <c r="N5" s="72"/>
      <c r="O5" s="72"/>
      <c r="P5" s="71"/>
      <c r="Q5" s="71"/>
      <c r="R5" s="71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</row>
    <row r="6" spans="1:39" ht="20.25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6"/>
      <c r="M6" s="65"/>
      <c r="N6" s="65"/>
      <c r="O6" s="65"/>
      <c r="P6" s="65"/>
      <c r="Q6" s="65"/>
      <c r="R6" s="65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</row>
    <row r="7" spans="1:39" ht="20.25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6"/>
      <c r="M7" s="65"/>
      <c r="N7" s="65"/>
      <c r="O7" s="65"/>
      <c r="P7" s="65"/>
      <c r="Q7" s="65"/>
      <c r="R7" s="65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</row>
    <row r="8" spans="1:39" ht="20.25">
      <c r="A8" s="64"/>
      <c r="B8" s="65"/>
      <c r="C8" s="65"/>
      <c r="D8" s="65"/>
      <c r="E8" s="65"/>
      <c r="F8" s="65"/>
      <c r="G8" s="65"/>
      <c r="H8" s="73"/>
      <c r="I8" s="65"/>
      <c r="J8" s="65"/>
      <c r="K8" s="65"/>
      <c r="L8" s="66"/>
      <c r="M8" s="65"/>
      <c r="N8" s="65"/>
      <c r="O8" s="65"/>
      <c r="P8" s="65"/>
      <c r="Q8" s="73"/>
      <c r="R8" s="65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</row>
    <row r="9" spans="1:39" ht="20.25">
      <c r="A9" s="64"/>
      <c r="B9" s="65"/>
      <c r="C9" s="65"/>
      <c r="D9" s="65"/>
      <c r="E9" s="65"/>
      <c r="F9" s="65"/>
      <c r="G9" s="65"/>
      <c r="H9" s="65"/>
      <c r="I9" s="65"/>
      <c r="J9" s="65"/>
      <c r="K9" s="65"/>
      <c r="L9" s="66"/>
      <c r="M9" s="65"/>
      <c r="N9" s="65"/>
      <c r="O9" s="65"/>
      <c r="P9" s="65"/>
      <c r="Q9" s="65"/>
      <c r="R9" s="65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</row>
    <row r="10" spans="1:39" ht="20.25">
      <c r="A10" s="64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6"/>
      <c r="M10" s="65"/>
      <c r="N10" s="65"/>
      <c r="O10" s="65"/>
      <c r="P10" s="65"/>
      <c r="Q10" s="65"/>
      <c r="R10" s="65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</row>
    <row r="11" spans="1:39" ht="20.25">
      <c r="A11" s="64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6"/>
      <c r="M11" s="65"/>
      <c r="N11" s="65"/>
      <c r="O11" s="65"/>
      <c r="P11" s="65"/>
      <c r="Q11" s="65"/>
      <c r="R11" s="65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</row>
    <row r="12" spans="1:39" ht="20.25">
      <c r="A12" s="64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6"/>
      <c r="M12" s="65"/>
      <c r="N12" s="65"/>
      <c r="O12" s="65"/>
      <c r="Q12" s="65"/>
      <c r="R12" s="65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</row>
    <row r="13" spans="1:39" ht="20.25">
      <c r="A13" s="68"/>
      <c r="B13" s="69"/>
      <c r="C13" s="69"/>
      <c r="D13" s="69"/>
      <c r="E13" s="69"/>
      <c r="F13" s="75"/>
      <c r="G13" s="76"/>
      <c r="H13" s="76"/>
      <c r="I13" s="76"/>
      <c r="J13" s="76"/>
      <c r="K13" s="76"/>
      <c r="L13" s="75"/>
      <c r="M13" s="76"/>
      <c r="N13" s="76"/>
      <c r="O13" s="76"/>
      <c r="P13" s="65"/>
      <c r="Q13" s="76"/>
      <c r="R13" s="76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</row>
    <row r="14" spans="1:39" ht="20.25">
      <c r="A14" s="68"/>
      <c r="B14" s="69"/>
      <c r="C14" s="69"/>
      <c r="D14" s="69"/>
      <c r="E14" s="69"/>
      <c r="F14" s="75"/>
      <c r="G14" s="76"/>
      <c r="H14" s="76"/>
      <c r="I14" s="76"/>
      <c r="J14" s="76"/>
      <c r="K14" s="76"/>
      <c r="L14" s="75"/>
      <c r="M14" s="76"/>
      <c r="N14" s="76"/>
      <c r="O14" s="76"/>
      <c r="P14" s="65"/>
      <c r="Q14" s="76"/>
      <c r="R14" s="76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</row>
    <row r="15" spans="1:39" ht="20.25">
      <c r="A15" s="68"/>
      <c r="B15" s="69"/>
      <c r="C15" s="69"/>
      <c r="D15" s="69"/>
      <c r="E15" s="69"/>
      <c r="F15" s="75"/>
      <c r="G15" s="76"/>
      <c r="H15" s="76"/>
      <c r="I15" s="76"/>
      <c r="J15" s="76"/>
      <c r="K15" s="76"/>
      <c r="L15" s="75"/>
      <c r="M15" s="76"/>
      <c r="N15" s="76"/>
      <c r="O15" s="76"/>
      <c r="P15" s="65"/>
      <c r="Q15" s="76"/>
      <c r="R15" s="76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</row>
    <row r="16" spans="1:39" ht="20.25">
      <c r="A16" s="64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6"/>
      <c r="M16" s="65"/>
      <c r="N16" s="65"/>
      <c r="O16" s="65"/>
      <c r="P16" s="65"/>
      <c r="Q16" s="65"/>
      <c r="R16" s="65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</row>
    <row r="17" spans="1:39" ht="20.25">
      <c r="A17" s="64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6"/>
      <c r="M17" s="65"/>
      <c r="N17" s="65"/>
      <c r="O17" s="65"/>
      <c r="P17" s="65"/>
      <c r="Q17" s="65"/>
      <c r="R17" s="65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</row>
    <row r="18" spans="1:39" ht="20.25">
      <c r="A18" s="64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6"/>
      <c r="M18" s="65"/>
      <c r="N18" s="65"/>
      <c r="O18" s="65"/>
      <c r="P18" s="65"/>
      <c r="Q18" s="65"/>
      <c r="R18" s="65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</row>
    <row r="19" spans="1:39" ht="20.25">
      <c r="A19" s="64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6"/>
      <c r="M19" s="65"/>
      <c r="N19" s="65"/>
      <c r="O19" s="65"/>
      <c r="P19" s="65"/>
      <c r="Q19" s="65"/>
      <c r="R19" s="65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</row>
    <row r="20" spans="1:39" ht="20.25">
      <c r="A20" s="64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</row>
    <row r="21" spans="1:39" ht="20.25">
      <c r="A21" s="64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</row>
    <row r="22" spans="1:39" ht="20.25">
      <c r="A22" s="64"/>
      <c r="B22" s="65"/>
      <c r="C22" s="65"/>
      <c r="D22" s="65"/>
      <c r="E22" s="65"/>
      <c r="F22" s="65"/>
      <c r="G22" s="65"/>
      <c r="H22" s="73"/>
      <c r="I22" s="65"/>
      <c r="J22" s="65"/>
      <c r="K22" s="65"/>
      <c r="L22" s="73"/>
      <c r="M22" s="65"/>
      <c r="N22" s="65"/>
      <c r="O22" s="65"/>
      <c r="P22" s="65"/>
      <c r="Q22" s="73"/>
      <c r="R22" s="65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</row>
    <row r="23" spans="1:39" ht="20.2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</row>
    <row r="24" spans="1:39" ht="20.25">
      <c r="A24" s="64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6"/>
      <c r="M24" s="65"/>
      <c r="N24" s="65"/>
      <c r="O24" s="65"/>
      <c r="P24" s="65"/>
      <c r="Q24" s="65"/>
      <c r="R24" s="65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</row>
    <row r="25" spans="1:39" ht="20.25">
      <c r="A25" s="64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6"/>
      <c r="M25" s="65"/>
      <c r="N25" s="65"/>
      <c r="O25" s="65"/>
      <c r="P25" s="65"/>
      <c r="Q25" s="65"/>
      <c r="R25" s="65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</row>
    <row r="26" spans="1:39" ht="20.25">
      <c r="A26" s="64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6"/>
      <c r="M26" s="65"/>
      <c r="N26" s="65"/>
      <c r="O26" s="65"/>
      <c r="P26" s="65"/>
      <c r="Q26" s="65"/>
      <c r="R26" s="65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</row>
    <row r="27" spans="1:39" ht="20.25">
      <c r="A27" s="64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6"/>
      <c r="M27" s="65"/>
      <c r="N27" s="65"/>
      <c r="O27" s="65"/>
      <c r="P27" s="65"/>
      <c r="Q27" s="65"/>
      <c r="R27" s="65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</row>
    <row r="28" spans="1:39" ht="20.25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  <c r="M28" s="65"/>
      <c r="N28" s="65"/>
      <c r="O28" s="65"/>
      <c r="P28" s="65"/>
      <c r="Q28" s="65"/>
      <c r="R28" s="65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</row>
    <row r="29" spans="1:39" ht="20.25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6"/>
      <c r="M29" s="65"/>
      <c r="N29" s="65"/>
      <c r="O29" s="65"/>
      <c r="P29" s="65"/>
      <c r="Q29" s="65"/>
      <c r="R29" s="65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</row>
    <row r="30" spans="1:39" ht="20.25">
      <c r="A30" s="64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6"/>
      <c r="M30" s="65"/>
      <c r="N30" s="65"/>
      <c r="O30" s="65"/>
      <c r="P30" s="65"/>
      <c r="Q30" s="65"/>
      <c r="R30" s="65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</row>
    <row r="31" spans="1:39" ht="20.25">
      <c r="A31" s="64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6"/>
      <c r="M31" s="65"/>
      <c r="N31" s="65"/>
      <c r="O31" s="65"/>
      <c r="P31" s="65"/>
      <c r="Q31" s="65"/>
      <c r="R31" s="65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</row>
    <row r="32" spans="1:39" ht="20.25">
      <c r="A32" s="64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6"/>
      <c r="M32" s="65"/>
      <c r="N32" s="65"/>
      <c r="O32" s="65"/>
      <c r="P32" s="65"/>
      <c r="Q32" s="65"/>
      <c r="R32" s="65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</row>
    <row r="33" spans="1:39" ht="20.25">
      <c r="A33" s="64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6"/>
      <c r="M33" s="65"/>
      <c r="N33" s="65"/>
      <c r="O33" s="65"/>
      <c r="P33" s="65"/>
      <c r="Q33" s="65"/>
      <c r="R33" s="65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</row>
    <row r="34" spans="1:39" ht="20.25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6"/>
      <c r="M34" s="65"/>
      <c r="N34" s="65"/>
      <c r="O34" s="65"/>
      <c r="P34" s="65"/>
      <c r="Q34" s="65"/>
      <c r="R34" s="65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</row>
    <row r="35" spans="1:39" ht="20.25">
      <c r="A35" s="64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6"/>
      <c r="M35" s="65"/>
      <c r="N35" s="65"/>
      <c r="O35" s="65"/>
      <c r="P35" s="65"/>
      <c r="Q35" s="65"/>
      <c r="R35" s="65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</row>
    <row r="36" spans="1:39" ht="20.25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6"/>
      <c r="M36" s="65"/>
      <c r="N36" s="65"/>
      <c r="O36" s="65"/>
      <c r="P36" s="65"/>
      <c r="Q36" s="65"/>
      <c r="R36" s="65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</row>
    <row r="37" spans="1:39" ht="20.25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6"/>
      <c r="M37" s="65"/>
      <c r="N37" s="65"/>
      <c r="O37" s="65"/>
      <c r="P37" s="65"/>
      <c r="Q37" s="65"/>
      <c r="R37" s="65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</row>
    <row r="38" spans="1:39" ht="20.25">
      <c r="A38" s="64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6"/>
      <c r="M38" s="65"/>
      <c r="N38" s="65"/>
      <c r="O38" s="65"/>
      <c r="P38" s="65"/>
      <c r="Q38" s="65"/>
      <c r="R38" s="65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</row>
    <row r="39" spans="1:39" ht="20.25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6"/>
      <c r="M39" s="65"/>
      <c r="N39" s="65"/>
      <c r="O39" s="65"/>
      <c r="P39" s="65"/>
      <c r="Q39" s="65"/>
      <c r="R39" s="65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</row>
    <row r="40" spans="1:39" ht="20.25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6"/>
      <c r="M40" s="65"/>
      <c r="N40" s="65"/>
      <c r="O40" s="65"/>
      <c r="P40" s="65"/>
      <c r="Q40" s="65"/>
      <c r="R40" s="65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</row>
    <row r="41" spans="1:39" ht="20.25">
      <c r="A41" s="64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6"/>
      <c r="M41" s="65"/>
      <c r="N41" s="65"/>
      <c r="O41" s="65"/>
      <c r="P41" s="65"/>
      <c r="Q41" s="65"/>
      <c r="R41" s="65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</row>
    <row r="42" spans="1:39" ht="20.25">
      <c r="A42" s="64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6"/>
      <c r="M42" s="65"/>
      <c r="N42" s="65"/>
      <c r="O42" s="65"/>
      <c r="P42" s="65"/>
      <c r="Q42" s="65"/>
      <c r="R42" s="65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</row>
    <row r="43" spans="1:39" ht="20.25">
      <c r="A43" s="64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6"/>
      <c r="M43" s="65"/>
      <c r="N43" s="65"/>
      <c r="O43" s="65"/>
      <c r="P43" s="65"/>
      <c r="Q43" s="65"/>
      <c r="R43" s="65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</row>
    <row r="44" spans="1:39" ht="20.25">
      <c r="A44" s="64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6"/>
      <c r="M44" s="65"/>
      <c r="N44" s="65"/>
      <c r="O44" s="65"/>
      <c r="P44" s="65"/>
      <c r="Q44" s="65"/>
      <c r="R44" s="65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</row>
    <row r="45" spans="1:39" ht="20.25">
      <c r="A45" s="64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6"/>
      <c r="M45" s="65"/>
      <c r="N45" s="65"/>
      <c r="O45" s="65"/>
      <c r="P45" s="65"/>
      <c r="Q45" s="65"/>
      <c r="R45" s="65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</row>
    <row r="46" spans="1:39" ht="20.25">
      <c r="A46" s="64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6"/>
      <c r="M46" s="65"/>
      <c r="N46" s="65"/>
      <c r="O46" s="65"/>
      <c r="P46" s="65"/>
      <c r="Q46" s="65"/>
      <c r="R46" s="65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</row>
    <row r="47" spans="1:39" ht="20.25">
      <c r="A47" s="64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6"/>
      <c r="M47" s="65"/>
      <c r="N47" s="65"/>
      <c r="O47" s="65"/>
      <c r="P47" s="65"/>
      <c r="Q47" s="65"/>
      <c r="R47" s="65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</row>
    <row r="48" spans="1:39" ht="20.25">
      <c r="A48" s="64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6"/>
      <c r="M48" s="65"/>
      <c r="N48" s="65"/>
      <c r="O48" s="65"/>
      <c r="P48" s="65"/>
      <c r="Q48" s="65"/>
      <c r="R48" s="65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</row>
    <row r="49" spans="1:39" ht="20.25">
      <c r="A49" s="77" t="s">
        <v>56</v>
      </c>
      <c r="B49" s="77"/>
      <c r="C49" s="78"/>
      <c r="D49" s="79"/>
      <c r="E49" s="78"/>
      <c r="F49" s="80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90A2C-0D80-45B8-B268-9D06D56123FB}">
  <sheetPr codeName="Sheet35">
    <tabColor rgb="FF98C561"/>
  </sheetPr>
  <dimension ref="A1:AF22"/>
  <sheetViews>
    <sheetView showGridLines="0" tabSelected="1" zoomScale="80" zoomScaleNormal="80" workbookViewId="0">
      <selection activeCell="M13" sqref="M13"/>
    </sheetView>
  </sheetViews>
  <sheetFormatPr defaultRowHeight="12.75"/>
  <cols>
    <col min="1" max="2" width="4" customWidth="1"/>
    <col min="4" max="4" width="11.28515625" customWidth="1"/>
    <col min="5" max="5" width="16" customWidth="1"/>
    <col min="6" max="6" width="9.28515625" customWidth="1"/>
    <col min="7" max="7" width="11" customWidth="1"/>
    <col min="8" max="8" width="8.5703125" customWidth="1"/>
    <col min="9" max="12" width="9.5703125" customWidth="1"/>
    <col min="13" max="13" width="14.42578125" customWidth="1"/>
    <col min="14" max="16" width="9.5703125" customWidth="1"/>
    <col min="17" max="17" width="2.140625" customWidth="1"/>
    <col min="18" max="18" width="16.42578125" customWidth="1"/>
    <col min="19" max="19" width="1.7109375" customWidth="1"/>
    <col min="20" max="20" width="5.42578125" customWidth="1"/>
    <col min="21" max="30" width="5.5703125" customWidth="1"/>
    <col min="31" max="31" width="5.28515625" customWidth="1"/>
    <col min="32" max="32" width="16.7109375" customWidth="1"/>
  </cols>
  <sheetData>
    <row r="1" spans="1:32" s="2" customFormat="1" ht="31.5">
      <c r="A1" s="1" t="str">
        <f ca="1" xml:space="preserve"> RIGHT(CELL("filename", $A$1), LEN(CELL("filename", $A$1)) - SEARCH("]", CELL("filename", $A$1)))</f>
        <v>PCD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3" spans="1:32"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6" spans="1:32" ht="23.25" customHeight="1">
      <c r="L6" s="5" t="s">
        <v>138</v>
      </c>
    </row>
    <row r="7" spans="1:32" ht="28.5" customHeight="1">
      <c r="F7" s="225" t="s">
        <v>281</v>
      </c>
      <c r="G7" s="226"/>
      <c r="H7" s="226"/>
      <c r="I7" s="226"/>
      <c r="J7" s="226"/>
      <c r="K7" s="226"/>
      <c r="L7" s="226"/>
      <c r="M7" s="226"/>
      <c r="N7" s="226"/>
      <c r="O7" s="226"/>
      <c r="P7" s="227"/>
      <c r="R7" s="18"/>
      <c r="T7" s="225" t="s">
        <v>282</v>
      </c>
      <c r="U7" s="226"/>
      <c r="V7" s="226"/>
      <c r="W7" s="226"/>
      <c r="X7" s="226"/>
      <c r="Y7" s="226"/>
      <c r="Z7" s="226"/>
      <c r="AA7" s="226"/>
      <c r="AB7" s="226"/>
      <c r="AC7" s="226"/>
      <c r="AD7" s="227"/>
      <c r="AF7" s="60" t="s">
        <v>283</v>
      </c>
    </row>
    <row r="8" spans="1:32" ht="81">
      <c r="C8" s="21" t="s">
        <v>52</v>
      </c>
      <c r="D8" s="149" t="s">
        <v>284</v>
      </c>
      <c r="E8" s="197" t="s">
        <v>225</v>
      </c>
      <c r="F8" s="150" t="s">
        <v>285</v>
      </c>
      <c r="G8" s="149" t="s">
        <v>286</v>
      </c>
      <c r="H8" s="150" t="s">
        <v>287</v>
      </c>
      <c r="I8" s="150" t="s">
        <v>288</v>
      </c>
      <c r="J8" s="150" t="s">
        <v>289</v>
      </c>
      <c r="K8" s="150" t="s">
        <v>290</v>
      </c>
      <c r="L8" s="150" t="s">
        <v>291</v>
      </c>
      <c r="M8" s="150" t="s">
        <v>292</v>
      </c>
      <c r="N8" s="150" t="s">
        <v>293</v>
      </c>
      <c r="O8" s="150" t="s">
        <v>294</v>
      </c>
      <c r="P8" s="150" t="s">
        <v>295</v>
      </c>
      <c r="R8" s="13" t="s">
        <v>296</v>
      </c>
      <c r="T8" s="21" t="s">
        <v>62</v>
      </c>
      <c r="U8" s="21" t="s">
        <v>66</v>
      </c>
      <c r="V8" s="21" t="s">
        <v>67</v>
      </c>
      <c r="W8" s="21" t="s">
        <v>68</v>
      </c>
      <c r="X8" s="21" t="s">
        <v>69</v>
      </c>
      <c r="Y8" s="21" t="s">
        <v>70</v>
      </c>
      <c r="Z8" s="21" t="s">
        <v>297</v>
      </c>
      <c r="AA8" s="21" t="s">
        <v>298</v>
      </c>
      <c r="AB8" s="21" t="s">
        <v>299</v>
      </c>
      <c r="AC8" s="21" t="s">
        <v>300</v>
      </c>
      <c r="AD8" s="21" t="s">
        <v>301</v>
      </c>
      <c r="AF8" s="61"/>
    </row>
    <row r="9" spans="1:32">
      <c r="C9" s="15" t="s">
        <v>75</v>
      </c>
      <c r="D9" s="143">
        <f ca="1">_xlfn.XLOOKUP($C9,'Outputs to aggregator'!$B$7:$B$17,'Outputs to aggregator'!$L$7:$L$17)</f>
        <v>77.820000000000007</v>
      </c>
      <c r="E9" s="179">
        <f ca="1">_xlfn.XLOOKUP(C9,'Modelled Costs'!A5:A15,'Modelled Costs'!K5:K15)</f>
        <v>77.820000000000007</v>
      </c>
      <c r="F9" s="151">
        <f ca="1">_xlfn.XLOOKUP($C9,Allowance!$B$14:$B$24,Allowance!$I$14:$I$24)</f>
        <v>77.820000000000007</v>
      </c>
      <c r="G9" s="152">
        <f ca="1">_xlfn.XLOOKUP($C9,'Modelled Costs'!$A$5:$A$15,'Modelled Costs'!$L$5:$L$15)</f>
        <v>584</v>
      </c>
      <c r="H9" s="153">
        <f ca="1">F9/G9</f>
        <v>0.13325342465753426</v>
      </c>
      <c r="I9" s="139">
        <f>'Materiality &amp; shallow dive'!C7</f>
        <v>6050.1790000000001</v>
      </c>
      <c r="J9" s="105">
        <f ca="1">D9/I9</f>
        <v>1.2862429359528041E-2</v>
      </c>
      <c r="K9" s="105">
        <f ca="1">F9/I9</f>
        <v>1.2862429359528041E-2</v>
      </c>
      <c r="L9" s="106" t="s">
        <v>302</v>
      </c>
      <c r="M9" s="117" cm="1">
        <f t="array" ref="M9">_xlfn.XLOOKUP(C9&amp;$L$6,'Post Adj &amp; FS Allowances'!$A$5:$A$735&amp;'Post Adj &amp; FS Allowances'!$B$5:$B$735,'Post Adj &amp; FS Allowances'!$M$5:$M$735)</f>
        <v>75.807441882489329</v>
      </c>
      <c r="N9" s="107">
        <f ca="1">M9/F9</f>
        <v>0.97413829198778357</v>
      </c>
      <c r="O9" s="106" t="s">
        <v>302</v>
      </c>
      <c r="P9" s="106" t="s">
        <v>303</v>
      </c>
      <c r="R9" s="18"/>
      <c r="S9" s="3"/>
      <c r="T9" s="16" t="s">
        <v>86</v>
      </c>
      <c r="U9" s="16"/>
      <c r="V9" s="16"/>
      <c r="W9" s="16"/>
      <c r="X9" s="16"/>
      <c r="Y9" s="59">
        <f ca="1">G9</f>
        <v>584</v>
      </c>
      <c r="Z9" s="16"/>
      <c r="AA9" s="16"/>
      <c r="AB9" s="16"/>
      <c r="AC9" s="16"/>
      <c r="AD9" s="16"/>
      <c r="AF9" s="199">
        <f ca="1">M9/Y9</f>
        <v>0.12980726349741323</v>
      </c>
    </row>
    <row r="10" spans="1:32">
      <c r="C10" s="15" t="s">
        <v>97</v>
      </c>
      <c r="D10" s="143">
        <f ca="1">_xlfn.XLOOKUP($C10,'Outputs to aggregator'!$B$7:$B$17,'Outputs to aggregator'!$L$7:$L$17)</f>
        <v>6.0719999999999992</v>
      </c>
      <c r="E10" s="179">
        <f ca="1">_xlfn.XLOOKUP(C10,'Modelled Costs'!A6:A16,'Modelled Costs'!K6:K16)</f>
        <v>6.0719999999999992</v>
      </c>
      <c r="F10" s="151">
        <f ca="1">_xlfn.XLOOKUP($C10,Allowance!$B$14:$B$24,Allowance!$I$14:$I$24)</f>
        <v>6.0719999999999992</v>
      </c>
      <c r="G10" s="152">
        <f ca="1">_xlfn.XLOOKUP($C10,'Modelled Costs'!$A$5:$A$15,'Modelled Costs'!$L$5:$L$15)</f>
        <v>28</v>
      </c>
      <c r="H10" s="153">
        <f ca="1">F10/G10</f>
        <v>0.21685714285714283</v>
      </c>
      <c r="I10" s="139">
        <f>'Materiality &amp; shallow dive'!C8</f>
        <v>3318.1689999999999</v>
      </c>
      <c r="J10" s="105">
        <f t="shared" ref="J10:J19" ca="1" si="0">D10/I10</f>
        <v>1.8299248772440462E-3</v>
      </c>
      <c r="K10" s="105">
        <f t="shared" ref="K10:K19" ca="1" si="1">F10/I10</f>
        <v>1.8299248772440462E-3</v>
      </c>
      <c r="L10" s="106" t="s">
        <v>303</v>
      </c>
      <c r="M10" s="117" cm="1">
        <f t="array" ref="M10">_xlfn.XLOOKUP(C10&amp;$L$6,'Post Adj &amp; FS Allowances'!$A$5:$A$735&amp;'Post Adj &amp; FS Allowances'!$B$5:$B$735,'Post Adj &amp; FS Allowances'!$M$5:$M$735)</f>
        <v>5.9979070359068274</v>
      </c>
      <c r="N10" s="107"/>
      <c r="O10" s="106"/>
      <c r="P10" s="106"/>
      <c r="R10" s="18"/>
      <c r="S10" s="3"/>
      <c r="T10" s="16"/>
      <c r="U10" s="16"/>
      <c r="V10" s="16"/>
      <c r="W10" s="16"/>
      <c r="X10" s="16"/>
      <c r="Y10" s="59"/>
      <c r="Z10" s="16"/>
      <c r="AA10" s="16"/>
      <c r="AB10" s="16"/>
      <c r="AC10" s="16"/>
      <c r="AD10" s="16"/>
      <c r="AF10" s="199"/>
    </row>
    <row r="11" spans="1:32">
      <c r="C11" s="15" t="s">
        <v>98</v>
      </c>
      <c r="D11" s="143">
        <f ca="1">_xlfn.XLOOKUP($C11,'Outputs to aggregator'!$B$7:$B$17,'Outputs to aggregator'!$L$7:$L$17)</f>
        <v>0</v>
      </c>
      <c r="E11" s="179">
        <f ca="1">_xlfn.XLOOKUP(C11,'Modelled Costs'!A7:A17,'Modelled Costs'!K7:K17)</f>
        <v>0</v>
      </c>
      <c r="F11" s="151">
        <f ca="1">_xlfn.XLOOKUP($C11,Allowance!$B$14:$B$24,Allowance!$I$14:$I$24)</f>
        <v>0</v>
      </c>
      <c r="G11" s="152">
        <f ca="1">_xlfn.XLOOKUP($C11,'Modelled Costs'!$A$5:$A$15,'Modelled Costs'!$L$5:$L$15)</f>
        <v>0</v>
      </c>
      <c r="H11" s="153" t="s">
        <v>304</v>
      </c>
      <c r="I11" s="139">
        <f>'Materiality &amp; shallow dive'!C9</f>
        <v>61.302999999999997</v>
      </c>
      <c r="J11" s="105" t="s">
        <v>304</v>
      </c>
      <c r="K11" s="105" t="s">
        <v>304</v>
      </c>
      <c r="L11" s="106" t="s">
        <v>303</v>
      </c>
      <c r="M11" s="117" cm="1">
        <f t="array" ref="M11">_xlfn.XLOOKUP(C11&amp;$L$6,'Post Adj &amp; FS Allowances'!$A$5:$A$735&amp;'Post Adj &amp; FS Allowances'!$B$5:$B$735,'Post Adj &amp; FS Allowances'!$M$5:$M$735)</f>
        <v>0</v>
      </c>
      <c r="N11" s="107"/>
      <c r="O11" s="106"/>
      <c r="P11" s="106"/>
      <c r="Q11" s="3"/>
      <c r="R11" s="9"/>
      <c r="S11" s="3"/>
      <c r="T11" s="16"/>
      <c r="U11" s="16"/>
      <c r="V11" s="16"/>
      <c r="W11" s="16"/>
      <c r="X11" s="16"/>
      <c r="Y11" s="59"/>
      <c r="Z11" s="16"/>
      <c r="AA11" s="16"/>
      <c r="AB11" s="16"/>
      <c r="AC11" s="16"/>
      <c r="AD11" s="16"/>
      <c r="AF11" s="199"/>
    </row>
    <row r="12" spans="1:32">
      <c r="C12" s="15" t="s">
        <v>99</v>
      </c>
      <c r="D12" s="143">
        <f ca="1">_xlfn.XLOOKUP($C12,'Outputs to aggregator'!$B$7:$B$17,'Outputs to aggregator'!$L$7:$L$17)</f>
        <v>55.448</v>
      </c>
      <c r="E12" s="179">
        <f ca="1">_xlfn.XLOOKUP(C12,'Modelled Costs'!A8:A18,'Modelled Costs'!K8:K18)</f>
        <v>55.448</v>
      </c>
      <c r="F12" s="151">
        <f ca="1">_xlfn.XLOOKUP($C12,Allowance!$B$14:$B$24,Allowance!$I$14:$I$24)</f>
        <v>51.968835616438362</v>
      </c>
      <c r="G12" s="152">
        <f ca="1">_xlfn.XLOOKUP($C12,'Modelled Costs'!$A$5:$A$15,'Modelled Costs'!$L$5:$L$15)</f>
        <v>390</v>
      </c>
      <c r="H12" s="153">
        <f ca="1">F12/G12</f>
        <v>0.13325342465753426</v>
      </c>
      <c r="I12" s="139">
        <f>'Materiality &amp; shallow dive'!C10</f>
        <v>3207.9270000000001</v>
      </c>
      <c r="J12" s="105">
        <f t="shared" ca="1" si="0"/>
        <v>1.7284682600321018E-2</v>
      </c>
      <c r="K12" s="105">
        <f t="shared" ca="1" si="1"/>
        <v>1.620013036968683E-2</v>
      </c>
      <c r="L12" s="106" t="s">
        <v>302</v>
      </c>
      <c r="M12" s="117" cm="1">
        <f t="array" ref="M12">_xlfn.XLOOKUP(C12&amp;$L$6,'Post Adj &amp; FS Allowances'!$A$5:$A$735&amp;'Post Adj &amp; FS Allowances'!$B$5:$B$735,'Post Adj &amp; FS Allowances'!$M$5:$M$735)</f>
        <v>50.693073083501076</v>
      </c>
      <c r="N12" s="107">
        <f ca="1">M12/F12</f>
        <v>0.97545139278560733</v>
      </c>
      <c r="O12" s="106" t="s">
        <v>302</v>
      </c>
      <c r="P12" s="106" t="s">
        <v>303</v>
      </c>
      <c r="Q12" s="3"/>
      <c r="R12" s="9"/>
      <c r="S12" s="3"/>
      <c r="T12" s="16" t="s">
        <v>86</v>
      </c>
      <c r="U12" s="16"/>
      <c r="V12" s="16"/>
      <c r="W12" s="16"/>
      <c r="X12" s="16"/>
      <c r="Y12" s="59">
        <f ca="1">G12</f>
        <v>390</v>
      </c>
      <c r="Z12" s="16"/>
      <c r="AA12" s="16"/>
      <c r="AB12" s="16"/>
      <c r="AC12" s="16"/>
      <c r="AD12" s="16"/>
      <c r="AF12" s="199">
        <f ca="1">M12/Y12</f>
        <v>0.12998223867564379</v>
      </c>
    </row>
    <row r="13" spans="1:32">
      <c r="C13" s="15" t="s">
        <v>101</v>
      </c>
      <c r="D13" s="143">
        <f ca="1">_xlfn.XLOOKUP($C13,'Outputs to aggregator'!$B$7:$B$17,'Outputs to aggregator'!$L$7:$L$17)</f>
        <v>134.34716344920167</v>
      </c>
      <c r="E13" s="179">
        <f ca="1">_xlfn.XLOOKUP(C13,'Modelled Costs'!A9:A19,'Modelled Costs'!K9:K19)</f>
        <v>134.34716344920167</v>
      </c>
      <c r="F13" s="151">
        <f ca="1">_xlfn.XLOOKUP($C13,Allowance!$B$14:$B$24,Allowance!$I$14:$I$24)</f>
        <v>133.25342465753425</v>
      </c>
      <c r="G13" s="152">
        <f ca="1">_xlfn.XLOOKUP($C13,'Modelled Costs'!$A$5:$A$15,'Modelled Costs'!$L$5:$L$15)</f>
        <v>1000</v>
      </c>
      <c r="H13" s="153">
        <f t="shared" ref="H13:H19" ca="1" si="2">F13/G13</f>
        <v>0.13325342465753426</v>
      </c>
      <c r="I13" s="139">
        <f>'Materiality &amp; shallow dive'!C11</f>
        <v>8618.7119999999995</v>
      </c>
      <c r="J13" s="105">
        <f t="shared" ca="1" si="0"/>
        <v>1.5587846936897494E-2</v>
      </c>
      <c r="K13" s="105">
        <f t="shared" ca="1" si="1"/>
        <v>1.5460944124543697E-2</v>
      </c>
      <c r="L13" s="106" t="s">
        <v>302</v>
      </c>
      <c r="M13" s="117" cm="1">
        <f t="array" ref="M13">_xlfn.XLOOKUP(C13&amp;$L$6,'Post Adj &amp; FS Allowances'!$A$5:$A$735&amp;'Post Adj &amp; FS Allowances'!$B$5:$B$735,'Post Adj &amp; FS Allowances'!$M$5:$M$735)</f>
        <v>129.98433973964427</v>
      </c>
      <c r="N13" s="107">
        <f ca="1">M13/F13</f>
        <v>0.97546716021526925</v>
      </c>
      <c r="O13" s="106" t="s">
        <v>302</v>
      </c>
      <c r="P13" s="106" t="s">
        <v>303</v>
      </c>
      <c r="Q13" s="3"/>
      <c r="R13" s="9"/>
      <c r="S13" s="3"/>
      <c r="T13" s="16" t="s">
        <v>86</v>
      </c>
      <c r="U13" s="16"/>
      <c r="V13" s="16"/>
      <c r="W13" s="16"/>
      <c r="X13" s="16"/>
      <c r="Y13" s="59">
        <f ca="1">G13</f>
        <v>1000</v>
      </c>
      <c r="Z13" s="16"/>
      <c r="AA13" s="16"/>
      <c r="AB13" s="16"/>
      <c r="AC13" s="16"/>
      <c r="AD13" s="16"/>
      <c r="AF13" s="199">
        <f ca="1">M13/Y13</f>
        <v>0.12998433973964427</v>
      </c>
    </row>
    <row r="14" spans="1:32">
      <c r="C14" s="15" t="s">
        <v>100</v>
      </c>
      <c r="D14" s="143">
        <f ca="1">_xlfn.XLOOKUP($C14,'Outputs to aggregator'!$B$7:$B$17,'Outputs to aggregator'!$L$7:$L$17)</f>
        <v>54.433</v>
      </c>
      <c r="E14" s="179">
        <f ca="1">_xlfn.XLOOKUP(C14,'Modelled Costs'!A10:A20,'Modelled Costs'!K10:K20)</f>
        <v>54.433</v>
      </c>
      <c r="F14" s="151">
        <f ca="1">_xlfn.XLOOKUP($C14,Allowance!$B$14:$B$24,Allowance!$I$14:$I$24)</f>
        <v>54.500650684931514</v>
      </c>
      <c r="G14" s="152">
        <f ca="1">_xlfn.XLOOKUP($C14,'Modelled Costs'!$A$5:$A$15,'Modelled Costs'!$L$5:$L$15)</f>
        <v>409</v>
      </c>
      <c r="H14" s="153">
        <f ca="1">F14/G14</f>
        <v>0.13325342465753426</v>
      </c>
      <c r="I14" s="139">
        <f>'Materiality &amp; shallow dive'!C12</f>
        <v>2220.3789999999999</v>
      </c>
      <c r="J14" s="105">
        <f t="shared" ca="1" si="0"/>
        <v>2.4515184119467893E-2</v>
      </c>
      <c r="K14" s="105">
        <f ca="1">F14/I14</f>
        <v>2.4545652199436004E-2</v>
      </c>
      <c r="L14" s="106" t="s">
        <v>302</v>
      </c>
      <c r="M14" s="117" cm="1">
        <f t="array" ref="M14">_xlfn.XLOOKUP(C14&amp;$L$6,'Post Adj &amp; FS Allowances'!$A$5:$A$735&amp;'Post Adj &amp; FS Allowances'!$B$5:$B$735,'Post Adj &amp; FS Allowances'!$M$5:$M$735)</f>
        <v>53.328238272557826</v>
      </c>
      <c r="N14" s="107">
        <f ca="1">M14/F14</f>
        <v>0.9784881024787867</v>
      </c>
      <c r="O14" s="106" t="s">
        <v>302</v>
      </c>
      <c r="P14" s="106" t="s">
        <v>303</v>
      </c>
      <c r="Q14" s="3"/>
      <c r="R14" s="9"/>
      <c r="S14" s="3"/>
      <c r="T14" s="16" t="s">
        <v>86</v>
      </c>
      <c r="U14" s="16"/>
      <c r="V14" s="16"/>
      <c r="W14" s="16"/>
      <c r="X14" s="16"/>
      <c r="Y14" s="59">
        <f ca="1">G14</f>
        <v>409</v>
      </c>
      <c r="Z14" s="16"/>
      <c r="AA14" s="16"/>
      <c r="AB14" s="16"/>
      <c r="AC14" s="16"/>
      <c r="AD14" s="16"/>
      <c r="AF14" s="199">
        <f ca="1">M14/Y14</f>
        <v>0.13038689064195066</v>
      </c>
    </row>
    <row r="15" spans="1:32">
      <c r="C15" s="15" t="s">
        <v>102</v>
      </c>
      <c r="D15" s="143">
        <f ca="1">_xlfn.XLOOKUP($C15,'Outputs to aggregator'!$B$7:$B$17,'Outputs to aggregator'!$L$7:$L$17)</f>
        <v>43.146999999999998</v>
      </c>
      <c r="E15" s="179">
        <f ca="1">_xlfn.XLOOKUP(C15,'Modelled Costs'!A11:A21,'Modelled Costs'!K11:K21)</f>
        <v>43.146999999999998</v>
      </c>
      <c r="F15" s="151">
        <f ca="1">_xlfn.XLOOKUP($C15,Allowance!$B$14:$B$24,Allowance!$I$14:$I$24)</f>
        <v>40.509041095890417</v>
      </c>
      <c r="G15" s="152">
        <f ca="1">_xlfn.XLOOKUP($C15,'Modelled Costs'!$A$5:$A$15,'Modelled Costs'!$L$5:$L$15)</f>
        <v>304</v>
      </c>
      <c r="H15" s="153">
        <f ca="1">F15/G15</f>
        <v>0.13325342465753426</v>
      </c>
      <c r="I15" s="139">
        <f>'Materiality &amp; shallow dive'!C13</f>
        <v>5114.1959999999999</v>
      </c>
      <c r="J15" s="105">
        <f ca="1">D15/I15</f>
        <v>8.4367122417678166E-3</v>
      </c>
      <c r="K15" s="105">
        <f ca="1">F15/I15</f>
        <v>7.9209011731052967E-3</v>
      </c>
      <c r="L15" s="106" t="s">
        <v>303</v>
      </c>
      <c r="M15" s="117" cm="1">
        <f t="array" ref="M15">_xlfn.XLOOKUP(C15&amp;$L$6,'Post Adj &amp; FS Allowances'!$A$5:$A$735&amp;'Post Adj &amp; FS Allowances'!$B$5:$B$735,'Post Adj &amp; FS Allowances'!$M$5:$M$735)</f>
        <v>39.117566245170266</v>
      </c>
      <c r="N15" s="107"/>
      <c r="O15" s="106"/>
      <c r="P15" s="106"/>
      <c r="Q15" s="3"/>
      <c r="R15" s="9"/>
      <c r="S15" s="3"/>
      <c r="T15" s="16"/>
      <c r="U15" s="16"/>
      <c r="V15" s="16"/>
      <c r="W15" s="16"/>
      <c r="X15" s="16"/>
      <c r="Y15" s="59"/>
      <c r="Z15" s="16"/>
      <c r="AA15" s="16"/>
      <c r="AB15" s="16"/>
      <c r="AC15" s="16"/>
      <c r="AD15" s="16"/>
      <c r="AF15" s="199"/>
    </row>
    <row r="16" spans="1:32">
      <c r="C16" s="15" t="s">
        <v>103</v>
      </c>
      <c r="D16" s="143">
        <f ca="1">_xlfn.XLOOKUP($C16,'Outputs to aggregator'!$B$7:$B$17,'Outputs to aggregator'!$L$7:$L$17)</f>
        <v>52.985999999999997</v>
      </c>
      <c r="E16" s="179">
        <f ca="1">_xlfn.XLOOKUP(C16,'Modelled Costs'!A12:A22,'Modelled Costs'!K12:K22)</f>
        <v>52.985999999999997</v>
      </c>
      <c r="F16" s="151">
        <f ca="1">_xlfn.XLOOKUP($C16,Allowance!$B$14:$B$24,Allowance!$I$14:$I$24)</f>
        <v>41.841575342465759</v>
      </c>
      <c r="G16" s="152">
        <f ca="1">_xlfn.XLOOKUP($C16,'Modelled Costs'!$A$5:$A$15,'Modelled Costs'!$L$5:$L$15)</f>
        <v>314</v>
      </c>
      <c r="H16" s="153">
        <f t="shared" ca="1" si="2"/>
        <v>0.13325342465753426</v>
      </c>
      <c r="I16" s="139">
        <f>'Materiality &amp; shallow dive'!C14</f>
        <v>12775.474</v>
      </c>
      <c r="J16" s="105">
        <f t="shared" ca="1" si="0"/>
        <v>4.1474782070708297E-3</v>
      </c>
      <c r="K16" s="105">
        <f t="shared" ca="1" si="1"/>
        <v>3.2751485653264808E-3</v>
      </c>
      <c r="L16" s="106" t="s">
        <v>303</v>
      </c>
      <c r="M16" s="117" cm="1">
        <f t="array" ref="M16">_xlfn.XLOOKUP(C16&amp;$L$6,'Post Adj &amp; FS Allowances'!$A$5:$A$735&amp;'Post Adj &amp; FS Allowances'!$B$5:$B$735,'Post Adj &amp; FS Allowances'!$M$5:$M$735)</f>
        <v>40.941880040010005</v>
      </c>
      <c r="N16" s="107"/>
      <c r="O16" s="106"/>
      <c r="P16" s="106"/>
      <c r="Q16" s="3"/>
      <c r="R16" s="9"/>
      <c r="S16" s="3"/>
      <c r="T16" s="16"/>
      <c r="U16" s="16"/>
      <c r="V16" s="16"/>
      <c r="W16" s="16"/>
      <c r="X16" s="16"/>
      <c r="Y16" s="59"/>
      <c r="Z16" s="16"/>
      <c r="AA16" s="16"/>
      <c r="AB16" s="16"/>
      <c r="AC16" s="16"/>
      <c r="AD16" s="16"/>
      <c r="AF16" s="199"/>
    </row>
    <row r="17" spans="3:32">
      <c r="C17" s="15" t="s">
        <v>104</v>
      </c>
      <c r="D17" s="143">
        <f ca="1">_xlfn.XLOOKUP($C17,'Outputs to aggregator'!$B$7:$B$17,'Outputs to aggregator'!$L$7:$L$17)</f>
        <v>84.834619803113227</v>
      </c>
      <c r="E17" s="179">
        <f ca="1">_xlfn.XLOOKUP(C17,'Modelled Costs'!A13:A23,'Modelled Costs'!K13:K23)</f>
        <v>84.326432149260754</v>
      </c>
      <c r="F17" s="151">
        <f ca="1">_xlfn.XLOOKUP($C17,Allowance!$B$14:$B$24,Allowance!$I$14:$I$24)</f>
        <v>84.349417808219187</v>
      </c>
      <c r="G17" s="152">
        <f ca="1">_xlfn.XLOOKUP($C17,'Modelled Costs'!$A$5:$A$15,'Modelled Costs'!$L$5:$L$15)</f>
        <v>633</v>
      </c>
      <c r="H17" s="153">
        <f t="shared" ca="1" si="2"/>
        <v>0.13325342465753426</v>
      </c>
      <c r="I17" s="139">
        <f>'Materiality &amp; shallow dive'!C15</f>
        <v>8993.18</v>
      </c>
      <c r="J17" s="105">
        <f t="shared" ca="1" si="0"/>
        <v>9.4332171493413039E-3</v>
      </c>
      <c r="K17" s="105">
        <f t="shared" ca="1" si="1"/>
        <v>9.3792649327845302E-3</v>
      </c>
      <c r="L17" s="106" t="s">
        <v>302</v>
      </c>
      <c r="M17" s="117" cm="1">
        <f t="array" ref="M17">_xlfn.XLOOKUP(C17&amp;$L$6,'Post Adj &amp; FS Allowances'!$A$5:$A$735&amp;'Post Adj &amp; FS Allowances'!$B$5:$B$735,'Post Adj &amp; FS Allowances'!$M$5:$M$735)</f>
        <v>82.475945699284352</v>
      </c>
      <c r="N17" s="107">
        <f ca="1">M17/F17</f>
        <v>0.97778915186830984</v>
      </c>
      <c r="O17" s="106" t="s">
        <v>302</v>
      </c>
      <c r="P17" s="106" t="s">
        <v>303</v>
      </c>
      <c r="Q17" s="3"/>
      <c r="R17" s="9"/>
      <c r="S17" s="3"/>
      <c r="T17" s="16" t="s">
        <v>86</v>
      </c>
      <c r="U17" s="16"/>
      <c r="V17" s="16"/>
      <c r="W17" s="16"/>
      <c r="X17" s="16"/>
      <c r="Y17" s="59">
        <f ca="1">G17</f>
        <v>633</v>
      </c>
      <c r="Z17" s="16"/>
      <c r="AA17" s="16"/>
      <c r="AB17" s="16"/>
      <c r="AC17" s="16"/>
      <c r="AD17" s="16"/>
      <c r="AF17" s="199">
        <f ca="1">M17/Y17</f>
        <v>0.13029375307943816</v>
      </c>
    </row>
    <row r="18" spans="3:32">
      <c r="C18" s="15" t="s">
        <v>105</v>
      </c>
      <c r="D18" s="143">
        <f ca="1">_xlfn.XLOOKUP($C18,'Outputs to aggregator'!$B$7:$B$17,'Outputs to aggregator'!$L$7:$L$17)</f>
        <v>62.595305999999994</v>
      </c>
      <c r="E18" s="179">
        <f ca="1">_xlfn.XLOOKUP(C18,'Modelled Costs'!A14:A24,'Modelled Costs'!K14:K24)</f>
        <v>62.595305999999994</v>
      </c>
      <c r="F18" s="151">
        <f ca="1">_xlfn.XLOOKUP($C18,Allowance!$B$14:$B$24,Allowance!$I$14:$I$24)</f>
        <v>62.6291095890411</v>
      </c>
      <c r="G18" s="152">
        <f ca="1">_xlfn.XLOOKUP($C18,'Modelled Costs'!$A$5:$A$15,'Modelled Costs'!$L$5:$L$15)</f>
        <v>470</v>
      </c>
      <c r="H18" s="153">
        <f t="shared" ca="1" si="2"/>
        <v>0.13325342465753426</v>
      </c>
      <c r="I18" s="139">
        <f>'Materiality &amp; shallow dive'!C16</f>
        <v>3717.8809999999999</v>
      </c>
      <c r="J18" s="105">
        <f t="shared" ca="1" si="0"/>
        <v>1.6836285507793283E-2</v>
      </c>
      <c r="K18" s="105">
        <f t="shared" ca="1" si="1"/>
        <v>1.6845377673207158E-2</v>
      </c>
      <c r="L18" s="106" t="s">
        <v>302</v>
      </c>
      <c r="M18" s="117" cm="1">
        <f t="array" ref="M18">_xlfn.XLOOKUP(C18&amp;$L$6,'Post Adj &amp; FS Allowances'!$A$5:$A$735&amp;'Post Adj &amp; FS Allowances'!$B$5:$B$735,'Post Adj &amp; FS Allowances'!$M$5:$M$735)</f>
        <v>61.050736411263046</v>
      </c>
      <c r="N18" s="107">
        <f ca="1">M18/F18</f>
        <v>0.97479809008726126</v>
      </c>
      <c r="O18" s="106" t="s">
        <v>302</v>
      </c>
      <c r="P18" s="106" t="s">
        <v>303</v>
      </c>
      <c r="Q18" s="3"/>
      <c r="R18" s="9"/>
      <c r="S18" s="3"/>
      <c r="T18" s="16" t="s">
        <v>86</v>
      </c>
      <c r="U18" s="16"/>
      <c r="V18" s="16"/>
      <c r="W18" s="16"/>
      <c r="X18" s="16"/>
      <c r="Y18" s="59">
        <f ca="1">G18</f>
        <v>470</v>
      </c>
      <c r="Z18" s="16"/>
      <c r="AA18" s="16"/>
      <c r="AB18" s="16"/>
      <c r="AC18" s="16"/>
      <c r="AD18" s="16"/>
      <c r="AF18" s="199">
        <f ca="1">M18/Y18</f>
        <v>0.12989518385375115</v>
      </c>
    </row>
    <row r="19" spans="3:32">
      <c r="C19" s="15" t="s">
        <v>106</v>
      </c>
      <c r="D19" s="143">
        <f ca="1">_xlfn.XLOOKUP($C19,'Outputs to aggregator'!$B$7:$B$17,'Outputs to aggregator'!$L$7:$L$17)</f>
        <v>97.493692799999991</v>
      </c>
      <c r="E19" s="179">
        <f ca="1">_xlfn.XLOOKUP(C19,'Modelled Costs'!A15:A25,'Modelled Costs'!K15:K25)</f>
        <v>97.493692799999991</v>
      </c>
      <c r="F19" s="151">
        <f ca="1">_xlfn.XLOOKUP($C19,Allowance!$B$14:$B$24,Allowance!$I$14:$I$24)</f>
        <v>98.074520547945212</v>
      </c>
      <c r="G19" s="152">
        <f ca="1">_xlfn.XLOOKUP($C19,'Modelled Costs'!$A$5:$A$15,'Modelled Costs'!$L$5:$L$15)</f>
        <v>736</v>
      </c>
      <c r="H19" s="153">
        <f t="shared" ca="1" si="2"/>
        <v>0.13325342465753426</v>
      </c>
      <c r="I19" s="139">
        <f>'Materiality &amp; shallow dive'!C17</f>
        <v>4605.5680000000002</v>
      </c>
      <c r="J19" s="105">
        <f t="shared" ca="1" si="0"/>
        <v>2.1168657763819789E-2</v>
      </c>
      <c r="K19" s="105">
        <f t="shared" ca="1" si="1"/>
        <v>2.1294772012473859E-2</v>
      </c>
      <c r="L19" s="106" t="s">
        <v>302</v>
      </c>
      <c r="M19" s="117" cm="1">
        <f t="array" ref="M19">_xlfn.XLOOKUP(C19&amp;$L$6,'Post Adj &amp; FS Allowances'!$A$5:$A$735&amp;'Post Adj &amp; FS Allowances'!$B$5:$B$735,'Post Adj &amp; FS Allowances'!$M$5:$M$735)</f>
        <v>95.362758820500758</v>
      </c>
      <c r="N19" s="107">
        <f ca="1">M19/F19</f>
        <v>0.97234998741473566</v>
      </c>
      <c r="O19" s="106" t="s">
        <v>302</v>
      </c>
      <c r="P19" s="106" t="s">
        <v>303</v>
      </c>
      <c r="Q19" s="3"/>
      <c r="R19" s="9"/>
      <c r="S19" s="3"/>
      <c r="T19" s="16" t="s">
        <v>86</v>
      </c>
      <c r="U19" s="16"/>
      <c r="V19" s="16"/>
      <c r="W19" s="16"/>
      <c r="X19" s="16"/>
      <c r="Y19" s="59">
        <f ca="1">G19</f>
        <v>736</v>
      </c>
      <c r="Z19" s="16"/>
      <c r="AA19" s="16"/>
      <c r="AB19" s="16"/>
      <c r="AC19" s="16"/>
      <c r="AD19" s="16"/>
      <c r="AF19" s="199">
        <f ca="1">M19/Y19</f>
        <v>0.12956896578872384</v>
      </c>
    </row>
    <row r="20" spans="3:32">
      <c r="D20" s="117">
        <f ca="1">SUM(D9:D19)</f>
        <v>669.17678205231482</v>
      </c>
      <c r="E20" s="146">
        <f ca="1">SUM(E9:E19)</f>
        <v>668.66859439846235</v>
      </c>
      <c r="F20" s="117">
        <f t="shared" ref="F20:I20" ca="1" si="3">SUM(F9:F19)</f>
        <v>651.01857534246585</v>
      </c>
      <c r="G20" s="114">
        <f t="shared" ca="1" si="3"/>
        <v>4868</v>
      </c>
      <c r="H20" s="117"/>
      <c r="I20" s="117">
        <f t="shared" si="3"/>
        <v>58682.968000000001</v>
      </c>
      <c r="J20" s="22"/>
      <c r="K20" s="22"/>
      <c r="L20" s="22"/>
      <c r="M20" s="117">
        <f>SUM(M9:M19)</f>
        <v>634.75988723032776</v>
      </c>
      <c r="N20" s="22"/>
      <c r="O20" s="22"/>
      <c r="P20" s="22"/>
    </row>
    <row r="21" spans="3:32">
      <c r="M21" s="198"/>
    </row>
    <row r="22" spans="3:32">
      <c r="J22" s="202"/>
    </row>
  </sheetData>
  <mergeCells count="2">
    <mergeCell ref="T7:AD7"/>
    <mergeCell ref="F7:P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5E266-3914-4BFD-AF7A-DE5D9193EC36}">
  <sheetPr codeName="Sheet39">
    <tabColor rgb="FFCCCCCE"/>
  </sheetPr>
  <dimension ref="A1:K31"/>
  <sheetViews>
    <sheetView showGridLines="0" zoomScale="80" zoomScaleNormal="80" workbookViewId="0"/>
  </sheetViews>
  <sheetFormatPr defaultRowHeight="12.75"/>
  <sheetData>
    <row r="1" spans="1:11" ht="31.5">
      <c r="A1" s="1" t="str">
        <f ca="1" xml:space="preserve"> RIGHT(CELL("filename", $A$1), LEN(CELL("filename", $A$1)) - SEARCH("]", CELL("filename", $A$1)))</f>
        <v>DROPDOWN LISTS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1">
      <c r="B3" s="26" t="s">
        <v>305</v>
      </c>
      <c r="F3" s="26" t="s">
        <v>306</v>
      </c>
    </row>
    <row r="5" spans="1:11">
      <c r="B5" s="19">
        <v>1</v>
      </c>
      <c r="C5" s="15" t="s">
        <v>75</v>
      </c>
      <c r="D5" t="s">
        <v>307</v>
      </c>
      <c r="F5" s="24" t="s">
        <v>308</v>
      </c>
    </row>
    <row r="6" spans="1:11">
      <c r="B6" s="20">
        <v>2</v>
      </c>
      <c r="C6" s="15" t="s">
        <v>98</v>
      </c>
      <c r="D6" t="s">
        <v>307</v>
      </c>
      <c r="F6" s="23" t="s">
        <v>309</v>
      </c>
    </row>
    <row r="7" spans="1:11">
      <c r="B7" s="20">
        <v>3</v>
      </c>
      <c r="C7" s="15" t="s">
        <v>99</v>
      </c>
      <c r="D7" t="s">
        <v>307</v>
      </c>
      <c r="F7" s="24" t="s">
        <v>231</v>
      </c>
    </row>
    <row r="8" spans="1:11">
      <c r="B8" s="20">
        <v>4</v>
      </c>
      <c r="C8" s="15" t="s">
        <v>104</v>
      </c>
      <c r="D8" t="s">
        <v>307</v>
      </c>
      <c r="F8" s="27" t="s">
        <v>310</v>
      </c>
    </row>
    <row r="9" spans="1:11">
      <c r="B9" s="20">
        <v>5</v>
      </c>
      <c r="C9" s="15" t="s">
        <v>102</v>
      </c>
      <c r="D9" t="s">
        <v>307</v>
      </c>
      <c r="F9" s="25"/>
    </row>
    <row r="10" spans="1:11">
      <c r="B10" s="20">
        <v>6</v>
      </c>
      <c r="C10" s="15" t="s">
        <v>101</v>
      </c>
      <c r="D10" t="s">
        <v>307</v>
      </c>
    </row>
    <row r="11" spans="1:11">
      <c r="B11" s="20">
        <v>7</v>
      </c>
      <c r="C11" s="15" t="s">
        <v>100</v>
      </c>
      <c r="D11" t="s">
        <v>307</v>
      </c>
    </row>
    <row r="12" spans="1:11">
      <c r="B12" s="20">
        <v>8</v>
      </c>
      <c r="C12" s="15" t="s">
        <v>103</v>
      </c>
      <c r="D12" t="s">
        <v>307</v>
      </c>
    </row>
    <row r="13" spans="1:11">
      <c r="B13" s="20">
        <v>9</v>
      </c>
      <c r="C13" s="15" t="s">
        <v>97</v>
      </c>
      <c r="D13" t="s">
        <v>307</v>
      </c>
    </row>
    <row r="14" spans="1:11">
      <c r="B14" s="20">
        <v>10</v>
      </c>
      <c r="C14" s="15" t="s">
        <v>105</v>
      </c>
      <c r="D14" t="s">
        <v>307</v>
      </c>
    </row>
    <row r="15" spans="1:11">
      <c r="B15" s="20">
        <v>11</v>
      </c>
      <c r="C15" s="15" t="s">
        <v>106</v>
      </c>
      <c r="D15" t="s">
        <v>307</v>
      </c>
    </row>
    <row r="16" spans="1:11">
      <c r="B16" s="20">
        <v>12</v>
      </c>
      <c r="C16" s="15" t="s">
        <v>218</v>
      </c>
      <c r="D16" t="s">
        <v>311</v>
      </c>
    </row>
    <row r="17" spans="2:4">
      <c r="B17" s="20">
        <v>13</v>
      </c>
      <c r="C17" s="15" t="s">
        <v>219</v>
      </c>
      <c r="D17" t="s">
        <v>311</v>
      </c>
    </row>
    <row r="18" spans="2:4">
      <c r="B18" s="20">
        <v>14</v>
      </c>
      <c r="C18" s="15" t="s">
        <v>220</v>
      </c>
      <c r="D18" t="s">
        <v>311</v>
      </c>
    </row>
    <row r="19" spans="2:4">
      <c r="B19" s="20">
        <v>15</v>
      </c>
      <c r="C19" s="15" t="s">
        <v>223</v>
      </c>
      <c r="D19" t="s">
        <v>311</v>
      </c>
    </row>
    <row r="20" spans="2:4">
      <c r="B20" s="20">
        <v>16</v>
      </c>
      <c r="C20" s="15" t="s">
        <v>221</v>
      </c>
      <c r="D20" t="s">
        <v>311</v>
      </c>
    </row>
    <row r="21" spans="2:4">
      <c r="B21" s="20">
        <v>17</v>
      </c>
      <c r="C21" s="15" t="s">
        <v>222</v>
      </c>
      <c r="D21" t="s">
        <v>311</v>
      </c>
    </row>
    <row r="24" spans="2:4">
      <c r="B24" s="81" t="s">
        <v>312</v>
      </c>
    </row>
    <row r="25" spans="2:4">
      <c r="B25" s="48"/>
    </row>
    <row r="26" spans="2:4">
      <c r="B26" s="48" t="s">
        <v>313</v>
      </c>
    </row>
    <row r="27" spans="2:4">
      <c r="B27" s="82" t="s">
        <v>314</v>
      </c>
    </row>
    <row r="28" spans="2:4">
      <c r="B28" s="48" t="s">
        <v>315</v>
      </c>
    </row>
    <row r="29" spans="2:4">
      <c r="B29" s="48" t="s">
        <v>316</v>
      </c>
    </row>
    <row r="30" spans="2:4">
      <c r="B30" s="48" t="s">
        <v>317</v>
      </c>
    </row>
    <row r="31" spans="2:4">
      <c r="B31" s="48" t="s">
        <v>318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89E67-302C-4E1F-A953-146D696425AD}">
  <sheetPr codeName="Sheet7">
    <tabColor rgb="FFFFDB8E"/>
  </sheetPr>
  <dimension ref="A1"/>
  <sheetViews>
    <sheetView zoomScale="80" zoomScaleNormal="80"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DB8E"/>
  </sheetPr>
  <dimension ref="A1:M149"/>
  <sheetViews>
    <sheetView zoomScale="80" zoomScaleNormal="80" workbookViewId="0"/>
  </sheetViews>
  <sheetFormatPr defaultRowHeight="12.75"/>
  <cols>
    <col min="2" max="2" width="38.85546875" customWidth="1"/>
    <col min="3" max="3" width="66.42578125" customWidth="1"/>
    <col min="6" max="12" width="11.28515625" customWidth="1"/>
    <col min="13" max="13" width="19" bestFit="1" customWidth="1"/>
  </cols>
  <sheetData>
    <row r="1" spans="1:13" ht="47.25">
      <c r="A1" s="62" t="str">
        <f ca="1" xml:space="preserve"> RIGHT(CELL("filename", A1), LEN(CELL("filename", A1)) - SEARCH("]", CELL("filename", A1)))</f>
        <v>F_Inputs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15">
      <c r="C2" s="33" t="s">
        <v>57</v>
      </c>
      <c r="E2" s="33" t="s">
        <v>58</v>
      </c>
    </row>
    <row r="3" spans="1:13" ht="15">
      <c r="A3" s="160" t="s">
        <v>59</v>
      </c>
      <c r="B3" s="160" t="s">
        <v>60</v>
      </c>
      <c r="C3" s="160" t="s">
        <v>61</v>
      </c>
      <c r="D3" s="160" t="s">
        <v>62</v>
      </c>
      <c r="E3" s="160" t="s">
        <v>63</v>
      </c>
      <c r="F3" s="160" t="s">
        <v>64</v>
      </c>
      <c r="G3" s="160" t="s">
        <v>65</v>
      </c>
      <c r="H3" s="160" t="s">
        <v>66</v>
      </c>
      <c r="I3" s="160" t="s">
        <v>67</v>
      </c>
      <c r="J3" s="160" t="s">
        <v>68</v>
      </c>
      <c r="K3" s="160" t="s">
        <v>69</v>
      </c>
      <c r="L3" s="160" t="s">
        <v>70</v>
      </c>
      <c r="M3" s="160" t="s">
        <v>71</v>
      </c>
    </row>
    <row r="4" spans="1:13" ht="15">
      <c r="F4" s="160" t="s">
        <v>72</v>
      </c>
      <c r="G4" s="160" t="s">
        <v>72</v>
      </c>
      <c r="H4" s="160" t="s">
        <v>72</v>
      </c>
      <c r="I4" s="160" t="s">
        <v>72</v>
      </c>
      <c r="J4" s="160" t="s">
        <v>72</v>
      </c>
      <c r="K4" s="160" t="s">
        <v>72</v>
      </c>
      <c r="L4" s="160" t="s">
        <v>72</v>
      </c>
      <c r="M4" s="160" t="s">
        <v>72</v>
      </c>
    </row>
    <row r="5" spans="1:13" ht="15">
      <c r="F5" s="160" t="s">
        <v>73</v>
      </c>
      <c r="G5" s="160" t="s">
        <v>73</v>
      </c>
      <c r="H5" s="160" t="s">
        <v>73</v>
      </c>
      <c r="I5" s="160" t="s">
        <v>73</v>
      </c>
      <c r="J5" s="160" t="s">
        <v>73</v>
      </c>
      <c r="K5" s="160" t="s">
        <v>73</v>
      </c>
      <c r="L5" s="160" t="s">
        <v>73</v>
      </c>
      <c r="M5" s="160" t="s">
        <v>73</v>
      </c>
    </row>
    <row r="6" spans="1:13" ht="15">
      <c r="F6" s="160" t="s">
        <v>74</v>
      </c>
      <c r="G6" s="160" t="s">
        <v>74</v>
      </c>
      <c r="H6" s="160" t="s">
        <v>74</v>
      </c>
      <c r="I6" s="160" t="s">
        <v>74</v>
      </c>
      <c r="J6" s="160" t="s">
        <v>74</v>
      </c>
      <c r="K6" s="160" t="s">
        <v>74</v>
      </c>
      <c r="L6" s="160" t="s">
        <v>74</v>
      </c>
      <c r="M6" s="160" t="s">
        <v>74</v>
      </c>
    </row>
    <row r="7" spans="1:13">
      <c r="A7" t="s">
        <v>75</v>
      </c>
      <c r="B7" t="s">
        <v>76</v>
      </c>
      <c r="C7" t="s">
        <v>77</v>
      </c>
      <c r="D7" t="s">
        <v>78</v>
      </c>
      <c r="E7" t="s">
        <v>72</v>
      </c>
      <c r="F7" s="32">
        <v>0</v>
      </c>
      <c r="G7" s="32">
        <v>0</v>
      </c>
      <c r="H7" s="32">
        <v>0.86799999999999999</v>
      </c>
      <c r="I7" s="32">
        <v>17.236000000000001</v>
      </c>
      <c r="J7" s="32">
        <v>18.103999999999999</v>
      </c>
      <c r="K7" s="32">
        <v>18.103999999999999</v>
      </c>
      <c r="L7" s="32">
        <v>18.103999999999999</v>
      </c>
      <c r="M7" s="41" t="s">
        <v>79</v>
      </c>
    </row>
    <row r="8" spans="1:13">
      <c r="A8" t="s">
        <v>75</v>
      </c>
      <c r="B8" t="s">
        <v>80</v>
      </c>
      <c r="C8" t="s">
        <v>81</v>
      </c>
      <c r="D8" t="s">
        <v>78</v>
      </c>
      <c r="E8" t="s">
        <v>72</v>
      </c>
      <c r="F8" s="32">
        <v>0</v>
      </c>
      <c r="G8" s="32">
        <v>0</v>
      </c>
      <c r="H8" s="32">
        <v>0</v>
      </c>
      <c r="I8" s="32">
        <v>0.50700000000000001</v>
      </c>
      <c r="J8" s="32">
        <v>1.014</v>
      </c>
      <c r="K8" s="32">
        <v>1.5189999999999999</v>
      </c>
      <c r="L8" s="32">
        <v>2.3639999999999999</v>
      </c>
      <c r="M8" s="41" t="s">
        <v>79</v>
      </c>
    </row>
    <row r="9" spans="1:13">
      <c r="A9" t="s">
        <v>75</v>
      </c>
      <c r="B9" t="s">
        <v>82</v>
      </c>
      <c r="C9" t="s">
        <v>83</v>
      </c>
      <c r="D9" t="s">
        <v>78</v>
      </c>
      <c r="E9" t="s">
        <v>72</v>
      </c>
      <c r="F9" s="32">
        <v>0</v>
      </c>
      <c r="G9" s="32">
        <v>0</v>
      </c>
      <c r="H9" s="32">
        <v>0.86799999999999999</v>
      </c>
      <c r="I9" s="32">
        <v>17.742999999999999</v>
      </c>
      <c r="J9" s="32">
        <v>19.117999999999999</v>
      </c>
      <c r="K9" s="32">
        <v>19.623000000000001</v>
      </c>
      <c r="L9" s="32">
        <v>20.468</v>
      </c>
      <c r="M9" s="41" t="s">
        <v>79</v>
      </c>
    </row>
    <row r="10" spans="1:13">
      <c r="A10" t="s">
        <v>75</v>
      </c>
      <c r="B10" t="s">
        <v>84</v>
      </c>
      <c r="C10" t="s">
        <v>85</v>
      </c>
      <c r="D10" t="s">
        <v>86</v>
      </c>
      <c r="E10" t="s">
        <v>72</v>
      </c>
      <c r="F10" s="40">
        <v>0</v>
      </c>
      <c r="G10" s="40">
        <v>0</v>
      </c>
      <c r="H10" s="40">
        <v>0</v>
      </c>
      <c r="I10" s="40">
        <v>117</v>
      </c>
      <c r="J10" s="40">
        <v>117</v>
      </c>
      <c r="K10" s="40">
        <v>175</v>
      </c>
      <c r="L10" s="40">
        <v>175</v>
      </c>
      <c r="M10" s="41" t="s">
        <v>79</v>
      </c>
    </row>
    <row r="11" spans="1:13">
      <c r="A11" t="s">
        <v>75</v>
      </c>
      <c r="B11" t="s">
        <v>87</v>
      </c>
      <c r="C11" t="s">
        <v>88</v>
      </c>
      <c r="D11" t="s">
        <v>78</v>
      </c>
      <c r="E11" t="s">
        <v>72</v>
      </c>
      <c r="F11" s="32">
        <v>678.24128242532845</v>
      </c>
      <c r="G11" s="32">
        <v>838.85920750518312</v>
      </c>
      <c r="H11" s="32">
        <v>918.35791855506159</v>
      </c>
      <c r="I11" s="32">
        <v>1252.510714614566</v>
      </c>
      <c r="J11" s="32">
        <v>1373.6720073368151</v>
      </c>
      <c r="K11" s="32">
        <v>1412.752604889323</v>
      </c>
      <c r="L11" s="32">
        <v>1043.517799885112</v>
      </c>
      <c r="M11" s="41" t="s">
        <v>79</v>
      </c>
    </row>
    <row r="12" spans="1:13">
      <c r="A12" t="s">
        <v>75</v>
      </c>
      <c r="B12" t="s">
        <v>29</v>
      </c>
      <c r="C12" t="s">
        <v>89</v>
      </c>
      <c r="D12" t="s">
        <v>78</v>
      </c>
      <c r="E12" t="s">
        <v>72</v>
      </c>
      <c r="F12" s="41" t="s">
        <v>79</v>
      </c>
      <c r="G12" s="41" t="s">
        <v>79</v>
      </c>
      <c r="H12" s="41" t="s">
        <v>79</v>
      </c>
      <c r="I12" s="41" t="s">
        <v>79</v>
      </c>
      <c r="J12" s="41" t="s">
        <v>79</v>
      </c>
      <c r="K12" s="41" t="s">
        <v>79</v>
      </c>
      <c r="L12" s="41" t="s">
        <v>79</v>
      </c>
      <c r="M12" s="32">
        <v>6050.1791019508782</v>
      </c>
    </row>
    <row r="13" spans="1:13">
      <c r="A13" t="s">
        <v>75</v>
      </c>
      <c r="B13" t="s">
        <v>90</v>
      </c>
      <c r="C13" t="s">
        <v>77</v>
      </c>
      <c r="D13" t="s">
        <v>78</v>
      </c>
      <c r="E13" t="s">
        <v>72</v>
      </c>
      <c r="F13" s="32">
        <v>0</v>
      </c>
      <c r="G13" s="32">
        <v>0</v>
      </c>
      <c r="H13" s="41" t="s">
        <v>79</v>
      </c>
      <c r="I13" s="41" t="s">
        <v>79</v>
      </c>
      <c r="J13" s="41" t="s">
        <v>79</v>
      </c>
      <c r="K13" s="41" t="s">
        <v>79</v>
      </c>
      <c r="L13" s="41" t="s">
        <v>79</v>
      </c>
      <c r="M13" s="41" t="s">
        <v>79</v>
      </c>
    </row>
    <row r="14" spans="1:13">
      <c r="A14" t="s">
        <v>75</v>
      </c>
      <c r="B14" t="s">
        <v>91</v>
      </c>
      <c r="C14" t="s">
        <v>81</v>
      </c>
      <c r="D14" t="s">
        <v>78</v>
      </c>
      <c r="E14" t="s">
        <v>72</v>
      </c>
      <c r="F14" s="32">
        <v>0</v>
      </c>
      <c r="G14" s="32">
        <v>0</v>
      </c>
      <c r="H14" s="41" t="s">
        <v>79</v>
      </c>
      <c r="I14" s="41" t="s">
        <v>79</v>
      </c>
      <c r="J14" s="41" t="s">
        <v>79</v>
      </c>
      <c r="K14" s="41" t="s">
        <v>79</v>
      </c>
      <c r="L14" s="41" t="s">
        <v>79</v>
      </c>
      <c r="M14" s="41" t="s">
        <v>79</v>
      </c>
    </row>
    <row r="15" spans="1:13">
      <c r="A15" t="s">
        <v>75</v>
      </c>
      <c r="B15" t="s">
        <v>92</v>
      </c>
      <c r="C15" t="s">
        <v>83</v>
      </c>
      <c r="D15" t="s">
        <v>78</v>
      </c>
      <c r="E15" t="s">
        <v>72</v>
      </c>
      <c r="F15" s="32">
        <v>0</v>
      </c>
      <c r="G15" s="32">
        <v>0</v>
      </c>
      <c r="H15" s="41" t="s">
        <v>79</v>
      </c>
      <c r="I15" s="41" t="s">
        <v>79</v>
      </c>
      <c r="J15" s="41" t="s">
        <v>79</v>
      </c>
      <c r="K15" s="41" t="s">
        <v>79</v>
      </c>
      <c r="L15" s="41" t="s">
        <v>79</v>
      </c>
      <c r="M15" s="41" t="s">
        <v>79</v>
      </c>
    </row>
    <row r="16" spans="1:13">
      <c r="A16" t="s">
        <v>75</v>
      </c>
      <c r="B16" t="s">
        <v>93</v>
      </c>
      <c r="C16" t="s">
        <v>77</v>
      </c>
      <c r="D16" t="s">
        <v>78</v>
      </c>
      <c r="E16" t="s">
        <v>72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41" t="s">
        <v>79</v>
      </c>
    </row>
    <row r="17" spans="1:13">
      <c r="A17" t="s">
        <v>75</v>
      </c>
      <c r="B17" t="s">
        <v>94</v>
      </c>
      <c r="C17" t="s">
        <v>81</v>
      </c>
      <c r="D17" t="s">
        <v>78</v>
      </c>
      <c r="E17" t="s">
        <v>72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41" t="s">
        <v>79</v>
      </c>
    </row>
    <row r="18" spans="1:13">
      <c r="A18" t="s">
        <v>75</v>
      </c>
      <c r="B18" t="s">
        <v>95</v>
      </c>
      <c r="C18" t="s">
        <v>83</v>
      </c>
      <c r="D18" t="s">
        <v>78</v>
      </c>
      <c r="E18" t="s">
        <v>72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41" t="s">
        <v>79</v>
      </c>
    </row>
    <row r="19" spans="1:13">
      <c r="A19" t="s">
        <v>75</v>
      </c>
      <c r="B19" t="s">
        <v>96</v>
      </c>
      <c r="C19" t="s">
        <v>85</v>
      </c>
      <c r="D19" t="s">
        <v>86</v>
      </c>
      <c r="E19" t="s">
        <v>72</v>
      </c>
      <c r="F19" s="41" t="s">
        <v>79</v>
      </c>
      <c r="G19" s="41" t="s">
        <v>79</v>
      </c>
      <c r="H19" s="41" t="s">
        <v>79</v>
      </c>
      <c r="I19" s="41" t="s">
        <v>79</v>
      </c>
      <c r="J19" s="41" t="s">
        <v>79</v>
      </c>
      <c r="K19" s="41" t="s">
        <v>79</v>
      </c>
      <c r="L19" s="41" t="s">
        <v>79</v>
      </c>
      <c r="M19" s="41" t="s">
        <v>79</v>
      </c>
    </row>
    <row r="20" spans="1:13">
      <c r="A20" t="s">
        <v>97</v>
      </c>
      <c r="B20" t="s">
        <v>76</v>
      </c>
      <c r="C20" t="s">
        <v>77</v>
      </c>
      <c r="D20" t="s">
        <v>78</v>
      </c>
      <c r="E20" t="s">
        <v>72</v>
      </c>
      <c r="F20" s="32">
        <v>0</v>
      </c>
      <c r="G20" s="32">
        <v>0</v>
      </c>
      <c r="H20" s="32">
        <v>2.347</v>
      </c>
      <c r="I20" s="32">
        <v>2.2869999999999999</v>
      </c>
      <c r="J20" s="32">
        <v>0</v>
      </c>
      <c r="K20" s="32">
        <v>0</v>
      </c>
      <c r="L20" s="32">
        <v>0</v>
      </c>
      <c r="M20" s="41" t="s">
        <v>79</v>
      </c>
    </row>
    <row r="21" spans="1:13">
      <c r="A21" t="s">
        <v>97</v>
      </c>
      <c r="B21" t="s">
        <v>80</v>
      </c>
      <c r="C21" t="s">
        <v>81</v>
      </c>
      <c r="D21" t="s">
        <v>78</v>
      </c>
      <c r="E21" t="s">
        <v>72</v>
      </c>
      <c r="F21" s="32">
        <v>0</v>
      </c>
      <c r="G21" s="32">
        <v>0</v>
      </c>
      <c r="H21" s="32">
        <v>0.159</v>
      </c>
      <c r="I21" s="32">
        <v>0.31700000000000012</v>
      </c>
      <c r="J21" s="32">
        <v>0.31900000000000012</v>
      </c>
      <c r="K21" s="32">
        <v>0.32100000000000012</v>
      </c>
      <c r="L21" s="32">
        <v>0.32200000000000012</v>
      </c>
      <c r="M21" s="41" t="s">
        <v>79</v>
      </c>
    </row>
    <row r="22" spans="1:13">
      <c r="A22" t="s">
        <v>97</v>
      </c>
      <c r="B22" t="s">
        <v>82</v>
      </c>
      <c r="C22" t="s">
        <v>83</v>
      </c>
      <c r="D22" t="s">
        <v>78</v>
      </c>
      <c r="E22" t="s">
        <v>72</v>
      </c>
      <c r="F22" s="32">
        <v>0</v>
      </c>
      <c r="G22" s="32">
        <v>0</v>
      </c>
      <c r="H22" s="32">
        <v>2.5059999999999998</v>
      </c>
      <c r="I22" s="32">
        <v>2.6039999999999992</v>
      </c>
      <c r="J22" s="32">
        <v>0.31900000000000012</v>
      </c>
      <c r="K22" s="32">
        <v>0.32100000000000012</v>
      </c>
      <c r="L22" s="32">
        <v>0.32200000000000012</v>
      </c>
      <c r="M22" s="41" t="s">
        <v>79</v>
      </c>
    </row>
    <row r="23" spans="1:13">
      <c r="A23" t="s">
        <v>97</v>
      </c>
      <c r="B23" t="s">
        <v>84</v>
      </c>
      <c r="C23" t="s">
        <v>85</v>
      </c>
      <c r="D23" t="s">
        <v>86</v>
      </c>
      <c r="E23" t="s">
        <v>72</v>
      </c>
      <c r="F23" s="40">
        <v>0</v>
      </c>
      <c r="G23" s="40">
        <v>0</v>
      </c>
      <c r="H23" s="40">
        <v>14</v>
      </c>
      <c r="I23" s="40">
        <v>14</v>
      </c>
      <c r="J23" s="40">
        <v>0</v>
      </c>
      <c r="K23" s="40">
        <v>0</v>
      </c>
      <c r="L23" s="40">
        <v>0</v>
      </c>
      <c r="M23" s="41" t="s">
        <v>79</v>
      </c>
    </row>
    <row r="24" spans="1:13">
      <c r="A24" t="s">
        <v>97</v>
      </c>
      <c r="B24" t="s">
        <v>87</v>
      </c>
      <c r="C24" t="s">
        <v>88</v>
      </c>
      <c r="D24" t="s">
        <v>78</v>
      </c>
      <c r="E24" t="s">
        <v>72</v>
      </c>
      <c r="F24" s="32">
        <v>350.28846713347019</v>
      </c>
      <c r="G24" s="32">
        <v>406.59500000000008</v>
      </c>
      <c r="H24" s="32">
        <v>532.04300000000001</v>
      </c>
      <c r="I24" s="32">
        <v>677.46500000000003</v>
      </c>
      <c r="J24" s="32">
        <v>781.62900000000002</v>
      </c>
      <c r="K24" s="32">
        <v>743.375</v>
      </c>
      <c r="L24" s="32">
        <v>583.65700000000004</v>
      </c>
      <c r="M24" s="41" t="s">
        <v>79</v>
      </c>
    </row>
    <row r="25" spans="1:13">
      <c r="A25" t="s">
        <v>97</v>
      </c>
      <c r="B25" t="s">
        <v>29</v>
      </c>
      <c r="C25" t="s">
        <v>89</v>
      </c>
      <c r="D25" t="s">
        <v>78</v>
      </c>
      <c r="E25" t="s">
        <v>72</v>
      </c>
      <c r="F25" s="41" t="s">
        <v>79</v>
      </c>
      <c r="G25" s="41" t="s">
        <v>79</v>
      </c>
      <c r="H25" s="41" t="s">
        <v>79</v>
      </c>
      <c r="I25" s="41" t="s">
        <v>79</v>
      </c>
      <c r="J25" s="41" t="s">
        <v>79</v>
      </c>
      <c r="K25" s="41" t="s">
        <v>79</v>
      </c>
      <c r="L25" s="41" t="s">
        <v>79</v>
      </c>
      <c r="M25" s="32">
        <v>3318.1690000000003</v>
      </c>
    </row>
    <row r="26" spans="1:13">
      <c r="A26" t="s">
        <v>97</v>
      </c>
      <c r="B26" t="s">
        <v>90</v>
      </c>
      <c r="C26" t="s">
        <v>77</v>
      </c>
      <c r="D26" t="s">
        <v>78</v>
      </c>
      <c r="E26" t="s">
        <v>72</v>
      </c>
      <c r="F26" s="32">
        <v>0</v>
      </c>
      <c r="G26" s="32">
        <v>0</v>
      </c>
      <c r="H26" s="41" t="s">
        <v>79</v>
      </c>
      <c r="I26" s="41" t="s">
        <v>79</v>
      </c>
      <c r="J26" s="41" t="s">
        <v>79</v>
      </c>
      <c r="K26" s="41" t="s">
        <v>79</v>
      </c>
      <c r="L26" s="41" t="s">
        <v>79</v>
      </c>
      <c r="M26" s="41" t="s">
        <v>79</v>
      </c>
    </row>
    <row r="27" spans="1:13">
      <c r="A27" t="s">
        <v>97</v>
      </c>
      <c r="B27" t="s">
        <v>91</v>
      </c>
      <c r="C27" t="s">
        <v>81</v>
      </c>
      <c r="D27" t="s">
        <v>78</v>
      </c>
      <c r="E27" t="s">
        <v>72</v>
      </c>
      <c r="F27" s="32">
        <v>0</v>
      </c>
      <c r="G27" s="32">
        <v>0</v>
      </c>
      <c r="H27" s="41" t="s">
        <v>79</v>
      </c>
      <c r="I27" s="41" t="s">
        <v>79</v>
      </c>
      <c r="J27" s="41" t="s">
        <v>79</v>
      </c>
      <c r="K27" s="41" t="s">
        <v>79</v>
      </c>
      <c r="L27" s="41" t="s">
        <v>79</v>
      </c>
      <c r="M27" s="41" t="s">
        <v>79</v>
      </c>
    </row>
    <row r="28" spans="1:13">
      <c r="A28" t="s">
        <v>97</v>
      </c>
      <c r="B28" t="s">
        <v>92</v>
      </c>
      <c r="C28" t="s">
        <v>83</v>
      </c>
      <c r="D28" t="s">
        <v>78</v>
      </c>
      <c r="E28" t="s">
        <v>72</v>
      </c>
      <c r="F28" s="32">
        <v>0</v>
      </c>
      <c r="G28" s="32">
        <v>0</v>
      </c>
      <c r="H28" s="41" t="s">
        <v>79</v>
      </c>
      <c r="I28" s="41" t="s">
        <v>79</v>
      </c>
      <c r="J28" s="41" t="s">
        <v>79</v>
      </c>
      <c r="K28" s="41" t="s">
        <v>79</v>
      </c>
      <c r="L28" s="41" t="s">
        <v>79</v>
      </c>
      <c r="M28" s="41" t="s">
        <v>79</v>
      </c>
    </row>
    <row r="29" spans="1:13">
      <c r="A29" t="s">
        <v>97</v>
      </c>
      <c r="B29" t="s">
        <v>93</v>
      </c>
      <c r="C29" t="s">
        <v>77</v>
      </c>
      <c r="D29" t="s">
        <v>78</v>
      </c>
      <c r="E29" t="s">
        <v>72</v>
      </c>
      <c r="F29" s="32">
        <v>0</v>
      </c>
      <c r="G29" s="32">
        <v>0</v>
      </c>
      <c r="H29" s="32">
        <v>0</v>
      </c>
      <c r="I29" s="32">
        <v>0</v>
      </c>
      <c r="J29" s="32">
        <v>0</v>
      </c>
      <c r="K29" s="32">
        <v>0</v>
      </c>
      <c r="L29" s="32">
        <v>0</v>
      </c>
      <c r="M29" s="41" t="s">
        <v>79</v>
      </c>
    </row>
    <row r="30" spans="1:13">
      <c r="A30" t="s">
        <v>97</v>
      </c>
      <c r="B30" t="s">
        <v>94</v>
      </c>
      <c r="C30" t="s">
        <v>81</v>
      </c>
      <c r="D30" t="s">
        <v>78</v>
      </c>
      <c r="E30" t="s">
        <v>72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41" t="s">
        <v>79</v>
      </c>
    </row>
    <row r="31" spans="1:13">
      <c r="A31" t="s">
        <v>97</v>
      </c>
      <c r="B31" t="s">
        <v>95</v>
      </c>
      <c r="C31" t="s">
        <v>83</v>
      </c>
      <c r="D31" t="s">
        <v>78</v>
      </c>
      <c r="E31" t="s">
        <v>72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41" t="s">
        <v>79</v>
      </c>
    </row>
    <row r="32" spans="1:13">
      <c r="A32" t="s">
        <v>97</v>
      </c>
      <c r="B32" t="s">
        <v>96</v>
      </c>
      <c r="C32" t="s">
        <v>85</v>
      </c>
      <c r="D32" t="s">
        <v>86</v>
      </c>
      <c r="E32" t="s">
        <v>72</v>
      </c>
      <c r="F32" s="41" t="s">
        <v>79</v>
      </c>
      <c r="G32" s="41" t="s">
        <v>79</v>
      </c>
      <c r="H32" s="41" t="s">
        <v>79</v>
      </c>
      <c r="I32" s="41" t="s">
        <v>79</v>
      </c>
      <c r="J32" s="41" t="s">
        <v>79</v>
      </c>
      <c r="K32" s="41" t="s">
        <v>79</v>
      </c>
      <c r="L32" s="41" t="s">
        <v>79</v>
      </c>
      <c r="M32" s="41" t="s">
        <v>79</v>
      </c>
    </row>
    <row r="33" spans="1:13">
      <c r="A33" t="s">
        <v>98</v>
      </c>
      <c r="B33" t="s">
        <v>76</v>
      </c>
      <c r="C33" t="s">
        <v>77</v>
      </c>
      <c r="D33" t="s">
        <v>78</v>
      </c>
      <c r="E33" t="s">
        <v>72</v>
      </c>
      <c r="F33" s="32">
        <v>0</v>
      </c>
      <c r="G33" s="32">
        <v>0</v>
      </c>
      <c r="H33" s="32">
        <v>0</v>
      </c>
      <c r="I33" s="32">
        <v>0</v>
      </c>
      <c r="J33" s="32">
        <v>0</v>
      </c>
      <c r="K33" s="32">
        <v>0</v>
      </c>
      <c r="L33" s="32">
        <v>0</v>
      </c>
      <c r="M33" s="41" t="s">
        <v>79</v>
      </c>
    </row>
    <row r="34" spans="1:13">
      <c r="A34" t="s">
        <v>98</v>
      </c>
      <c r="B34" t="s">
        <v>80</v>
      </c>
      <c r="C34" t="s">
        <v>81</v>
      </c>
      <c r="D34" t="s">
        <v>78</v>
      </c>
      <c r="E34" t="s">
        <v>72</v>
      </c>
      <c r="F34" s="32">
        <v>0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</v>
      </c>
      <c r="M34" s="41" t="s">
        <v>79</v>
      </c>
    </row>
    <row r="35" spans="1:13">
      <c r="A35" t="s">
        <v>98</v>
      </c>
      <c r="B35" t="s">
        <v>82</v>
      </c>
      <c r="C35" t="s">
        <v>83</v>
      </c>
      <c r="D35" t="s">
        <v>78</v>
      </c>
      <c r="E35" t="s">
        <v>72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41" t="s">
        <v>79</v>
      </c>
    </row>
    <row r="36" spans="1:13">
      <c r="A36" t="s">
        <v>98</v>
      </c>
      <c r="B36" t="s">
        <v>84</v>
      </c>
      <c r="C36" t="s">
        <v>85</v>
      </c>
      <c r="D36" t="s">
        <v>86</v>
      </c>
      <c r="E36" t="s">
        <v>72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1" t="s">
        <v>79</v>
      </c>
    </row>
    <row r="37" spans="1:13">
      <c r="A37" t="s">
        <v>98</v>
      </c>
      <c r="B37" t="s">
        <v>87</v>
      </c>
      <c r="C37" t="s">
        <v>88</v>
      </c>
      <c r="D37" t="s">
        <v>78</v>
      </c>
      <c r="E37" t="s">
        <v>72</v>
      </c>
      <c r="F37" s="32">
        <v>7.3578121791581106</v>
      </c>
      <c r="G37" s="32">
        <v>9.863093736902691</v>
      </c>
      <c r="H37" s="32">
        <v>8.9449866348255469</v>
      </c>
      <c r="I37" s="32">
        <v>10.513360129683161</v>
      </c>
      <c r="J37" s="32">
        <v>14.777142001610789</v>
      </c>
      <c r="K37" s="32">
        <v>17.269327311959941</v>
      </c>
      <c r="L37" s="32">
        <v>9.7979959403769783</v>
      </c>
      <c r="M37" s="41" t="s">
        <v>79</v>
      </c>
    </row>
    <row r="38" spans="1:13">
      <c r="A38" t="s">
        <v>98</v>
      </c>
      <c r="B38" t="s">
        <v>29</v>
      </c>
      <c r="C38" t="s">
        <v>89</v>
      </c>
      <c r="D38" t="s">
        <v>78</v>
      </c>
      <c r="E38" t="s">
        <v>72</v>
      </c>
      <c r="F38" s="41" t="s">
        <v>79</v>
      </c>
      <c r="G38" s="41" t="s">
        <v>79</v>
      </c>
      <c r="H38" s="41" t="s">
        <v>79</v>
      </c>
      <c r="I38" s="41" t="s">
        <v>79</v>
      </c>
      <c r="J38" s="41" t="s">
        <v>79</v>
      </c>
      <c r="K38" s="41" t="s">
        <v>79</v>
      </c>
      <c r="L38" s="41" t="s">
        <v>79</v>
      </c>
      <c r="M38" s="32">
        <v>61.302812018456414</v>
      </c>
    </row>
    <row r="39" spans="1:13">
      <c r="A39" t="s">
        <v>98</v>
      </c>
      <c r="B39" t="s">
        <v>90</v>
      </c>
      <c r="C39" t="s">
        <v>77</v>
      </c>
      <c r="D39" t="s">
        <v>78</v>
      </c>
      <c r="E39" t="s">
        <v>72</v>
      </c>
      <c r="F39" s="32">
        <v>0</v>
      </c>
      <c r="G39" s="32">
        <v>0</v>
      </c>
      <c r="H39" s="41" t="s">
        <v>79</v>
      </c>
      <c r="I39" s="41" t="s">
        <v>79</v>
      </c>
      <c r="J39" s="41" t="s">
        <v>79</v>
      </c>
      <c r="K39" s="41" t="s">
        <v>79</v>
      </c>
      <c r="L39" s="41" t="s">
        <v>79</v>
      </c>
      <c r="M39" s="41" t="s">
        <v>79</v>
      </c>
    </row>
    <row r="40" spans="1:13">
      <c r="A40" t="s">
        <v>98</v>
      </c>
      <c r="B40" t="s">
        <v>91</v>
      </c>
      <c r="C40" t="s">
        <v>81</v>
      </c>
      <c r="D40" t="s">
        <v>78</v>
      </c>
      <c r="E40" t="s">
        <v>72</v>
      </c>
      <c r="F40" s="32">
        <v>0</v>
      </c>
      <c r="G40" s="32">
        <v>0</v>
      </c>
      <c r="H40" s="41" t="s">
        <v>79</v>
      </c>
      <c r="I40" s="41" t="s">
        <v>79</v>
      </c>
      <c r="J40" s="41" t="s">
        <v>79</v>
      </c>
      <c r="K40" s="41" t="s">
        <v>79</v>
      </c>
      <c r="L40" s="41" t="s">
        <v>79</v>
      </c>
      <c r="M40" s="41" t="s">
        <v>79</v>
      </c>
    </row>
    <row r="41" spans="1:13">
      <c r="A41" t="s">
        <v>98</v>
      </c>
      <c r="B41" t="s">
        <v>92</v>
      </c>
      <c r="C41" t="s">
        <v>83</v>
      </c>
      <c r="D41" t="s">
        <v>78</v>
      </c>
      <c r="E41" t="s">
        <v>72</v>
      </c>
      <c r="F41" s="32">
        <v>0</v>
      </c>
      <c r="G41" s="32">
        <v>0</v>
      </c>
      <c r="H41" s="41" t="s">
        <v>79</v>
      </c>
      <c r="I41" s="41" t="s">
        <v>79</v>
      </c>
      <c r="J41" s="41" t="s">
        <v>79</v>
      </c>
      <c r="K41" s="41" t="s">
        <v>79</v>
      </c>
      <c r="L41" s="41" t="s">
        <v>79</v>
      </c>
      <c r="M41" s="41" t="s">
        <v>79</v>
      </c>
    </row>
    <row r="42" spans="1:13">
      <c r="A42" t="s">
        <v>98</v>
      </c>
      <c r="B42" t="s">
        <v>93</v>
      </c>
      <c r="C42" t="s">
        <v>77</v>
      </c>
      <c r="D42" t="s">
        <v>78</v>
      </c>
      <c r="E42" t="s">
        <v>72</v>
      </c>
      <c r="F42" s="32">
        <v>0</v>
      </c>
      <c r="G42" s="32">
        <v>0</v>
      </c>
      <c r="H42" s="32">
        <v>0</v>
      </c>
      <c r="I42" s="32">
        <v>0</v>
      </c>
      <c r="J42" s="32">
        <v>0</v>
      </c>
      <c r="K42" s="32">
        <v>0</v>
      </c>
      <c r="L42" s="32">
        <v>0</v>
      </c>
      <c r="M42" s="41" t="s">
        <v>79</v>
      </c>
    </row>
    <row r="43" spans="1:13">
      <c r="A43" t="s">
        <v>98</v>
      </c>
      <c r="B43" t="s">
        <v>94</v>
      </c>
      <c r="C43" t="s">
        <v>81</v>
      </c>
      <c r="D43" t="s">
        <v>78</v>
      </c>
      <c r="E43" t="s">
        <v>72</v>
      </c>
      <c r="F43" s="32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41" t="s">
        <v>79</v>
      </c>
    </row>
    <row r="44" spans="1:13">
      <c r="A44" t="s">
        <v>98</v>
      </c>
      <c r="B44" t="s">
        <v>95</v>
      </c>
      <c r="C44" t="s">
        <v>83</v>
      </c>
      <c r="D44" t="s">
        <v>78</v>
      </c>
      <c r="E44" t="s">
        <v>72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41" t="s">
        <v>79</v>
      </c>
    </row>
    <row r="45" spans="1:13">
      <c r="A45" t="s">
        <v>98</v>
      </c>
      <c r="B45" t="s">
        <v>96</v>
      </c>
      <c r="C45" t="s">
        <v>85</v>
      </c>
      <c r="D45" t="s">
        <v>86</v>
      </c>
      <c r="E45" t="s">
        <v>72</v>
      </c>
      <c r="F45" s="41" t="s">
        <v>79</v>
      </c>
      <c r="G45" s="41" t="s">
        <v>79</v>
      </c>
      <c r="H45" s="41" t="s">
        <v>79</v>
      </c>
      <c r="I45" s="41" t="s">
        <v>79</v>
      </c>
      <c r="J45" s="41" t="s">
        <v>79</v>
      </c>
      <c r="K45" s="41" t="s">
        <v>79</v>
      </c>
      <c r="L45" s="41" t="s">
        <v>79</v>
      </c>
      <c r="M45" s="41" t="s">
        <v>79</v>
      </c>
    </row>
    <row r="46" spans="1:13">
      <c r="A46" t="s">
        <v>99</v>
      </c>
      <c r="B46" t="s">
        <v>76</v>
      </c>
      <c r="C46" t="s">
        <v>77</v>
      </c>
      <c r="D46" t="s">
        <v>78</v>
      </c>
      <c r="E46" t="s">
        <v>72</v>
      </c>
      <c r="F46" s="32">
        <v>0</v>
      </c>
      <c r="G46" s="32">
        <v>0</v>
      </c>
      <c r="H46" s="32">
        <v>2.718</v>
      </c>
      <c r="I46" s="32">
        <v>12.323</v>
      </c>
      <c r="J46" s="32">
        <v>12.449</v>
      </c>
      <c r="K46" s="32">
        <v>12.323</v>
      </c>
      <c r="L46" s="32">
        <v>12.449</v>
      </c>
      <c r="M46" s="41" t="s">
        <v>79</v>
      </c>
    </row>
    <row r="47" spans="1:13">
      <c r="A47" t="s">
        <v>99</v>
      </c>
      <c r="B47" t="s">
        <v>80</v>
      </c>
      <c r="C47" t="s">
        <v>81</v>
      </c>
      <c r="D47" t="s">
        <v>78</v>
      </c>
      <c r="E47" t="s">
        <v>72</v>
      </c>
      <c r="F47" s="32">
        <v>0</v>
      </c>
      <c r="G47" s="32">
        <v>0</v>
      </c>
      <c r="H47" s="32">
        <v>0</v>
      </c>
      <c r="I47" s="32">
        <v>0</v>
      </c>
      <c r="J47" s="32">
        <v>0.52900000000000003</v>
      </c>
      <c r="K47" s="32">
        <v>1.0640000000000001</v>
      </c>
      <c r="L47" s="32">
        <v>1.593</v>
      </c>
      <c r="M47" s="41" t="s">
        <v>79</v>
      </c>
    </row>
    <row r="48" spans="1:13">
      <c r="A48" t="s">
        <v>99</v>
      </c>
      <c r="B48" t="s">
        <v>82</v>
      </c>
      <c r="C48" t="s">
        <v>83</v>
      </c>
      <c r="D48" t="s">
        <v>78</v>
      </c>
      <c r="E48" t="s">
        <v>72</v>
      </c>
      <c r="F48" s="32">
        <v>0</v>
      </c>
      <c r="G48" s="32">
        <v>0</v>
      </c>
      <c r="H48" s="32">
        <v>2.718</v>
      </c>
      <c r="I48" s="32">
        <v>12.323</v>
      </c>
      <c r="J48" s="32">
        <v>12.978</v>
      </c>
      <c r="K48" s="32">
        <v>13.387</v>
      </c>
      <c r="L48" s="32">
        <v>14.042</v>
      </c>
      <c r="M48" s="41" t="s">
        <v>79</v>
      </c>
    </row>
    <row r="49" spans="1:13">
      <c r="A49" t="s">
        <v>99</v>
      </c>
      <c r="B49" t="s">
        <v>84</v>
      </c>
      <c r="C49" t="s">
        <v>85</v>
      </c>
      <c r="D49" t="s">
        <v>86</v>
      </c>
      <c r="E49" t="s">
        <v>72</v>
      </c>
      <c r="F49" s="40">
        <v>0</v>
      </c>
      <c r="G49" s="40">
        <v>0</v>
      </c>
      <c r="H49" s="40">
        <v>0</v>
      </c>
      <c r="I49" s="40">
        <v>97</v>
      </c>
      <c r="J49" s="40">
        <v>98</v>
      </c>
      <c r="K49" s="40">
        <v>97</v>
      </c>
      <c r="L49" s="40">
        <v>98</v>
      </c>
      <c r="M49" s="41" t="s">
        <v>79</v>
      </c>
    </row>
    <row r="50" spans="1:13">
      <c r="A50" t="s">
        <v>99</v>
      </c>
      <c r="B50" t="s">
        <v>87</v>
      </c>
      <c r="C50" t="s">
        <v>88</v>
      </c>
      <c r="D50" t="s">
        <v>78</v>
      </c>
      <c r="E50" t="s">
        <v>72</v>
      </c>
      <c r="F50" s="32">
        <v>269.75279587178778</v>
      </c>
      <c r="G50" s="32">
        <v>351.36383189367382</v>
      </c>
      <c r="H50" s="32">
        <v>637.49235151146331</v>
      </c>
      <c r="I50" s="32">
        <v>649.43938105100824</v>
      </c>
      <c r="J50" s="32">
        <v>633.75696696428611</v>
      </c>
      <c r="K50" s="32">
        <v>617.35869124562396</v>
      </c>
      <c r="L50" s="32">
        <v>590.04476795521828</v>
      </c>
      <c r="M50" s="41" t="s">
        <v>79</v>
      </c>
    </row>
    <row r="51" spans="1:13">
      <c r="A51" t="s">
        <v>99</v>
      </c>
      <c r="B51" t="s">
        <v>29</v>
      </c>
      <c r="C51" t="s">
        <v>89</v>
      </c>
      <c r="D51" t="s">
        <v>78</v>
      </c>
      <c r="E51" t="s">
        <v>72</v>
      </c>
      <c r="F51" s="41" t="s">
        <v>79</v>
      </c>
      <c r="G51" s="41" t="s">
        <v>79</v>
      </c>
      <c r="H51" s="41" t="s">
        <v>79</v>
      </c>
      <c r="I51" s="41" t="s">
        <v>79</v>
      </c>
      <c r="J51" s="41" t="s">
        <v>79</v>
      </c>
      <c r="K51" s="41" t="s">
        <v>79</v>
      </c>
      <c r="L51" s="41" t="s">
        <v>79</v>
      </c>
      <c r="M51" s="32">
        <v>3207.9274023759344</v>
      </c>
    </row>
    <row r="52" spans="1:13">
      <c r="A52" t="s">
        <v>99</v>
      </c>
      <c r="B52" t="s">
        <v>90</v>
      </c>
      <c r="C52" t="s">
        <v>77</v>
      </c>
      <c r="D52" t="s">
        <v>78</v>
      </c>
      <c r="E52" t="s">
        <v>72</v>
      </c>
      <c r="F52" s="32">
        <v>0</v>
      </c>
      <c r="G52" s="32">
        <v>0</v>
      </c>
      <c r="H52" s="41" t="s">
        <v>79</v>
      </c>
      <c r="I52" s="41" t="s">
        <v>79</v>
      </c>
      <c r="J52" s="41" t="s">
        <v>79</v>
      </c>
      <c r="K52" s="41" t="s">
        <v>79</v>
      </c>
      <c r="L52" s="41" t="s">
        <v>79</v>
      </c>
      <c r="M52" s="41" t="s">
        <v>79</v>
      </c>
    </row>
    <row r="53" spans="1:13">
      <c r="A53" t="s">
        <v>99</v>
      </c>
      <c r="B53" t="s">
        <v>91</v>
      </c>
      <c r="C53" t="s">
        <v>81</v>
      </c>
      <c r="D53" t="s">
        <v>78</v>
      </c>
      <c r="E53" t="s">
        <v>72</v>
      </c>
      <c r="F53" s="32">
        <v>0</v>
      </c>
      <c r="G53" s="32">
        <v>0</v>
      </c>
      <c r="H53" s="41" t="s">
        <v>79</v>
      </c>
      <c r="I53" s="41" t="s">
        <v>79</v>
      </c>
      <c r="J53" s="41" t="s">
        <v>79</v>
      </c>
      <c r="K53" s="41" t="s">
        <v>79</v>
      </c>
      <c r="L53" s="41" t="s">
        <v>79</v>
      </c>
      <c r="M53" s="41" t="s">
        <v>79</v>
      </c>
    </row>
    <row r="54" spans="1:13">
      <c r="A54" t="s">
        <v>99</v>
      </c>
      <c r="B54" t="s">
        <v>92</v>
      </c>
      <c r="C54" t="s">
        <v>83</v>
      </c>
      <c r="D54" t="s">
        <v>78</v>
      </c>
      <c r="E54" t="s">
        <v>72</v>
      </c>
      <c r="F54" s="32">
        <v>0</v>
      </c>
      <c r="G54" s="32">
        <v>0</v>
      </c>
      <c r="H54" s="41" t="s">
        <v>79</v>
      </c>
      <c r="I54" s="41" t="s">
        <v>79</v>
      </c>
      <c r="J54" s="41" t="s">
        <v>79</v>
      </c>
      <c r="K54" s="41" t="s">
        <v>79</v>
      </c>
      <c r="L54" s="41" t="s">
        <v>79</v>
      </c>
      <c r="M54" s="41" t="s">
        <v>79</v>
      </c>
    </row>
    <row r="55" spans="1:13">
      <c r="A55" t="s">
        <v>99</v>
      </c>
      <c r="B55" t="s">
        <v>93</v>
      </c>
      <c r="C55" t="s">
        <v>77</v>
      </c>
      <c r="D55" t="s">
        <v>78</v>
      </c>
      <c r="E55" t="s">
        <v>72</v>
      </c>
      <c r="F55" s="32">
        <v>0</v>
      </c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41" t="s">
        <v>79</v>
      </c>
    </row>
    <row r="56" spans="1:13">
      <c r="A56" t="s">
        <v>99</v>
      </c>
      <c r="B56" t="s">
        <v>94</v>
      </c>
      <c r="C56" t="s">
        <v>81</v>
      </c>
      <c r="D56" t="s">
        <v>78</v>
      </c>
      <c r="E56" t="s">
        <v>72</v>
      </c>
      <c r="F56" s="32">
        <v>0</v>
      </c>
      <c r="G56" s="32">
        <v>0</v>
      </c>
      <c r="H56" s="32">
        <v>0</v>
      </c>
      <c r="I56" s="32">
        <v>0</v>
      </c>
      <c r="J56" s="32">
        <v>0</v>
      </c>
      <c r="K56" s="32">
        <v>0</v>
      </c>
      <c r="L56" s="32">
        <v>0</v>
      </c>
      <c r="M56" s="41" t="s">
        <v>79</v>
      </c>
    </row>
    <row r="57" spans="1:13">
      <c r="A57" t="s">
        <v>99</v>
      </c>
      <c r="B57" t="s">
        <v>95</v>
      </c>
      <c r="C57" t="s">
        <v>83</v>
      </c>
      <c r="D57" t="s">
        <v>78</v>
      </c>
      <c r="E57" t="s">
        <v>72</v>
      </c>
      <c r="F57" s="32">
        <v>0</v>
      </c>
      <c r="G57" s="32">
        <v>0</v>
      </c>
      <c r="H57" s="32">
        <v>0</v>
      </c>
      <c r="I57" s="32">
        <v>0</v>
      </c>
      <c r="J57" s="32">
        <v>0</v>
      </c>
      <c r="K57" s="32">
        <v>0</v>
      </c>
      <c r="L57" s="32">
        <v>0</v>
      </c>
      <c r="M57" s="41" t="s">
        <v>79</v>
      </c>
    </row>
    <row r="58" spans="1:13">
      <c r="A58" t="s">
        <v>99</v>
      </c>
      <c r="B58" t="s">
        <v>96</v>
      </c>
      <c r="C58" t="s">
        <v>85</v>
      </c>
      <c r="D58" t="s">
        <v>86</v>
      </c>
      <c r="E58" t="s">
        <v>72</v>
      </c>
      <c r="F58" s="41" t="s">
        <v>79</v>
      </c>
      <c r="G58" s="41" t="s">
        <v>79</v>
      </c>
      <c r="H58" s="41" t="s">
        <v>79</v>
      </c>
      <c r="I58" s="41" t="s">
        <v>79</v>
      </c>
      <c r="J58" s="41" t="s">
        <v>79</v>
      </c>
      <c r="K58" s="41" t="s">
        <v>79</v>
      </c>
      <c r="L58" s="41" t="s">
        <v>79</v>
      </c>
      <c r="M58" s="41" t="s">
        <v>79</v>
      </c>
    </row>
    <row r="59" spans="1:13">
      <c r="A59" t="s">
        <v>100</v>
      </c>
      <c r="B59" t="s">
        <v>76</v>
      </c>
      <c r="C59" t="s">
        <v>77</v>
      </c>
      <c r="D59" t="s">
        <v>78</v>
      </c>
      <c r="E59" t="s">
        <v>72</v>
      </c>
      <c r="F59" s="32">
        <v>0</v>
      </c>
      <c r="G59" s="32">
        <v>21.777000000000001</v>
      </c>
      <c r="H59" s="32">
        <v>8.4819999999999993</v>
      </c>
      <c r="I59" s="32">
        <v>8.4819999999999975</v>
      </c>
      <c r="J59" s="32">
        <v>8.4819999999999975</v>
      </c>
      <c r="K59" s="32">
        <v>8.4830000000000005</v>
      </c>
      <c r="L59" s="32">
        <v>8.484</v>
      </c>
      <c r="M59" s="41" t="s">
        <v>79</v>
      </c>
    </row>
    <row r="60" spans="1:13">
      <c r="A60" t="s">
        <v>100</v>
      </c>
      <c r="B60" t="s">
        <v>80</v>
      </c>
      <c r="C60" t="s">
        <v>81</v>
      </c>
      <c r="D60" t="s">
        <v>78</v>
      </c>
      <c r="E60" t="s">
        <v>72</v>
      </c>
      <c r="F60" s="32">
        <v>0</v>
      </c>
      <c r="G60" s="32">
        <v>0.61099999999999999</v>
      </c>
      <c r="H60" s="32">
        <v>0.79999999999999993</v>
      </c>
      <c r="I60" s="32">
        <v>1.6</v>
      </c>
      <c r="J60" s="32">
        <v>2.4</v>
      </c>
      <c r="K60" s="32">
        <v>3.21</v>
      </c>
      <c r="L60" s="32">
        <v>4.01</v>
      </c>
      <c r="M60" s="41" t="s">
        <v>79</v>
      </c>
    </row>
    <row r="61" spans="1:13">
      <c r="A61" t="s">
        <v>100</v>
      </c>
      <c r="B61" t="s">
        <v>82</v>
      </c>
      <c r="C61" t="s">
        <v>83</v>
      </c>
      <c r="D61" t="s">
        <v>78</v>
      </c>
      <c r="E61" t="s">
        <v>72</v>
      </c>
      <c r="F61" s="32">
        <v>0</v>
      </c>
      <c r="G61" s="32">
        <v>22.388000000000002</v>
      </c>
      <c r="H61" s="32">
        <v>9.282</v>
      </c>
      <c r="I61" s="32">
        <v>10.082000000000001</v>
      </c>
      <c r="J61" s="32">
        <v>10.882</v>
      </c>
      <c r="K61" s="32">
        <v>11.693</v>
      </c>
      <c r="L61" s="32">
        <v>12.494</v>
      </c>
      <c r="M61" s="41" t="s">
        <v>79</v>
      </c>
    </row>
    <row r="62" spans="1:13">
      <c r="A62" t="s">
        <v>100</v>
      </c>
      <c r="B62" t="s">
        <v>84</v>
      </c>
      <c r="C62" t="s">
        <v>85</v>
      </c>
      <c r="D62" t="s">
        <v>86</v>
      </c>
      <c r="E62" t="s">
        <v>72</v>
      </c>
      <c r="F62" s="40">
        <v>0</v>
      </c>
      <c r="G62" s="40">
        <v>0</v>
      </c>
      <c r="H62" s="40">
        <v>82</v>
      </c>
      <c r="I62" s="40">
        <v>82</v>
      </c>
      <c r="J62" s="40">
        <v>82</v>
      </c>
      <c r="K62" s="40">
        <v>82</v>
      </c>
      <c r="L62" s="40">
        <v>81</v>
      </c>
      <c r="M62" s="41" t="s">
        <v>79</v>
      </c>
    </row>
    <row r="63" spans="1:13">
      <c r="A63" t="s">
        <v>100</v>
      </c>
      <c r="B63" t="s">
        <v>87</v>
      </c>
      <c r="C63" t="s">
        <v>88</v>
      </c>
      <c r="D63" t="s">
        <v>78</v>
      </c>
      <c r="E63" t="s">
        <v>72</v>
      </c>
      <c r="F63" s="32">
        <v>333.01299999999998</v>
      </c>
      <c r="G63" s="32">
        <v>359.33790081544743</v>
      </c>
      <c r="H63" s="32">
        <v>424.43672704840031</v>
      </c>
      <c r="I63" s="32">
        <v>452.43411651686932</v>
      </c>
      <c r="J63" s="32">
        <v>438.9042052475661</v>
      </c>
      <c r="K63" s="32">
        <v>443.81161410521469</v>
      </c>
      <c r="L63" s="32">
        <v>366.29748727458627</v>
      </c>
      <c r="M63" s="41" t="s">
        <v>79</v>
      </c>
    </row>
    <row r="64" spans="1:13">
      <c r="A64" t="s">
        <v>100</v>
      </c>
      <c r="B64" t="s">
        <v>29</v>
      </c>
      <c r="C64" t="s">
        <v>89</v>
      </c>
      <c r="D64" t="s">
        <v>78</v>
      </c>
      <c r="E64" t="s">
        <v>72</v>
      </c>
      <c r="F64" s="41" t="s">
        <v>79</v>
      </c>
      <c r="G64" s="41" t="s">
        <v>79</v>
      </c>
      <c r="H64" s="41" t="s">
        <v>79</v>
      </c>
      <c r="I64" s="41" t="s">
        <v>79</v>
      </c>
      <c r="J64" s="41" t="s">
        <v>79</v>
      </c>
      <c r="K64" s="41" t="s">
        <v>79</v>
      </c>
      <c r="L64" s="41" t="s">
        <v>79</v>
      </c>
      <c r="M64" s="32">
        <v>2220.3792602351086</v>
      </c>
    </row>
    <row r="65" spans="1:13">
      <c r="A65" t="s">
        <v>100</v>
      </c>
      <c r="B65" t="s">
        <v>90</v>
      </c>
      <c r="C65" t="s">
        <v>77</v>
      </c>
      <c r="D65" t="s">
        <v>78</v>
      </c>
      <c r="E65" t="s">
        <v>72</v>
      </c>
      <c r="F65" s="32">
        <v>0</v>
      </c>
      <c r="G65" s="32">
        <v>0</v>
      </c>
      <c r="H65" s="41" t="s">
        <v>79</v>
      </c>
      <c r="I65" s="41" t="s">
        <v>79</v>
      </c>
      <c r="J65" s="41" t="s">
        <v>79</v>
      </c>
      <c r="K65" s="41" t="s">
        <v>79</v>
      </c>
      <c r="L65" s="41" t="s">
        <v>79</v>
      </c>
      <c r="M65" s="41" t="s">
        <v>79</v>
      </c>
    </row>
    <row r="66" spans="1:13">
      <c r="A66" t="s">
        <v>100</v>
      </c>
      <c r="B66" t="s">
        <v>91</v>
      </c>
      <c r="C66" t="s">
        <v>81</v>
      </c>
      <c r="D66" t="s">
        <v>78</v>
      </c>
      <c r="E66" t="s">
        <v>72</v>
      </c>
      <c r="F66" s="32">
        <v>0</v>
      </c>
      <c r="G66" s="32">
        <v>0</v>
      </c>
      <c r="H66" s="41" t="s">
        <v>79</v>
      </c>
      <c r="I66" s="41" t="s">
        <v>79</v>
      </c>
      <c r="J66" s="41" t="s">
        <v>79</v>
      </c>
      <c r="K66" s="41" t="s">
        <v>79</v>
      </c>
      <c r="L66" s="41" t="s">
        <v>79</v>
      </c>
      <c r="M66" s="41" t="s">
        <v>79</v>
      </c>
    </row>
    <row r="67" spans="1:13">
      <c r="A67" t="s">
        <v>100</v>
      </c>
      <c r="B67" t="s">
        <v>92</v>
      </c>
      <c r="C67" t="s">
        <v>83</v>
      </c>
      <c r="D67" t="s">
        <v>78</v>
      </c>
      <c r="E67" t="s">
        <v>72</v>
      </c>
      <c r="F67" s="32">
        <v>0</v>
      </c>
      <c r="G67" s="32">
        <v>0</v>
      </c>
      <c r="H67" s="41" t="s">
        <v>79</v>
      </c>
      <c r="I67" s="41" t="s">
        <v>79</v>
      </c>
      <c r="J67" s="41" t="s">
        <v>79</v>
      </c>
      <c r="K67" s="41" t="s">
        <v>79</v>
      </c>
      <c r="L67" s="41" t="s">
        <v>79</v>
      </c>
      <c r="M67" s="41" t="s">
        <v>79</v>
      </c>
    </row>
    <row r="68" spans="1:13">
      <c r="A68" t="s">
        <v>100</v>
      </c>
      <c r="B68" t="s">
        <v>93</v>
      </c>
      <c r="C68" t="s">
        <v>77</v>
      </c>
      <c r="D68" t="s">
        <v>78</v>
      </c>
      <c r="E68" t="s">
        <v>72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41" t="s">
        <v>79</v>
      </c>
    </row>
    <row r="69" spans="1:13">
      <c r="A69" t="s">
        <v>100</v>
      </c>
      <c r="B69" t="s">
        <v>94</v>
      </c>
      <c r="C69" t="s">
        <v>81</v>
      </c>
      <c r="D69" t="s">
        <v>78</v>
      </c>
      <c r="E69" t="s">
        <v>72</v>
      </c>
      <c r="F69" s="32">
        <v>0</v>
      </c>
      <c r="G69" s="32">
        <v>0</v>
      </c>
      <c r="H69" s="32">
        <v>0</v>
      </c>
      <c r="I69" s="32">
        <v>0</v>
      </c>
      <c r="J69" s="32">
        <v>0</v>
      </c>
      <c r="K69" s="32">
        <v>0</v>
      </c>
      <c r="L69" s="32">
        <v>0</v>
      </c>
      <c r="M69" s="41" t="s">
        <v>79</v>
      </c>
    </row>
    <row r="70" spans="1:13">
      <c r="A70" t="s">
        <v>100</v>
      </c>
      <c r="B70" t="s">
        <v>95</v>
      </c>
      <c r="C70" t="s">
        <v>83</v>
      </c>
      <c r="D70" t="s">
        <v>78</v>
      </c>
      <c r="E70" t="s">
        <v>72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41" t="s">
        <v>79</v>
      </c>
    </row>
    <row r="71" spans="1:13">
      <c r="A71" t="s">
        <v>100</v>
      </c>
      <c r="B71" t="s">
        <v>96</v>
      </c>
      <c r="C71" t="s">
        <v>85</v>
      </c>
      <c r="D71" t="s">
        <v>86</v>
      </c>
      <c r="E71" t="s">
        <v>72</v>
      </c>
      <c r="F71" s="41" t="s">
        <v>79</v>
      </c>
      <c r="G71" s="41" t="s">
        <v>79</v>
      </c>
      <c r="H71" s="41" t="s">
        <v>79</v>
      </c>
      <c r="I71" s="41" t="s">
        <v>79</v>
      </c>
      <c r="J71" s="41" t="s">
        <v>79</v>
      </c>
      <c r="K71" s="41" t="s">
        <v>79</v>
      </c>
      <c r="L71" s="41" t="s">
        <v>79</v>
      </c>
      <c r="M71" s="41" t="s">
        <v>79</v>
      </c>
    </row>
    <row r="72" spans="1:13">
      <c r="A72" t="s">
        <v>101</v>
      </c>
      <c r="B72" t="s">
        <v>76</v>
      </c>
      <c r="C72" t="s">
        <v>77</v>
      </c>
      <c r="D72" t="s">
        <v>78</v>
      </c>
      <c r="E72" t="s">
        <v>72</v>
      </c>
      <c r="F72" s="32">
        <v>0</v>
      </c>
      <c r="G72" s="32">
        <v>0.9697382180509998</v>
      </c>
      <c r="H72" s="32">
        <v>9.3602482771628619</v>
      </c>
      <c r="I72" s="32">
        <v>25.06536475297904</v>
      </c>
      <c r="J72" s="32">
        <v>25.217983996970261</v>
      </c>
      <c r="K72" s="32">
        <v>25.371532176351359</v>
      </c>
      <c r="L72" s="32">
        <v>25.52601596625794</v>
      </c>
      <c r="M72" s="41" t="s">
        <v>79</v>
      </c>
    </row>
    <row r="73" spans="1:13">
      <c r="A73" t="s">
        <v>101</v>
      </c>
      <c r="B73" t="s">
        <v>80</v>
      </c>
      <c r="C73" t="s">
        <v>81</v>
      </c>
      <c r="D73" t="s">
        <v>78</v>
      </c>
      <c r="E73" t="s">
        <v>72</v>
      </c>
      <c r="F73" s="32">
        <v>0</v>
      </c>
      <c r="G73" s="32">
        <v>0</v>
      </c>
      <c r="H73" s="32">
        <v>0.17641498513490539</v>
      </c>
      <c r="I73" s="32">
        <v>1.4727795452934</v>
      </c>
      <c r="J73" s="32">
        <v>4.4063431072326198</v>
      </c>
      <c r="K73" s="32">
        <v>7.2175380334214703</v>
      </c>
      <c r="L73" s="32">
        <v>9.7805257958183969</v>
      </c>
      <c r="M73" s="41" t="s">
        <v>79</v>
      </c>
    </row>
    <row r="74" spans="1:13">
      <c r="A74" t="s">
        <v>101</v>
      </c>
      <c r="B74" t="s">
        <v>82</v>
      </c>
      <c r="C74" t="s">
        <v>83</v>
      </c>
      <c r="D74" t="s">
        <v>78</v>
      </c>
      <c r="E74" t="s">
        <v>72</v>
      </c>
      <c r="F74" s="32">
        <v>0</v>
      </c>
      <c r="G74" s="32">
        <v>0.9697382180509998</v>
      </c>
      <c r="H74" s="32">
        <v>9.5366632622977665</v>
      </c>
      <c r="I74" s="32">
        <v>26.538144298272439</v>
      </c>
      <c r="J74" s="32">
        <v>29.62432710420288</v>
      </c>
      <c r="K74" s="32">
        <v>32.589070209772828</v>
      </c>
      <c r="L74" s="32">
        <v>35.306541762076343</v>
      </c>
      <c r="M74" s="41" t="s">
        <v>79</v>
      </c>
    </row>
    <row r="75" spans="1:13">
      <c r="A75" t="s">
        <v>101</v>
      </c>
      <c r="B75" t="s">
        <v>84</v>
      </c>
      <c r="C75" t="s">
        <v>85</v>
      </c>
      <c r="D75" t="s">
        <v>86</v>
      </c>
      <c r="E75" t="s">
        <v>72</v>
      </c>
      <c r="F75" s="40">
        <v>0</v>
      </c>
      <c r="G75" s="40">
        <v>0</v>
      </c>
      <c r="H75" s="40">
        <v>0</v>
      </c>
      <c r="I75" s="40">
        <v>250</v>
      </c>
      <c r="J75" s="40">
        <v>250</v>
      </c>
      <c r="K75" s="40">
        <v>250</v>
      </c>
      <c r="L75" s="40">
        <v>250</v>
      </c>
      <c r="M75" s="41" t="s">
        <v>79</v>
      </c>
    </row>
    <row r="76" spans="1:13">
      <c r="A76" t="s">
        <v>101</v>
      </c>
      <c r="B76" t="s">
        <v>87</v>
      </c>
      <c r="C76" t="s">
        <v>88</v>
      </c>
      <c r="D76" t="s">
        <v>78</v>
      </c>
      <c r="E76" t="s">
        <v>72</v>
      </c>
      <c r="F76" s="32">
        <v>1013.002282116595</v>
      </c>
      <c r="G76" s="32">
        <v>1268.46895089945</v>
      </c>
      <c r="H76" s="32">
        <v>1627.130482039277</v>
      </c>
      <c r="I76" s="32">
        <v>1799.6345533549929</v>
      </c>
      <c r="J76" s="32">
        <v>1751.178437326055</v>
      </c>
      <c r="K76" s="32">
        <v>1716.7333477224111</v>
      </c>
      <c r="L76" s="32">
        <v>1480.0957061431859</v>
      </c>
      <c r="M76" s="41" t="s">
        <v>79</v>
      </c>
    </row>
    <row r="77" spans="1:13">
      <c r="A77" t="s">
        <v>101</v>
      </c>
      <c r="B77" t="s">
        <v>29</v>
      </c>
      <c r="C77" t="s">
        <v>89</v>
      </c>
      <c r="D77" t="s">
        <v>78</v>
      </c>
      <c r="E77" t="s">
        <v>72</v>
      </c>
      <c r="F77" s="41" t="s">
        <v>79</v>
      </c>
      <c r="G77" s="41" t="s">
        <v>79</v>
      </c>
      <c r="H77" s="41" t="s">
        <v>79</v>
      </c>
      <c r="I77" s="41" t="s">
        <v>79</v>
      </c>
      <c r="J77" s="41" t="s">
        <v>79</v>
      </c>
      <c r="K77" s="41" t="s">
        <v>79</v>
      </c>
      <c r="L77" s="41" t="s">
        <v>79</v>
      </c>
      <c r="M77" s="32">
        <v>8618.71199666149</v>
      </c>
    </row>
    <row r="78" spans="1:13">
      <c r="A78" t="s">
        <v>101</v>
      </c>
      <c r="B78" t="s">
        <v>90</v>
      </c>
      <c r="C78" t="s">
        <v>77</v>
      </c>
      <c r="D78" t="s">
        <v>78</v>
      </c>
      <c r="E78" t="s">
        <v>72</v>
      </c>
      <c r="F78" s="32">
        <v>0</v>
      </c>
      <c r="G78" s="32">
        <v>0.7524168125794064</v>
      </c>
      <c r="H78" s="41" t="s">
        <v>79</v>
      </c>
      <c r="I78" s="41" t="s">
        <v>79</v>
      </c>
      <c r="J78" s="41" t="s">
        <v>79</v>
      </c>
      <c r="K78" s="41" t="s">
        <v>79</v>
      </c>
      <c r="L78" s="41" t="s">
        <v>79</v>
      </c>
      <c r="M78" s="41" t="s">
        <v>79</v>
      </c>
    </row>
    <row r="79" spans="1:13">
      <c r="A79" t="s">
        <v>101</v>
      </c>
      <c r="B79" t="s">
        <v>91</v>
      </c>
      <c r="C79" t="s">
        <v>81</v>
      </c>
      <c r="D79" t="s">
        <v>78</v>
      </c>
      <c r="E79" t="s">
        <v>72</v>
      </c>
      <c r="F79" s="32">
        <v>0</v>
      </c>
      <c r="G79" s="32">
        <v>0</v>
      </c>
      <c r="H79" s="41" t="s">
        <v>79</v>
      </c>
      <c r="I79" s="41" t="s">
        <v>79</v>
      </c>
      <c r="J79" s="41" t="s">
        <v>79</v>
      </c>
      <c r="K79" s="41" t="s">
        <v>79</v>
      </c>
      <c r="L79" s="41" t="s">
        <v>79</v>
      </c>
      <c r="M79" s="41" t="s">
        <v>79</v>
      </c>
    </row>
    <row r="80" spans="1:13">
      <c r="A80" t="s">
        <v>101</v>
      </c>
      <c r="B80" t="s">
        <v>92</v>
      </c>
      <c r="C80" t="s">
        <v>83</v>
      </c>
      <c r="D80" t="s">
        <v>78</v>
      </c>
      <c r="E80" t="s">
        <v>72</v>
      </c>
      <c r="F80" s="32">
        <v>0</v>
      </c>
      <c r="G80" s="32">
        <v>0.7524168125794064</v>
      </c>
      <c r="H80" s="41" t="s">
        <v>79</v>
      </c>
      <c r="I80" s="41" t="s">
        <v>79</v>
      </c>
      <c r="J80" s="41" t="s">
        <v>79</v>
      </c>
      <c r="K80" s="41" t="s">
        <v>79</v>
      </c>
      <c r="L80" s="41" t="s">
        <v>79</v>
      </c>
      <c r="M80" s="41" t="s">
        <v>79</v>
      </c>
    </row>
    <row r="81" spans="1:13">
      <c r="A81" t="s">
        <v>101</v>
      </c>
      <c r="B81" t="s">
        <v>93</v>
      </c>
      <c r="C81" t="s">
        <v>77</v>
      </c>
      <c r="D81" t="s">
        <v>78</v>
      </c>
      <c r="E81" t="s">
        <v>72</v>
      </c>
      <c r="F81" s="32">
        <v>0</v>
      </c>
      <c r="G81" s="32">
        <v>0</v>
      </c>
      <c r="H81" s="32">
        <v>0</v>
      </c>
      <c r="I81" s="32">
        <v>0</v>
      </c>
      <c r="J81" s="32">
        <v>0</v>
      </c>
      <c r="K81" s="32">
        <v>0</v>
      </c>
      <c r="L81" s="32">
        <v>0</v>
      </c>
      <c r="M81" s="41" t="s">
        <v>79</v>
      </c>
    </row>
    <row r="82" spans="1:13">
      <c r="A82" t="s">
        <v>101</v>
      </c>
      <c r="B82" t="s">
        <v>94</v>
      </c>
      <c r="C82" t="s">
        <v>81</v>
      </c>
      <c r="D82" t="s">
        <v>78</v>
      </c>
      <c r="E82" t="s">
        <v>72</v>
      </c>
      <c r="F82" s="32">
        <v>0</v>
      </c>
      <c r="G82" s="32">
        <v>0</v>
      </c>
      <c r="H82" s="32">
        <v>0</v>
      </c>
      <c r="I82" s="32">
        <v>0</v>
      </c>
      <c r="J82" s="32">
        <v>0</v>
      </c>
      <c r="K82" s="32">
        <v>0</v>
      </c>
      <c r="L82" s="32">
        <v>0</v>
      </c>
      <c r="M82" s="41" t="s">
        <v>79</v>
      </c>
    </row>
    <row r="83" spans="1:13">
      <c r="A83" t="s">
        <v>101</v>
      </c>
      <c r="B83" t="s">
        <v>95</v>
      </c>
      <c r="C83" t="s">
        <v>83</v>
      </c>
      <c r="D83" t="s">
        <v>78</v>
      </c>
      <c r="E83" t="s">
        <v>72</v>
      </c>
      <c r="F83" s="32">
        <v>0</v>
      </c>
      <c r="G83" s="32">
        <v>0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41" t="s">
        <v>79</v>
      </c>
    </row>
    <row r="84" spans="1:13">
      <c r="A84" t="s">
        <v>101</v>
      </c>
      <c r="B84" t="s">
        <v>96</v>
      </c>
      <c r="C84" t="s">
        <v>85</v>
      </c>
      <c r="D84" t="s">
        <v>86</v>
      </c>
      <c r="E84" t="s">
        <v>72</v>
      </c>
      <c r="F84" s="41" t="s">
        <v>79</v>
      </c>
      <c r="G84" s="41" t="s">
        <v>79</v>
      </c>
      <c r="H84" s="41" t="s">
        <v>79</v>
      </c>
      <c r="I84" s="41" t="s">
        <v>79</v>
      </c>
      <c r="J84" s="41" t="s">
        <v>79</v>
      </c>
      <c r="K84" s="41" t="s">
        <v>79</v>
      </c>
      <c r="L84" s="41" t="s">
        <v>79</v>
      </c>
      <c r="M84" s="41" t="s">
        <v>79</v>
      </c>
    </row>
    <row r="85" spans="1:13">
      <c r="A85" t="s">
        <v>102</v>
      </c>
      <c r="B85" t="s">
        <v>76</v>
      </c>
      <c r="C85" t="s">
        <v>77</v>
      </c>
      <c r="D85" t="s">
        <v>78</v>
      </c>
      <c r="E85" t="s">
        <v>72</v>
      </c>
      <c r="F85" s="32">
        <v>0</v>
      </c>
      <c r="G85" s="32">
        <v>0</v>
      </c>
      <c r="H85" s="32">
        <v>8.5990000000000002</v>
      </c>
      <c r="I85" s="32">
        <v>9.8889999999999993</v>
      </c>
      <c r="J85" s="32">
        <v>9.8889999999999993</v>
      </c>
      <c r="K85" s="32">
        <v>10.321</v>
      </c>
      <c r="L85" s="32">
        <v>4.3010000000000002</v>
      </c>
      <c r="M85" s="41" t="s">
        <v>79</v>
      </c>
    </row>
    <row r="86" spans="1:13">
      <c r="A86" t="s">
        <v>102</v>
      </c>
      <c r="B86" t="s">
        <v>80</v>
      </c>
      <c r="C86" t="s">
        <v>81</v>
      </c>
      <c r="D86" t="s">
        <v>78</v>
      </c>
      <c r="E86" t="s">
        <v>72</v>
      </c>
      <c r="F86" s="32">
        <v>0</v>
      </c>
      <c r="G86" s="32">
        <v>0</v>
      </c>
      <c r="H86" s="32">
        <v>7.3999999999999996E-2</v>
      </c>
      <c r="I86" s="32">
        <v>7.3999999999999996E-2</v>
      </c>
      <c r="J86" s="32">
        <v>0</v>
      </c>
      <c r="K86" s="32">
        <v>0</v>
      </c>
      <c r="L86" s="32">
        <v>0</v>
      </c>
      <c r="M86" s="41" t="s">
        <v>79</v>
      </c>
    </row>
    <row r="87" spans="1:13">
      <c r="A87" t="s">
        <v>102</v>
      </c>
      <c r="B87" t="s">
        <v>82</v>
      </c>
      <c r="C87" t="s">
        <v>83</v>
      </c>
      <c r="D87" t="s">
        <v>78</v>
      </c>
      <c r="E87" t="s">
        <v>72</v>
      </c>
      <c r="F87" s="32">
        <v>0</v>
      </c>
      <c r="G87" s="32">
        <v>0</v>
      </c>
      <c r="H87" s="32">
        <v>8.6729999999999983</v>
      </c>
      <c r="I87" s="32">
        <v>9.9629999999999992</v>
      </c>
      <c r="J87" s="32">
        <v>9.8889999999999993</v>
      </c>
      <c r="K87" s="32">
        <v>10.321</v>
      </c>
      <c r="L87" s="32">
        <v>4.3010000000000002</v>
      </c>
      <c r="M87" s="41" t="s">
        <v>79</v>
      </c>
    </row>
    <row r="88" spans="1:13">
      <c r="A88" t="s">
        <v>102</v>
      </c>
      <c r="B88" t="s">
        <v>84</v>
      </c>
      <c r="C88" t="s">
        <v>85</v>
      </c>
      <c r="D88" t="s">
        <v>86</v>
      </c>
      <c r="E88" t="s">
        <v>72</v>
      </c>
      <c r="F88" s="40">
        <v>0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304</v>
      </c>
      <c r="M88" s="41" t="s">
        <v>79</v>
      </c>
    </row>
    <row r="89" spans="1:13">
      <c r="A89" t="s">
        <v>102</v>
      </c>
      <c r="B89" t="s">
        <v>87</v>
      </c>
      <c r="C89" t="s">
        <v>88</v>
      </c>
      <c r="D89" t="s">
        <v>78</v>
      </c>
      <c r="E89" t="s">
        <v>72</v>
      </c>
      <c r="F89" s="32">
        <v>768.65200000000004</v>
      </c>
      <c r="G89" s="32">
        <v>785.71600000000012</v>
      </c>
      <c r="H89" s="32">
        <v>919.95056665257835</v>
      </c>
      <c r="I89" s="32">
        <v>1259.3054253890721</v>
      </c>
      <c r="J89" s="32">
        <v>1000.932312638522</v>
      </c>
      <c r="K89" s="32">
        <v>1075.9677056653011</v>
      </c>
      <c r="L89" s="32">
        <v>779.11368189552627</v>
      </c>
      <c r="M89" s="41" t="s">
        <v>79</v>
      </c>
    </row>
    <row r="90" spans="1:13">
      <c r="A90" t="s">
        <v>102</v>
      </c>
      <c r="B90" t="s">
        <v>29</v>
      </c>
      <c r="C90" t="s">
        <v>89</v>
      </c>
      <c r="D90" t="s">
        <v>78</v>
      </c>
      <c r="E90" t="s">
        <v>72</v>
      </c>
      <c r="F90" s="41" t="s">
        <v>79</v>
      </c>
      <c r="G90" s="41" t="s">
        <v>79</v>
      </c>
      <c r="H90" s="41" t="s">
        <v>79</v>
      </c>
      <c r="I90" s="41" t="s">
        <v>79</v>
      </c>
      <c r="J90" s="41" t="s">
        <v>79</v>
      </c>
      <c r="K90" s="41" t="s">
        <v>79</v>
      </c>
      <c r="L90" s="41" t="s">
        <v>79</v>
      </c>
      <c r="M90" s="32">
        <v>5114.195692241</v>
      </c>
    </row>
    <row r="91" spans="1:13">
      <c r="A91" t="s">
        <v>102</v>
      </c>
      <c r="B91" t="s">
        <v>90</v>
      </c>
      <c r="C91" t="s">
        <v>77</v>
      </c>
      <c r="D91" t="s">
        <v>78</v>
      </c>
      <c r="E91" t="s">
        <v>72</v>
      </c>
      <c r="F91" s="32">
        <v>0</v>
      </c>
      <c r="G91" s="32">
        <v>0</v>
      </c>
      <c r="H91" s="41" t="s">
        <v>79</v>
      </c>
      <c r="I91" s="41" t="s">
        <v>79</v>
      </c>
      <c r="J91" s="41" t="s">
        <v>79</v>
      </c>
      <c r="K91" s="41" t="s">
        <v>79</v>
      </c>
      <c r="L91" s="41" t="s">
        <v>79</v>
      </c>
      <c r="M91" s="41" t="s">
        <v>79</v>
      </c>
    </row>
    <row r="92" spans="1:13">
      <c r="A92" t="s">
        <v>102</v>
      </c>
      <c r="B92" t="s">
        <v>91</v>
      </c>
      <c r="C92" t="s">
        <v>81</v>
      </c>
      <c r="D92" t="s">
        <v>78</v>
      </c>
      <c r="E92" t="s">
        <v>72</v>
      </c>
      <c r="F92" s="32">
        <v>0</v>
      </c>
      <c r="G92" s="32">
        <v>0</v>
      </c>
      <c r="H92" s="41" t="s">
        <v>79</v>
      </c>
      <c r="I92" s="41" t="s">
        <v>79</v>
      </c>
      <c r="J92" s="41" t="s">
        <v>79</v>
      </c>
      <c r="K92" s="41" t="s">
        <v>79</v>
      </c>
      <c r="L92" s="41" t="s">
        <v>79</v>
      </c>
      <c r="M92" s="41" t="s">
        <v>79</v>
      </c>
    </row>
    <row r="93" spans="1:13">
      <c r="A93" t="s">
        <v>102</v>
      </c>
      <c r="B93" t="s">
        <v>92</v>
      </c>
      <c r="C93" t="s">
        <v>83</v>
      </c>
      <c r="D93" t="s">
        <v>78</v>
      </c>
      <c r="E93" t="s">
        <v>72</v>
      </c>
      <c r="F93" s="32">
        <v>0</v>
      </c>
      <c r="G93" s="32">
        <v>0</v>
      </c>
      <c r="H93" s="41" t="s">
        <v>79</v>
      </c>
      <c r="I93" s="41" t="s">
        <v>79</v>
      </c>
      <c r="J93" s="41" t="s">
        <v>79</v>
      </c>
      <c r="K93" s="41" t="s">
        <v>79</v>
      </c>
      <c r="L93" s="41" t="s">
        <v>79</v>
      </c>
      <c r="M93" s="41" t="s">
        <v>79</v>
      </c>
    </row>
    <row r="94" spans="1:13">
      <c r="A94" t="s">
        <v>102</v>
      </c>
      <c r="B94" t="s">
        <v>93</v>
      </c>
      <c r="C94" t="s">
        <v>77</v>
      </c>
      <c r="D94" t="s">
        <v>78</v>
      </c>
      <c r="E94" t="s">
        <v>72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41" t="s">
        <v>79</v>
      </c>
    </row>
    <row r="95" spans="1:13">
      <c r="A95" t="s">
        <v>102</v>
      </c>
      <c r="B95" t="s">
        <v>94</v>
      </c>
      <c r="C95" t="s">
        <v>81</v>
      </c>
      <c r="D95" t="s">
        <v>78</v>
      </c>
      <c r="E95" t="s">
        <v>72</v>
      </c>
      <c r="F95" s="32">
        <v>0</v>
      </c>
      <c r="G95" s="32">
        <v>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41" t="s">
        <v>79</v>
      </c>
    </row>
    <row r="96" spans="1:13">
      <c r="A96" t="s">
        <v>102</v>
      </c>
      <c r="B96" t="s">
        <v>95</v>
      </c>
      <c r="C96" t="s">
        <v>83</v>
      </c>
      <c r="D96" t="s">
        <v>78</v>
      </c>
      <c r="E96" t="s">
        <v>72</v>
      </c>
      <c r="F96" s="32">
        <v>0</v>
      </c>
      <c r="G96" s="32">
        <v>0</v>
      </c>
      <c r="H96" s="32">
        <v>0</v>
      </c>
      <c r="I96" s="32">
        <v>0</v>
      </c>
      <c r="J96" s="32">
        <v>0</v>
      </c>
      <c r="K96" s="32">
        <v>0</v>
      </c>
      <c r="L96" s="32">
        <v>0</v>
      </c>
      <c r="M96" s="41" t="s">
        <v>79</v>
      </c>
    </row>
    <row r="97" spans="1:13">
      <c r="A97" t="s">
        <v>102</v>
      </c>
      <c r="B97" t="s">
        <v>96</v>
      </c>
      <c r="C97" t="s">
        <v>85</v>
      </c>
      <c r="D97" t="s">
        <v>86</v>
      </c>
      <c r="E97" t="s">
        <v>72</v>
      </c>
      <c r="F97" s="41" t="s">
        <v>79</v>
      </c>
      <c r="G97" s="41" t="s">
        <v>79</v>
      </c>
      <c r="H97" s="41" t="s">
        <v>79</v>
      </c>
      <c r="I97" s="41" t="s">
        <v>79</v>
      </c>
      <c r="J97" s="41" t="s">
        <v>79</v>
      </c>
      <c r="K97" s="41" t="s">
        <v>79</v>
      </c>
      <c r="L97" s="41" t="s">
        <v>79</v>
      </c>
      <c r="M97" s="41" t="s">
        <v>79</v>
      </c>
    </row>
    <row r="98" spans="1:13">
      <c r="A98" t="s">
        <v>103</v>
      </c>
      <c r="B98" t="s">
        <v>76</v>
      </c>
      <c r="C98" t="s">
        <v>77</v>
      </c>
      <c r="D98" t="s">
        <v>78</v>
      </c>
      <c r="E98" t="s">
        <v>72</v>
      </c>
      <c r="F98" s="32">
        <v>0</v>
      </c>
      <c r="G98" s="32">
        <v>0</v>
      </c>
      <c r="H98" s="32">
        <v>16.802</v>
      </c>
      <c r="I98" s="32">
        <v>18.073</v>
      </c>
      <c r="J98" s="32">
        <v>4.2389999999999999</v>
      </c>
      <c r="K98" s="32">
        <v>2.129</v>
      </c>
      <c r="L98" s="32">
        <v>2.1379999999999999</v>
      </c>
      <c r="M98" s="41" t="s">
        <v>79</v>
      </c>
    </row>
    <row r="99" spans="1:13">
      <c r="A99" t="s">
        <v>103</v>
      </c>
      <c r="B99" t="s">
        <v>80</v>
      </c>
      <c r="C99" t="s">
        <v>81</v>
      </c>
      <c r="D99" t="s">
        <v>78</v>
      </c>
      <c r="E99" t="s">
        <v>72</v>
      </c>
      <c r="F99" s="32">
        <v>0</v>
      </c>
      <c r="G99" s="32">
        <v>0</v>
      </c>
      <c r="H99" s="32">
        <v>0</v>
      </c>
      <c r="I99" s="32">
        <v>1.6E-2</v>
      </c>
      <c r="J99" s="32">
        <v>1.829</v>
      </c>
      <c r="K99" s="32">
        <v>3.641</v>
      </c>
      <c r="L99" s="32">
        <v>4.1189999999999998</v>
      </c>
      <c r="M99" s="41" t="s">
        <v>79</v>
      </c>
    </row>
    <row r="100" spans="1:13">
      <c r="A100" t="s">
        <v>103</v>
      </c>
      <c r="B100" t="s">
        <v>82</v>
      </c>
      <c r="C100" t="s">
        <v>83</v>
      </c>
      <c r="D100" t="s">
        <v>78</v>
      </c>
      <c r="E100" t="s">
        <v>72</v>
      </c>
      <c r="F100" s="32">
        <v>0</v>
      </c>
      <c r="G100" s="32">
        <v>0</v>
      </c>
      <c r="H100" s="32">
        <v>16.802</v>
      </c>
      <c r="I100" s="32">
        <v>18.088999999999999</v>
      </c>
      <c r="J100" s="32">
        <v>6.0679999999999996</v>
      </c>
      <c r="K100" s="32">
        <v>5.77</v>
      </c>
      <c r="L100" s="32">
        <v>6.2569999999999997</v>
      </c>
      <c r="M100" s="41" t="s">
        <v>79</v>
      </c>
    </row>
    <row r="101" spans="1:13">
      <c r="A101" t="s">
        <v>103</v>
      </c>
      <c r="B101" t="s">
        <v>84</v>
      </c>
      <c r="C101" t="s">
        <v>85</v>
      </c>
      <c r="D101" t="s">
        <v>86</v>
      </c>
      <c r="E101" t="s">
        <v>72</v>
      </c>
      <c r="F101" s="40">
        <v>0</v>
      </c>
      <c r="G101" s="40">
        <v>0</v>
      </c>
      <c r="H101" s="40">
        <v>63</v>
      </c>
      <c r="I101" s="40">
        <v>63</v>
      </c>
      <c r="J101" s="40">
        <v>63</v>
      </c>
      <c r="K101" s="40">
        <v>63</v>
      </c>
      <c r="L101" s="40">
        <v>62</v>
      </c>
      <c r="M101" s="41" t="s">
        <v>79</v>
      </c>
    </row>
    <row r="102" spans="1:13">
      <c r="A102" t="s">
        <v>103</v>
      </c>
      <c r="B102" t="s">
        <v>87</v>
      </c>
      <c r="C102" t="s">
        <v>88</v>
      </c>
      <c r="D102" t="s">
        <v>78</v>
      </c>
      <c r="E102" t="s">
        <v>72</v>
      </c>
      <c r="F102" s="32">
        <v>1425.7782618595811</v>
      </c>
      <c r="G102" s="32">
        <v>1440.7370000000001</v>
      </c>
      <c r="H102" s="32">
        <v>2156.088348550431</v>
      </c>
      <c r="I102" s="32">
        <v>2269.5018217217062</v>
      </c>
      <c r="J102" s="32">
        <v>2162.2729400750991</v>
      </c>
      <c r="K102" s="32">
        <v>2632.1222877084529</v>
      </c>
      <c r="L102" s="32">
        <v>3555.488399766793</v>
      </c>
      <c r="M102" s="41" t="s">
        <v>79</v>
      </c>
    </row>
    <row r="103" spans="1:13">
      <c r="A103" t="s">
        <v>103</v>
      </c>
      <c r="B103" t="s">
        <v>29</v>
      </c>
      <c r="C103" t="s">
        <v>89</v>
      </c>
      <c r="D103" t="s">
        <v>78</v>
      </c>
      <c r="E103" t="s">
        <v>72</v>
      </c>
      <c r="F103" s="41" t="s">
        <v>79</v>
      </c>
      <c r="G103" s="41" t="s">
        <v>79</v>
      </c>
      <c r="H103" s="41" t="s">
        <v>79</v>
      </c>
      <c r="I103" s="41" t="s">
        <v>79</v>
      </c>
      <c r="J103" s="41" t="s">
        <v>79</v>
      </c>
      <c r="K103" s="41" t="s">
        <v>79</v>
      </c>
      <c r="L103" s="41" t="s">
        <v>79</v>
      </c>
      <c r="M103" s="32">
        <v>12775.473797822482</v>
      </c>
    </row>
    <row r="104" spans="1:13">
      <c r="A104" t="s">
        <v>103</v>
      </c>
      <c r="B104" t="s">
        <v>90</v>
      </c>
      <c r="C104" t="s">
        <v>77</v>
      </c>
      <c r="D104" t="s">
        <v>78</v>
      </c>
      <c r="E104" t="s">
        <v>72</v>
      </c>
      <c r="F104" s="32">
        <v>0</v>
      </c>
      <c r="G104" s="32">
        <v>0</v>
      </c>
      <c r="H104" s="41" t="s">
        <v>79</v>
      </c>
      <c r="I104" s="41" t="s">
        <v>79</v>
      </c>
      <c r="J104" s="41" t="s">
        <v>79</v>
      </c>
      <c r="K104" s="41" t="s">
        <v>79</v>
      </c>
      <c r="L104" s="41" t="s">
        <v>79</v>
      </c>
      <c r="M104" s="41" t="s">
        <v>79</v>
      </c>
    </row>
    <row r="105" spans="1:13">
      <c r="A105" t="s">
        <v>103</v>
      </c>
      <c r="B105" t="s">
        <v>91</v>
      </c>
      <c r="C105" t="s">
        <v>81</v>
      </c>
      <c r="D105" t="s">
        <v>78</v>
      </c>
      <c r="E105" t="s">
        <v>72</v>
      </c>
      <c r="F105" s="32">
        <v>0</v>
      </c>
      <c r="G105" s="32">
        <v>0</v>
      </c>
      <c r="H105" s="41" t="s">
        <v>79</v>
      </c>
      <c r="I105" s="41" t="s">
        <v>79</v>
      </c>
      <c r="J105" s="41" t="s">
        <v>79</v>
      </c>
      <c r="K105" s="41" t="s">
        <v>79</v>
      </c>
      <c r="L105" s="41" t="s">
        <v>79</v>
      </c>
      <c r="M105" s="41" t="s">
        <v>79</v>
      </c>
    </row>
    <row r="106" spans="1:13">
      <c r="A106" t="s">
        <v>103</v>
      </c>
      <c r="B106" t="s">
        <v>92</v>
      </c>
      <c r="C106" t="s">
        <v>83</v>
      </c>
      <c r="D106" t="s">
        <v>78</v>
      </c>
      <c r="E106" t="s">
        <v>72</v>
      </c>
      <c r="F106" s="32">
        <v>0</v>
      </c>
      <c r="G106" s="32">
        <v>0</v>
      </c>
      <c r="H106" s="41" t="s">
        <v>79</v>
      </c>
      <c r="I106" s="41" t="s">
        <v>79</v>
      </c>
      <c r="J106" s="41" t="s">
        <v>79</v>
      </c>
      <c r="K106" s="41" t="s">
        <v>79</v>
      </c>
      <c r="L106" s="41" t="s">
        <v>79</v>
      </c>
      <c r="M106" s="41" t="s">
        <v>79</v>
      </c>
    </row>
    <row r="107" spans="1:13">
      <c r="A107" t="s">
        <v>103</v>
      </c>
      <c r="B107" t="s">
        <v>93</v>
      </c>
      <c r="C107" t="s">
        <v>77</v>
      </c>
      <c r="D107" t="s">
        <v>78</v>
      </c>
      <c r="E107" t="s">
        <v>72</v>
      </c>
      <c r="F107" s="32">
        <v>0</v>
      </c>
      <c r="G107" s="32">
        <v>0</v>
      </c>
      <c r="H107" s="32">
        <v>0</v>
      </c>
      <c r="I107" s="32">
        <v>0</v>
      </c>
      <c r="J107" s="32">
        <v>0</v>
      </c>
      <c r="K107" s="32">
        <v>0</v>
      </c>
      <c r="L107" s="32">
        <v>0</v>
      </c>
      <c r="M107" s="41" t="s">
        <v>79</v>
      </c>
    </row>
    <row r="108" spans="1:13">
      <c r="A108" t="s">
        <v>103</v>
      </c>
      <c r="B108" t="s">
        <v>94</v>
      </c>
      <c r="C108" t="s">
        <v>81</v>
      </c>
      <c r="D108" t="s">
        <v>78</v>
      </c>
      <c r="E108" t="s">
        <v>72</v>
      </c>
      <c r="F108" s="32">
        <v>0</v>
      </c>
      <c r="G108" s="32">
        <v>0</v>
      </c>
      <c r="H108" s="32">
        <v>0</v>
      </c>
      <c r="I108" s="32">
        <v>0</v>
      </c>
      <c r="J108" s="32">
        <v>0</v>
      </c>
      <c r="K108" s="32">
        <v>0</v>
      </c>
      <c r="L108" s="32">
        <v>0</v>
      </c>
      <c r="M108" s="41" t="s">
        <v>79</v>
      </c>
    </row>
    <row r="109" spans="1:13">
      <c r="A109" t="s">
        <v>103</v>
      </c>
      <c r="B109" t="s">
        <v>95</v>
      </c>
      <c r="C109" t="s">
        <v>83</v>
      </c>
      <c r="D109" t="s">
        <v>78</v>
      </c>
      <c r="E109" t="s">
        <v>72</v>
      </c>
      <c r="F109" s="32">
        <v>0</v>
      </c>
      <c r="G109" s="32">
        <v>0</v>
      </c>
      <c r="H109" s="32">
        <v>0</v>
      </c>
      <c r="I109" s="32">
        <v>0</v>
      </c>
      <c r="J109" s="32">
        <v>0</v>
      </c>
      <c r="K109" s="32">
        <v>0</v>
      </c>
      <c r="L109" s="32">
        <v>0</v>
      </c>
      <c r="M109" s="41" t="s">
        <v>79</v>
      </c>
    </row>
    <row r="110" spans="1:13">
      <c r="A110" t="s">
        <v>103</v>
      </c>
      <c r="B110" t="s">
        <v>96</v>
      </c>
      <c r="C110" t="s">
        <v>85</v>
      </c>
      <c r="D110" t="s">
        <v>86</v>
      </c>
      <c r="E110" t="s">
        <v>72</v>
      </c>
      <c r="F110" s="41" t="s">
        <v>79</v>
      </c>
      <c r="G110" s="41" t="s">
        <v>79</v>
      </c>
      <c r="H110" s="41" t="s">
        <v>79</v>
      </c>
      <c r="I110" s="41" t="s">
        <v>79</v>
      </c>
      <c r="J110" s="41" t="s">
        <v>79</v>
      </c>
      <c r="K110" s="41" t="s">
        <v>79</v>
      </c>
      <c r="L110" s="41" t="s">
        <v>79</v>
      </c>
      <c r="M110" s="41" t="s">
        <v>79</v>
      </c>
    </row>
    <row r="111" spans="1:13">
      <c r="A111" t="s">
        <v>104</v>
      </c>
      <c r="B111" t="s">
        <v>76</v>
      </c>
      <c r="C111" t="s">
        <v>77</v>
      </c>
      <c r="D111" t="s">
        <v>78</v>
      </c>
      <c r="E111" t="s">
        <v>72</v>
      </c>
      <c r="F111" s="41">
        <v>5.3045270647081554E-3</v>
      </c>
      <c r="G111" s="41">
        <v>6.8595941985444431E-3</v>
      </c>
      <c r="H111" s="41">
        <v>15.435637619025091</v>
      </c>
      <c r="I111" s="41">
        <v>15.70148092064675</v>
      </c>
      <c r="J111" s="41">
        <v>15.58367351202409</v>
      </c>
      <c r="K111" s="41">
        <v>15.826570619297771</v>
      </c>
      <c r="L111" s="41">
        <v>15.777759122782401</v>
      </c>
      <c r="M111" s="41" t="s">
        <v>79</v>
      </c>
    </row>
    <row r="112" spans="1:13">
      <c r="A112" t="s">
        <v>104</v>
      </c>
      <c r="B112" t="s">
        <v>80</v>
      </c>
      <c r="C112" t="s">
        <v>81</v>
      </c>
      <c r="D112" t="s">
        <v>78</v>
      </c>
      <c r="E112" t="s">
        <v>72</v>
      </c>
      <c r="F112" s="41">
        <v>0</v>
      </c>
      <c r="G112" s="41">
        <v>0</v>
      </c>
      <c r="H112" s="41">
        <v>0</v>
      </c>
      <c r="I112" s="41">
        <v>0.64911110014635798</v>
      </c>
      <c r="J112" s="41">
        <v>1.288481705494434</v>
      </c>
      <c r="K112" s="41">
        <v>1.962847208773969</v>
      </c>
      <c r="L112" s="41">
        <v>2.6090579949223458</v>
      </c>
      <c r="M112" s="41" t="s">
        <v>79</v>
      </c>
    </row>
    <row r="113" spans="1:13">
      <c r="A113" t="s">
        <v>104</v>
      </c>
      <c r="B113" t="s">
        <v>82</v>
      </c>
      <c r="C113" t="s">
        <v>83</v>
      </c>
      <c r="D113" t="s">
        <v>78</v>
      </c>
      <c r="E113" t="s">
        <v>72</v>
      </c>
      <c r="F113" s="167">
        <v>5.3045270647081554E-3</v>
      </c>
      <c r="G113" s="167">
        <v>6.8595941985444431E-3</v>
      </c>
      <c r="H113" s="167">
        <v>15.435637619025091</v>
      </c>
      <c r="I113" s="167">
        <v>16.350592020793108</v>
      </c>
      <c r="J113" s="167">
        <v>16.872155217518529</v>
      </c>
      <c r="K113" s="167">
        <v>17.789417828071741</v>
      </c>
      <c r="L113" s="167">
        <v>18.386817117704751</v>
      </c>
      <c r="M113" s="41" t="s">
        <v>79</v>
      </c>
    </row>
    <row r="114" spans="1:13">
      <c r="A114" t="s">
        <v>104</v>
      </c>
      <c r="B114" t="s">
        <v>84</v>
      </c>
      <c r="C114" t="s">
        <v>85</v>
      </c>
      <c r="D114" t="s">
        <v>86</v>
      </c>
      <c r="E114" t="s">
        <v>72</v>
      </c>
      <c r="F114" s="40">
        <v>0</v>
      </c>
      <c r="G114" s="40">
        <v>0</v>
      </c>
      <c r="H114" s="40">
        <v>120</v>
      </c>
      <c r="I114" s="40">
        <v>120</v>
      </c>
      <c r="J114" s="40">
        <v>120</v>
      </c>
      <c r="K114" s="40">
        <v>120</v>
      </c>
      <c r="L114" s="40">
        <v>153</v>
      </c>
      <c r="M114" s="41" t="s">
        <v>79</v>
      </c>
    </row>
    <row r="115" spans="1:13">
      <c r="A115" t="s">
        <v>104</v>
      </c>
      <c r="B115" t="s">
        <v>87</v>
      </c>
      <c r="C115" t="s">
        <v>88</v>
      </c>
      <c r="D115" t="s">
        <v>78</v>
      </c>
      <c r="E115" t="s">
        <v>72</v>
      </c>
      <c r="F115" s="32">
        <v>887.4940110413653</v>
      </c>
      <c r="G115" s="32">
        <v>1120.5426626367141</v>
      </c>
      <c r="H115" s="32">
        <v>1569.795902040561</v>
      </c>
      <c r="I115" s="32">
        <v>1881.302270640045</v>
      </c>
      <c r="J115" s="32">
        <v>2189.086577264356</v>
      </c>
      <c r="K115" s="32">
        <v>1888.0217791000509</v>
      </c>
      <c r="L115" s="32">
        <v>1139.8668159399281</v>
      </c>
      <c r="M115" s="41" t="s">
        <v>79</v>
      </c>
    </row>
    <row r="116" spans="1:13">
      <c r="A116" t="s">
        <v>104</v>
      </c>
      <c r="B116" t="s">
        <v>29</v>
      </c>
      <c r="C116" t="s">
        <v>89</v>
      </c>
      <c r="D116" t="s">
        <v>78</v>
      </c>
      <c r="E116" t="s">
        <v>72</v>
      </c>
      <c r="F116" s="41" t="s">
        <v>79</v>
      </c>
      <c r="G116" s="41" t="s">
        <v>79</v>
      </c>
      <c r="H116" s="41" t="s">
        <v>79</v>
      </c>
      <c r="I116" s="41" t="s">
        <v>79</v>
      </c>
      <c r="J116" s="41" t="s">
        <v>79</v>
      </c>
      <c r="K116" s="41" t="s">
        <v>79</v>
      </c>
      <c r="L116" s="41" t="s">
        <v>79</v>
      </c>
      <c r="M116" s="32">
        <v>8993.1795747355063</v>
      </c>
    </row>
    <row r="117" spans="1:13">
      <c r="A117" t="s">
        <v>104</v>
      </c>
      <c r="B117" t="s">
        <v>90</v>
      </c>
      <c r="C117" t="s">
        <v>77</v>
      </c>
      <c r="D117" t="s">
        <v>78</v>
      </c>
      <c r="E117" t="s">
        <v>72</v>
      </c>
      <c r="F117" s="32">
        <v>0</v>
      </c>
      <c r="G117" s="32">
        <v>0</v>
      </c>
      <c r="H117" s="41" t="s">
        <v>79</v>
      </c>
      <c r="I117" s="41" t="s">
        <v>79</v>
      </c>
      <c r="J117" s="41" t="s">
        <v>79</v>
      </c>
      <c r="K117" s="41" t="s">
        <v>79</v>
      </c>
      <c r="L117" s="41" t="s">
        <v>79</v>
      </c>
      <c r="M117" s="41" t="s">
        <v>79</v>
      </c>
    </row>
    <row r="118" spans="1:13">
      <c r="A118" t="s">
        <v>104</v>
      </c>
      <c r="B118" t="s">
        <v>91</v>
      </c>
      <c r="C118" t="s">
        <v>81</v>
      </c>
      <c r="D118" t="s">
        <v>78</v>
      </c>
      <c r="E118" t="s">
        <v>72</v>
      </c>
      <c r="F118" s="32">
        <v>0</v>
      </c>
      <c r="G118" s="32">
        <v>0</v>
      </c>
      <c r="H118" s="41" t="s">
        <v>79</v>
      </c>
      <c r="I118" s="41" t="s">
        <v>79</v>
      </c>
      <c r="J118" s="41" t="s">
        <v>79</v>
      </c>
      <c r="K118" s="41" t="s">
        <v>79</v>
      </c>
      <c r="L118" s="41" t="s">
        <v>79</v>
      </c>
      <c r="M118" s="41" t="s">
        <v>79</v>
      </c>
    </row>
    <row r="119" spans="1:13">
      <c r="A119" t="s">
        <v>104</v>
      </c>
      <c r="B119" t="s">
        <v>92</v>
      </c>
      <c r="C119" t="s">
        <v>83</v>
      </c>
      <c r="D119" t="s">
        <v>78</v>
      </c>
      <c r="E119" t="s">
        <v>72</v>
      </c>
      <c r="F119" s="32">
        <v>0</v>
      </c>
      <c r="G119" s="32">
        <v>0</v>
      </c>
      <c r="H119" s="41" t="s">
        <v>79</v>
      </c>
      <c r="I119" s="41" t="s">
        <v>79</v>
      </c>
      <c r="J119" s="41" t="s">
        <v>79</v>
      </c>
      <c r="K119" s="41" t="s">
        <v>79</v>
      </c>
      <c r="L119" s="41" t="s">
        <v>79</v>
      </c>
      <c r="M119" s="41" t="s">
        <v>79</v>
      </c>
    </row>
    <row r="120" spans="1:13">
      <c r="A120" t="s">
        <v>104</v>
      </c>
      <c r="B120" t="s">
        <v>93</v>
      </c>
      <c r="C120" t="s">
        <v>77</v>
      </c>
      <c r="D120" t="s">
        <v>78</v>
      </c>
      <c r="E120" t="s">
        <v>72</v>
      </c>
      <c r="F120" s="32">
        <v>0</v>
      </c>
      <c r="G120" s="32">
        <v>0</v>
      </c>
      <c r="H120" s="32">
        <v>0</v>
      </c>
      <c r="I120" s="32">
        <v>0</v>
      </c>
      <c r="J120" s="32">
        <v>0</v>
      </c>
      <c r="K120" s="32">
        <v>0</v>
      </c>
      <c r="L120" s="32">
        <v>0</v>
      </c>
      <c r="M120" s="41" t="s">
        <v>79</v>
      </c>
    </row>
    <row r="121" spans="1:13">
      <c r="A121" t="s">
        <v>104</v>
      </c>
      <c r="B121" t="s">
        <v>94</v>
      </c>
      <c r="C121" t="s">
        <v>81</v>
      </c>
      <c r="D121" t="s">
        <v>78</v>
      </c>
      <c r="E121" t="s">
        <v>72</v>
      </c>
      <c r="F121" s="32">
        <v>0</v>
      </c>
      <c r="G121" s="32">
        <v>0</v>
      </c>
      <c r="H121" s="32">
        <v>0</v>
      </c>
      <c r="I121" s="32">
        <v>0</v>
      </c>
      <c r="J121" s="32">
        <v>0</v>
      </c>
      <c r="K121" s="32">
        <v>0</v>
      </c>
      <c r="L121" s="32">
        <v>0</v>
      </c>
      <c r="M121" s="41" t="s">
        <v>79</v>
      </c>
    </row>
    <row r="122" spans="1:13">
      <c r="A122" t="s">
        <v>104</v>
      </c>
      <c r="B122" t="s">
        <v>95</v>
      </c>
      <c r="C122" t="s">
        <v>83</v>
      </c>
      <c r="D122" t="s">
        <v>78</v>
      </c>
      <c r="E122" t="s">
        <v>72</v>
      </c>
      <c r="F122" s="32">
        <v>0</v>
      </c>
      <c r="G122" s="32">
        <v>0</v>
      </c>
      <c r="H122" s="32">
        <v>0</v>
      </c>
      <c r="I122" s="32">
        <v>0</v>
      </c>
      <c r="J122" s="32">
        <v>0</v>
      </c>
      <c r="K122" s="32">
        <v>0</v>
      </c>
      <c r="L122" s="32">
        <v>0</v>
      </c>
      <c r="M122" s="41" t="s">
        <v>79</v>
      </c>
    </row>
    <row r="123" spans="1:13">
      <c r="A123" t="s">
        <v>104</v>
      </c>
      <c r="B123" t="s">
        <v>96</v>
      </c>
      <c r="C123" t="s">
        <v>85</v>
      </c>
      <c r="D123" t="s">
        <v>86</v>
      </c>
      <c r="E123" t="s">
        <v>72</v>
      </c>
      <c r="F123" s="40">
        <v>0</v>
      </c>
      <c r="G123" s="40">
        <v>0</v>
      </c>
      <c r="H123" s="41" t="s">
        <v>79</v>
      </c>
      <c r="I123" s="41" t="s">
        <v>79</v>
      </c>
      <c r="J123" s="41" t="s">
        <v>79</v>
      </c>
      <c r="K123" s="41" t="s">
        <v>79</v>
      </c>
      <c r="L123" s="41" t="s">
        <v>79</v>
      </c>
      <c r="M123" s="41" t="s">
        <v>79</v>
      </c>
    </row>
    <row r="124" spans="1:13">
      <c r="A124" t="s">
        <v>105</v>
      </c>
      <c r="B124" t="s">
        <v>76</v>
      </c>
      <c r="C124" t="s">
        <v>77</v>
      </c>
      <c r="D124" t="s">
        <v>78</v>
      </c>
      <c r="E124" t="s">
        <v>72</v>
      </c>
      <c r="F124" s="32">
        <v>0.17294799999999999</v>
      </c>
      <c r="G124" s="32">
        <v>1.662501</v>
      </c>
      <c r="H124" s="32">
        <v>9.0309339999999985</v>
      </c>
      <c r="I124" s="32">
        <v>9.3488150000000001</v>
      </c>
      <c r="J124" s="32">
        <v>10.235889999999999</v>
      </c>
      <c r="K124" s="32">
        <v>9.5546430000000004</v>
      </c>
      <c r="L124" s="32">
        <v>11.518822</v>
      </c>
      <c r="M124" s="41" t="s">
        <v>79</v>
      </c>
    </row>
    <row r="125" spans="1:13">
      <c r="A125" t="s">
        <v>105</v>
      </c>
      <c r="B125" t="s">
        <v>80</v>
      </c>
      <c r="C125" t="s">
        <v>81</v>
      </c>
      <c r="D125" t="s">
        <v>78</v>
      </c>
      <c r="E125" t="s">
        <v>72</v>
      </c>
      <c r="F125" s="32">
        <v>0</v>
      </c>
      <c r="G125" s="32">
        <v>0.12524299999999999</v>
      </c>
      <c r="H125" s="32">
        <v>0.98157799999999995</v>
      </c>
      <c r="I125" s="32">
        <v>2.3942929999999998</v>
      </c>
      <c r="J125" s="32">
        <v>2.3160430000000001</v>
      </c>
      <c r="K125" s="32">
        <v>2.2070690000000002</v>
      </c>
      <c r="L125" s="32">
        <v>3.0465270000000002</v>
      </c>
      <c r="M125" s="41" t="s">
        <v>79</v>
      </c>
    </row>
    <row r="126" spans="1:13">
      <c r="A126" t="s">
        <v>105</v>
      </c>
      <c r="B126" t="s">
        <v>82</v>
      </c>
      <c r="C126" t="s">
        <v>83</v>
      </c>
      <c r="D126" t="s">
        <v>78</v>
      </c>
      <c r="E126" t="s">
        <v>72</v>
      </c>
      <c r="F126" s="32">
        <v>0.17294799999999999</v>
      </c>
      <c r="G126" s="32">
        <v>1.787744</v>
      </c>
      <c r="H126" s="32">
        <v>10.012511999999999</v>
      </c>
      <c r="I126" s="32">
        <v>11.743107999999999</v>
      </c>
      <c r="J126" s="32">
        <v>12.551933</v>
      </c>
      <c r="K126" s="32">
        <v>11.761711999999999</v>
      </c>
      <c r="L126" s="32">
        <v>14.565348999999999</v>
      </c>
      <c r="M126" s="41" t="s">
        <v>79</v>
      </c>
    </row>
    <row r="127" spans="1:13">
      <c r="A127" t="s">
        <v>105</v>
      </c>
      <c r="B127" t="s">
        <v>84</v>
      </c>
      <c r="C127" t="s">
        <v>85</v>
      </c>
      <c r="D127" t="s">
        <v>86</v>
      </c>
      <c r="E127" t="s">
        <v>72</v>
      </c>
      <c r="F127" s="40">
        <v>0</v>
      </c>
      <c r="G127" s="40">
        <v>0</v>
      </c>
      <c r="H127" s="40">
        <v>10</v>
      </c>
      <c r="I127" s="40">
        <v>100</v>
      </c>
      <c r="J127" s="40">
        <v>100</v>
      </c>
      <c r="K127" s="40">
        <v>120</v>
      </c>
      <c r="L127" s="40">
        <v>140</v>
      </c>
      <c r="M127" s="41" t="s">
        <v>79</v>
      </c>
    </row>
    <row r="128" spans="1:13">
      <c r="A128" t="s">
        <v>105</v>
      </c>
      <c r="B128" t="s">
        <v>87</v>
      </c>
      <c r="C128" t="s">
        <v>88</v>
      </c>
      <c r="D128" t="s">
        <v>78</v>
      </c>
      <c r="E128" t="s">
        <v>72</v>
      </c>
      <c r="F128" s="32">
        <v>425.01453217148838</v>
      </c>
      <c r="G128" s="32">
        <v>477.18136481827088</v>
      </c>
      <c r="H128" s="32">
        <v>526.33093822919</v>
      </c>
      <c r="I128" s="32">
        <v>558.80413455846633</v>
      </c>
      <c r="J128" s="32">
        <v>575.36301598312627</v>
      </c>
      <c r="K128" s="32">
        <v>837.08372922394676</v>
      </c>
      <c r="L128" s="32">
        <v>1152.392571151533</v>
      </c>
      <c r="M128" s="41" t="s">
        <v>79</v>
      </c>
    </row>
    <row r="129" spans="1:13">
      <c r="A129" t="s">
        <v>105</v>
      </c>
      <c r="B129" t="s">
        <v>29</v>
      </c>
      <c r="C129" t="s">
        <v>89</v>
      </c>
      <c r="D129" t="s">
        <v>78</v>
      </c>
      <c r="E129" t="s">
        <v>72</v>
      </c>
      <c r="F129" s="41" t="s">
        <v>79</v>
      </c>
      <c r="G129" s="41" t="s">
        <v>79</v>
      </c>
      <c r="H129" s="41" t="s">
        <v>79</v>
      </c>
      <c r="I129" s="41" t="s">
        <v>79</v>
      </c>
      <c r="J129" s="41" t="s">
        <v>79</v>
      </c>
      <c r="K129" s="41" t="s">
        <v>79</v>
      </c>
      <c r="L129" s="41" t="s">
        <v>79</v>
      </c>
      <c r="M129" s="32">
        <v>3717.8809591462623</v>
      </c>
    </row>
    <row r="130" spans="1:13">
      <c r="A130" t="s">
        <v>105</v>
      </c>
      <c r="B130" t="s">
        <v>90</v>
      </c>
      <c r="C130" t="s">
        <v>77</v>
      </c>
      <c r="D130" t="s">
        <v>78</v>
      </c>
      <c r="E130" t="s">
        <v>72</v>
      </c>
      <c r="F130" s="32">
        <v>0.17294799999999999</v>
      </c>
      <c r="G130" s="32">
        <v>1.662501</v>
      </c>
      <c r="H130" s="41" t="s">
        <v>79</v>
      </c>
      <c r="I130" s="41" t="s">
        <v>79</v>
      </c>
      <c r="J130" s="41" t="s">
        <v>79</v>
      </c>
      <c r="K130" s="41" t="s">
        <v>79</v>
      </c>
      <c r="L130" s="41" t="s">
        <v>79</v>
      </c>
      <c r="M130" s="41" t="s">
        <v>79</v>
      </c>
    </row>
    <row r="131" spans="1:13">
      <c r="A131" t="s">
        <v>105</v>
      </c>
      <c r="B131" t="s">
        <v>91</v>
      </c>
      <c r="C131" t="s">
        <v>81</v>
      </c>
      <c r="D131" t="s">
        <v>78</v>
      </c>
      <c r="E131" t="s">
        <v>72</v>
      </c>
      <c r="F131" s="32">
        <v>0</v>
      </c>
      <c r="G131" s="32">
        <v>0.12524299999999999</v>
      </c>
      <c r="H131" s="41" t="s">
        <v>79</v>
      </c>
      <c r="I131" s="41" t="s">
        <v>79</v>
      </c>
      <c r="J131" s="41" t="s">
        <v>79</v>
      </c>
      <c r="K131" s="41" t="s">
        <v>79</v>
      </c>
      <c r="L131" s="41" t="s">
        <v>79</v>
      </c>
      <c r="M131" s="41" t="s">
        <v>79</v>
      </c>
    </row>
    <row r="132" spans="1:13">
      <c r="A132" t="s">
        <v>105</v>
      </c>
      <c r="B132" t="s">
        <v>92</v>
      </c>
      <c r="C132" t="s">
        <v>83</v>
      </c>
      <c r="D132" t="s">
        <v>78</v>
      </c>
      <c r="E132" t="s">
        <v>72</v>
      </c>
      <c r="F132" s="32">
        <v>0.17294799999999999</v>
      </c>
      <c r="G132" s="32">
        <v>1.787744</v>
      </c>
      <c r="H132" s="41" t="s">
        <v>79</v>
      </c>
      <c r="I132" s="41" t="s">
        <v>79</v>
      </c>
      <c r="J132" s="41" t="s">
        <v>79</v>
      </c>
      <c r="K132" s="41" t="s">
        <v>79</v>
      </c>
      <c r="L132" s="41" t="s">
        <v>79</v>
      </c>
      <c r="M132" s="41" t="s">
        <v>79</v>
      </c>
    </row>
    <row r="133" spans="1:13">
      <c r="A133" t="s">
        <v>105</v>
      </c>
      <c r="B133" t="s">
        <v>93</v>
      </c>
      <c r="C133" t="s">
        <v>77</v>
      </c>
      <c r="D133" t="s">
        <v>78</v>
      </c>
      <c r="E133" t="s">
        <v>72</v>
      </c>
      <c r="F133" s="32">
        <v>0</v>
      </c>
      <c r="G133" s="32">
        <v>0</v>
      </c>
      <c r="H133" s="32">
        <v>0</v>
      </c>
      <c r="I133" s="32">
        <v>0</v>
      </c>
      <c r="J133" s="32">
        <v>0</v>
      </c>
      <c r="K133" s="32">
        <v>0</v>
      </c>
      <c r="L133" s="32">
        <v>0</v>
      </c>
      <c r="M133" s="41" t="s">
        <v>79</v>
      </c>
    </row>
    <row r="134" spans="1:13">
      <c r="A134" t="s">
        <v>105</v>
      </c>
      <c r="B134" t="s">
        <v>94</v>
      </c>
      <c r="C134" t="s">
        <v>81</v>
      </c>
      <c r="D134" t="s">
        <v>78</v>
      </c>
      <c r="E134" t="s">
        <v>72</v>
      </c>
      <c r="F134" s="32">
        <v>0</v>
      </c>
      <c r="G134" s="32">
        <v>0</v>
      </c>
      <c r="H134" s="32">
        <v>0</v>
      </c>
      <c r="I134" s="32">
        <v>0</v>
      </c>
      <c r="J134" s="32">
        <v>0</v>
      </c>
      <c r="K134" s="32">
        <v>0</v>
      </c>
      <c r="L134" s="32">
        <v>0</v>
      </c>
      <c r="M134" s="41" t="s">
        <v>79</v>
      </c>
    </row>
    <row r="135" spans="1:13">
      <c r="A135" t="s">
        <v>105</v>
      </c>
      <c r="B135" t="s">
        <v>95</v>
      </c>
      <c r="C135" t="s">
        <v>83</v>
      </c>
      <c r="D135" t="s">
        <v>78</v>
      </c>
      <c r="E135" t="s">
        <v>72</v>
      </c>
      <c r="F135" s="32">
        <v>0</v>
      </c>
      <c r="G135" s="32">
        <v>0</v>
      </c>
      <c r="H135" s="32">
        <v>0</v>
      </c>
      <c r="I135" s="32">
        <v>0</v>
      </c>
      <c r="J135" s="32">
        <v>0</v>
      </c>
      <c r="K135" s="32">
        <v>0</v>
      </c>
      <c r="L135" s="32">
        <v>0</v>
      </c>
      <c r="M135" s="41" t="s">
        <v>79</v>
      </c>
    </row>
    <row r="136" spans="1:13">
      <c r="A136" t="s">
        <v>105</v>
      </c>
      <c r="B136" t="s">
        <v>96</v>
      </c>
      <c r="C136" t="s">
        <v>85</v>
      </c>
      <c r="D136" t="s">
        <v>86</v>
      </c>
      <c r="E136" t="s">
        <v>72</v>
      </c>
      <c r="F136" s="41" t="s">
        <v>79</v>
      </c>
      <c r="G136" s="41" t="s">
        <v>79</v>
      </c>
      <c r="H136" s="41" t="s">
        <v>79</v>
      </c>
      <c r="I136" s="41" t="s">
        <v>79</v>
      </c>
      <c r="J136" s="41" t="s">
        <v>79</v>
      </c>
      <c r="K136" s="41" t="s">
        <v>79</v>
      </c>
      <c r="L136" s="41" t="s">
        <v>79</v>
      </c>
      <c r="M136" s="41" t="s">
        <v>79</v>
      </c>
    </row>
    <row r="137" spans="1:13">
      <c r="A137" t="s">
        <v>106</v>
      </c>
      <c r="B137" t="s">
        <v>76</v>
      </c>
      <c r="C137" t="s">
        <v>77</v>
      </c>
      <c r="D137" t="s">
        <v>78</v>
      </c>
      <c r="E137" t="s">
        <v>72</v>
      </c>
      <c r="F137" s="32">
        <v>0</v>
      </c>
      <c r="G137" s="32">
        <v>0</v>
      </c>
      <c r="H137" s="32">
        <v>2.1726719999999999</v>
      </c>
      <c r="I137" s="32">
        <v>4.050376</v>
      </c>
      <c r="J137" s="32">
        <v>14.1244672</v>
      </c>
      <c r="K137" s="32">
        <v>26.174924799999999</v>
      </c>
      <c r="L137" s="32">
        <v>26.174924799999999</v>
      </c>
      <c r="M137" s="41" t="s">
        <v>79</v>
      </c>
    </row>
    <row r="138" spans="1:13">
      <c r="A138" t="s">
        <v>106</v>
      </c>
      <c r="B138" t="s">
        <v>80</v>
      </c>
      <c r="C138" t="s">
        <v>81</v>
      </c>
      <c r="D138" t="s">
        <v>78</v>
      </c>
      <c r="E138" t="s">
        <v>72</v>
      </c>
      <c r="F138" s="32">
        <v>0</v>
      </c>
      <c r="G138" s="32">
        <v>0</v>
      </c>
      <c r="H138" s="32">
        <v>2.624000000000001</v>
      </c>
      <c r="I138" s="32">
        <v>2.6823055999999998</v>
      </c>
      <c r="J138" s="32">
        <v>1.6594176</v>
      </c>
      <c r="K138" s="32">
        <v>5.4253824000000002</v>
      </c>
      <c r="L138" s="32">
        <v>12.4052224</v>
      </c>
      <c r="M138" s="41" t="s">
        <v>79</v>
      </c>
    </row>
    <row r="139" spans="1:13">
      <c r="A139" t="s">
        <v>106</v>
      </c>
      <c r="B139" t="s">
        <v>82</v>
      </c>
      <c r="C139" t="s">
        <v>83</v>
      </c>
      <c r="D139" t="s">
        <v>78</v>
      </c>
      <c r="E139" t="s">
        <v>72</v>
      </c>
      <c r="F139" s="32">
        <v>0</v>
      </c>
      <c r="G139" s="32">
        <v>0</v>
      </c>
      <c r="H139" s="32">
        <v>4.796672</v>
      </c>
      <c r="I139" s="32">
        <v>6.7326816000000003</v>
      </c>
      <c r="J139" s="32">
        <v>15.783884799999999</v>
      </c>
      <c r="K139" s="32">
        <v>31.6003072</v>
      </c>
      <c r="L139" s="32">
        <v>38.580147199999999</v>
      </c>
      <c r="M139" s="41" t="s">
        <v>79</v>
      </c>
    </row>
    <row r="140" spans="1:13">
      <c r="A140" t="s">
        <v>106</v>
      </c>
      <c r="B140" t="s">
        <v>84</v>
      </c>
      <c r="C140" t="s">
        <v>85</v>
      </c>
      <c r="D140" t="s">
        <v>86</v>
      </c>
      <c r="E140" t="s">
        <v>72</v>
      </c>
      <c r="F140" s="40">
        <v>0</v>
      </c>
      <c r="G140" s="40">
        <v>0</v>
      </c>
      <c r="H140" s="40">
        <v>22</v>
      </c>
      <c r="I140" s="40">
        <v>41</v>
      </c>
      <c r="J140" s="40">
        <v>143</v>
      </c>
      <c r="K140" s="40">
        <v>265</v>
      </c>
      <c r="L140" s="40">
        <v>265</v>
      </c>
      <c r="M140" s="41" t="s">
        <v>79</v>
      </c>
    </row>
    <row r="141" spans="1:13">
      <c r="A141" t="s">
        <v>106</v>
      </c>
      <c r="B141" t="s">
        <v>87</v>
      </c>
      <c r="C141" t="s">
        <v>88</v>
      </c>
      <c r="D141" t="s">
        <v>78</v>
      </c>
      <c r="E141" t="s">
        <v>72</v>
      </c>
      <c r="F141" s="32">
        <v>693.74750999218065</v>
      </c>
      <c r="G141" s="32">
        <v>850.50580882322231</v>
      </c>
      <c r="H141" s="32">
        <v>862.90684243736268</v>
      </c>
      <c r="I141" s="32">
        <v>1023.836972489322</v>
      </c>
      <c r="J141" s="32">
        <v>974.11492033814147</v>
      </c>
      <c r="K141" s="32">
        <v>886.57950053133004</v>
      </c>
      <c r="L141" s="32">
        <v>783.01520971339971</v>
      </c>
      <c r="M141" s="41" t="s">
        <v>79</v>
      </c>
    </row>
    <row r="142" spans="1:13">
      <c r="A142" t="s">
        <v>106</v>
      </c>
      <c r="B142" t="s">
        <v>29</v>
      </c>
      <c r="C142" t="s">
        <v>89</v>
      </c>
      <c r="D142" t="s">
        <v>78</v>
      </c>
      <c r="E142" t="s">
        <v>72</v>
      </c>
      <c r="F142" s="41" t="s">
        <v>79</v>
      </c>
      <c r="G142" s="41" t="s">
        <v>79</v>
      </c>
      <c r="H142" s="41" t="s">
        <v>79</v>
      </c>
      <c r="I142" s="41" t="s">
        <v>79</v>
      </c>
      <c r="J142" s="41" t="s">
        <v>79</v>
      </c>
      <c r="K142" s="41" t="s">
        <v>79</v>
      </c>
      <c r="L142" s="41" t="s">
        <v>79</v>
      </c>
      <c r="M142" s="32">
        <v>4605.5684455095561</v>
      </c>
    </row>
    <row r="143" spans="1:13">
      <c r="A143" t="s">
        <v>106</v>
      </c>
      <c r="B143" t="s">
        <v>90</v>
      </c>
      <c r="C143" t="s">
        <v>77</v>
      </c>
      <c r="D143" t="s">
        <v>78</v>
      </c>
      <c r="E143" t="s">
        <v>72</v>
      </c>
      <c r="F143" s="32">
        <v>0</v>
      </c>
      <c r="G143" s="32">
        <v>0</v>
      </c>
      <c r="H143" s="41" t="s">
        <v>79</v>
      </c>
      <c r="I143" s="41" t="s">
        <v>79</v>
      </c>
      <c r="J143" s="41" t="s">
        <v>79</v>
      </c>
      <c r="K143" s="41" t="s">
        <v>79</v>
      </c>
      <c r="L143" s="41" t="s">
        <v>79</v>
      </c>
      <c r="M143" s="41" t="s">
        <v>79</v>
      </c>
    </row>
    <row r="144" spans="1:13">
      <c r="A144" t="s">
        <v>106</v>
      </c>
      <c r="B144" t="s">
        <v>91</v>
      </c>
      <c r="C144" t="s">
        <v>81</v>
      </c>
      <c r="D144" t="s">
        <v>78</v>
      </c>
      <c r="E144" t="s">
        <v>72</v>
      </c>
      <c r="F144" s="32">
        <v>0</v>
      </c>
      <c r="G144" s="32">
        <v>0</v>
      </c>
      <c r="H144" s="41" t="s">
        <v>79</v>
      </c>
      <c r="I144" s="41" t="s">
        <v>79</v>
      </c>
      <c r="J144" s="41" t="s">
        <v>79</v>
      </c>
      <c r="K144" s="41" t="s">
        <v>79</v>
      </c>
      <c r="L144" s="41" t="s">
        <v>79</v>
      </c>
      <c r="M144" s="41" t="s">
        <v>79</v>
      </c>
    </row>
    <row r="145" spans="1:13">
      <c r="A145" t="s">
        <v>106</v>
      </c>
      <c r="B145" t="s">
        <v>92</v>
      </c>
      <c r="C145" t="s">
        <v>83</v>
      </c>
      <c r="D145" t="s">
        <v>78</v>
      </c>
      <c r="E145" t="s">
        <v>72</v>
      </c>
      <c r="F145" s="32">
        <v>0</v>
      </c>
      <c r="G145" s="32">
        <v>0</v>
      </c>
      <c r="H145" s="41" t="s">
        <v>79</v>
      </c>
      <c r="I145" s="41" t="s">
        <v>79</v>
      </c>
      <c r="J145" s="41" t="s">
        <v>79</v>
      </c>
      <c r="K145" s="41" t="s">
        <v>79</v>
      </c>
      <c r="L145" s="41" t="s">
        <v>79</v>
      </c>
      <c r="M145" s="41" t="s">
        <v>79</v>
      </c>
    </row>
    <row r="146" spans="1:13">
      <c r="A146" t="s">
        <v>106</v>
      </c>
      <c r="B146" t="s">
        <v>93</v>
      </c>
      <c r="C146" t="s">
        <v>77</v>
      </c>
      <c r="D146" t="s">
        <v>78</v>
      </c>
      <c r="E146" t="s">
        <v>72</v>
      </c>
      <c r="F146" s="32">
        <v>0</v>
      </c>
      <c r="G146" s="32">
        <v>0</v>
      </c>
      <c r="H146" s="32">
        <v>0</v>
      </c>
      <c r="I146" s="32">
        <v>0</v>
      </c>
      <c r="J146" s="32">
        <v>0</v>
      </c>
      <c r="K146" s="32">
        <v>0</v>
      </c>
      <c r="L146" s="32">
        <v>0</v>
      </c>
      <c r="M146" s="41" t="s">
        <v>79</v>
      </c>
    </row>
    <row r="147" spans="1:13">
      <c r="A147" t="s">
        <v>106</v>
      </c>
      <c r="B147" t="s">
        <v>94</v>
      </c>
      <c r="C147" t="s">
        <v>81</v>
      </c>
      <c r="D147" t="s">
        <v>78</v>
      </c>
      <c r="E147" t="s">
        <v>72</v>
      </c>
      <c r="F147" s="32">
        <v>0</v>
      </c>
      <c r="G147" s="32">
        <v>0</v>
      </c>
      <c r="H147" s="32">
        <v>0</v>
      </c>
      <c r="I147" s="32">
        <v>0</v>
      </c>
      <c r="J147" s="32">
        <v>0</v>
      </c>
      <c r="K147" s="32">
        <v>0</v>
      </c>
      <c r="L147" s="32">
        <v>0</v>
      </c>
      <c r="M147" s="41" t="s">
        <v>79</v>
      </c>
    </row>
    <row r="148" spans="1:13">
      <c r="A148" t="s">
        <v>106</v>
      </c>
      <c r="B148" t="s">
        <v>95</v>
      </c>
      <c r="C148" t="s">
        <v>83</v>
      </c>
      <c r="D148" t="s">
        <v>78</v>
      </c>
      <c r="E148" t="s">
        <v>72</v>
      </c>
      <c r="F148" s="32">
        <v>0</v>
      </c>
      <c r="G148" s="32">
        <v>0</v>
      </c>
      <c r="H148" s="32">
        <v>0</v>
      </c>
      <c r="I148" s="32">
        <v>0</v>
      </c>
      <c r="J148" s="32">
        <v>0</v>
      </c>
      <c r="K148" s="32">
        <v>0</v>
      </c>
      <c r="L148" s="32">
        <v>0</v>
      </c>
      <c r="M148" s="41" t="s">
        <v>79</v>
      </c>
    </row>
    <row r="149" spans="1:13">
      <c r="A149" t="s">
        <v>106</v>
      </c>
      <c r="B149" t="s">
        <v>96</v>
      </c>
      <c r="C149" t="s">
        <v>85</v>
      </c>
      <c r="D149" t="s">
        <v>86</v>
      </c>
      <c r="E149" t="s">
        <v>72</v>
      </c>
      <c r="F149" s="41" t="s">
        <v>79</v>
      </c>
      <c r="G149" s="41" t="s">
        <v>79</v>
      </c>
      <c r="H149" s="41" t="s">
        <v>79</v>
      </c>
      <c r="I149" s="41" t="s">
        <v>79</v>
      </c>
      <c r="J149" s="41" t="s">
        <v>79</v>
      </c>
      <c r="K149" s="41" t="s">
        <v>79</v>
      </c>
      <c r="L149" s="41" t="s">
        <v>79</v>
      </c>
      <c r="M149" s="41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22C99-124D-4113-A816-6B21A56E2625}">
  <sheetPr codeName="Sheet8">
    <tabColor rgb="FFFFDB8E"/>
  </sheetPr>
  <dimension ref="A1:W151"/>
  <sheetViews>
    <sheetView showGridLines="0" zoomScale="80" zoomScaleNormal="80" workbookViewId="0"/>
  </sheetViews>
  <sheetFormatPr defaultColWidth="9" defaultRowHeight="14.25"/>
  <cols>
    <col min="2" max="2" width="24" customWidth="1"/>
    <col min="3" max="3" width="30.140625" customWidth="1"/>
    <col min="6" max="12" width="10.85546875" customWidth="1"/>
    <col min="13" max="13" width="11.28515625" customWidth="1"/>
    <col min="14" max="14" width="9" style="84"/>
    <col min="15" max="15" width="19.42578125" style="84" customWidth="1"/>
    <col min="16" max="22" width="12.5703125" style="84" customWidth="1"/>
    <col min="23" max="23" width="12.5703125" customWidth="1"/>
    <col min="24" max="16384" width="9" style="84"/>
  </cols>
  <sheetData>
    <row r="1" spans="1:23" ht="47.25">
      <c r="A1" s="62" t="str">
        <f ca="1" xml:space="preserve"> RIGHT(CELL("filename", A1), LEN(CELL("filename", A1)) - SEARCH("]", CELL("filename", A1)))</f>
        <v>F_Inputs_adjusted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</row>
    <row r="2" spans="1:23" ht="15">
      <c r="C2" s="83" t="s">
        <v>107</v>
      </c>
      <c r="D2" s="201"/>
      <c r="E2" s="83" t="s">
        <v>108</v>
      </c>
      <c r="N2"/>
    </row>
    <row r="3" spans="1:23" ht="15">
      <c r="A3" s="85" t="s">
        <v>59</v>
      </c>
      <c r="B3" s="85" t="s">
        <v>60</v>
      </c>
      <c r="C3" s="85" t="s">
        <v>61</v>
      </c>
      <c r="D3" s="85" t="s">
        <v>62</v>
      </c>
      <c r="E3" s="85" t="s">
        <v>63</v>
      </c>
      <c r="F3" s="85" t="s">
        <v>64</v>
      </c>
      <c r="G3" s="85" t="s">
        <v>65</v>
      </c>
      <c r="H3" s="85" t="s">
        <v>66</v>
      </c>
      <c r="I3" s="85" t="s">
        <v>67</v>
      </c>
      <c r="J3" s="85" t="s">
        <v>68</v>
      </c>
      <c r="K3" s="85" t="s">
        <v>69</v>
      </c>
      <c r="L3" s="85" t="s">
        <v>70</v>
      </c>
      <c r="M3" s="85" t="s">
        <v>71</v>
      </c>
      <c r="P3" s="85" t="s">
        <v>64</v>
      </c>
      <c r="Q3" s="85" t="s">
        <v>65</v>
      </c>
      <c r="R3" s="85" t="s">
        <v>66</v>
      </c>
      <c r="S3" s="85" t="s">
        <v>67</v>
      </c>
      <c r="T3" s="85" t="s">
        <v>68</v>
      </c>
      <c r="U3" s="85" t="s">
        <v>69</v>
      </c>
      <c r="V3" s="85" t="s">
        <v>70</v>
      </c>
      <c r="W3" s="85" t="s">
        <v>71</v>
      </c>
    </row>
    <row r="4" spans="1:23">
      <c r="M4" s="84"/>
    </row>
    <row r="5" spans="1:23" ht="15">
      <c r="F5" s="85" t="s">
        <v>72</v>
      </c>
      <c r="G5" s="85" t="s">
        <v>72</v>
      </c>
      <c r="H5" s="85" t="s">
        <v>72</v>
      </c>
      <c r="I5" s="85" t="s">
        <v>72</v>
      </c>
      <c r="J5" s="85" t="s">
        <v>72</v>
      </c>
      <c r="K5" s="85" t="s">
        <v>72</v>
      </c>
      <c r="L5" s="85" t="s">
        <v>72</v>
      </c>
      <c r="M5" s="85" t="s">
        <v>72</v>
      </c>
      <c r="P5" s="85" t="s">
        <v>72</v>
      </c>
      <c r="Q5" s="85" t="s">
        <v>72</v>
      </c>
      <c r="R5" s="85" t="s">
        <v>72</v>
      </c>
      <c r="S5" s="85" t="s">
        <v>72</v>
      </c>
      <c r="T5" s="85" t="s">
        <v>72</v>
      </c>
      <c r="U5" s="85" t="s">
        <v>72</v>
      </c>
      <c r="V5" s="85" t="s">
        <v>72</v>
      </c>
      <c r="W5" s="85" t="s">
        <v>72</v>
      </c>
    </row>
    <row r="6" spans="1:23" ht="15">
      <c r="F6" s="160" t="s">
        <v>73</v>
      </c>
      <c r="G6" s="160" t="s">
        <v>73</v>
      </c>
      <c r="H6" s="160" t="s">
        <v>73</v>
      </c>
      <c r="I6" s="160" t="s">
        <v>73</v>
      </c>
      <c r="J6" s="160" t="s">
        <v>73</v>
      </c>
      <c r="K6" s="160" t="s">
        <v>73</v>
      </c>
      <c r="L6" s="160" t="s">
        <v>73</v>
      </c>
      <c r="M6" s="160" t="s">
        <v>73</v>
      </c>
      <c r="P6" s="160" t="s">
        <v>73</v>
      </c>
      <c r="Q6" s="160" t="s">
        <v>73</v>
      </c>
      <c r="R6" s="160" t="s">
        <v>73</v>
      </c>
      <c r="S6" s="160" t="s">
        <v>73</v>
      </c>
      <c r="T6" s="160" t="s">
        <v>73</v>
      </c>
      <c r="U6" s="160" t="s">
        <v>73</v>
      </c>
      <c r="V6" s="160" t="s">
        <v>73</v>
      </c>
      <c r="W6" s="160" t="s">
        <v>73</v>
      </c>
    </row>
    <row r="7" spans="1:23" ht="15">
      <c r="F7" s="85" t="s">
        <v>74</v>
      </c>
      <c r="G7" s="85" t="s">
        <v>74</v>
      </c>
      <c r="H7" s="85" t="s">
        <v>74</v>
      </c>
      <c r="I7" s="85" t="s">
        <v>74</v>
      </c>
      <c r="J7" s="85" t="s">
        <v>74</v>
      </c>
      <c r="K7" s="85" t="s">
        <v>74</v>
      </c>
      <c r="L7" s="85" t="s">
        <v>74</v>
      </c>
      <c r="M7" s="85" t="s">
        <v>74</v>
      </c>
      <c r="P7" s="85" t="s">
        <v>74</v>
      </c>
      <c r="Q7" s="85" t="s">
        <v>74</v>
      </c>
      <c r="R7" s="85" t="s">
        <v>74</v>
      </c>
      <c r="S7" s="85" t="s">
        <v>74</v>
      </c>
      <c r="T7" s="85" t="s">
        <v>74</v>
      </c>
      <c r="U7" s="85" t="s">
        <v>74</v>
      </c>
      <c r="V7" s="85" t="s">
        <v>74</v>
      </c>
      <c r="W7" s="85" t="s">
        <v>74</v>
      </c>
    </row>
    <row r="8" spans="1:23">
      <c r="A8" t="str">
        <f>F_Inputs!A7</f>
        <v>ANH</v>
      </c>
      <c r="B8" t="str">
        <f>F_Inputs!B7</f>
        <v>CWW3_007TOT_PR24</v>
      </c>
      <c r="C8" t="str">
        <f>F_Inputs!C7</f>
        <v>EA/NRW environmental programme wastewater (WINEP/NEP) - Continuous river water quality monitoring (WINEP/NEP) wastewater capex - Total</v>
      </c>
      <c r="D8" t="str">
        <f>F_Inputs!D7</f>
        <v>£m</v>
      </c>
      <c r="E8" t="str">
        <f>F_Inputs!E7</f>
        <v>Price Review 2024</v>
      </c>
      <c r="F8">
        <f>F_Inputs!F7</f>
        <v>0</v>
      </c>
      <c r="G8">
        <f>F_Inputs!G7</f>
        <v>0</v>
      </c>
      <c r="H8">
        <f>F_Inputs!H7</f>
        <v>0.86799999999999999</v>
      </c>
      <c r="I8">
        <f>F_Inputs!I7</f>
        <v>17.236000000000001</v>
      </c>
      <c r="J8">
        <f>F_Inputs!J7</f>
        <v>18.103999999999999</v>
      </c>
      <c r="K8">
        <f>F_Inputs!K7</f>
        <v>18.103999999999999</v>
      </c>
      <c r="L8">
        <f>F_Inputs!L7</f>
        <v>18.103999999999999</v>
      </c>
      <c r="M8" t="str">
        <f>F_Inputs!M7</f>
        <v/>
      </c>
      <c r="O8" s="84" t="str">
        <f>LEFT(B8,6)</f>
        <v>CWW3_0</v>
      </c>
      <c r="P8" s="32">
        <f>IF(OR($O8="CWW12_",$O8= "CWW17_",$O8= "CWW20A"),F8,0)</f>
        <v>0</v>
      </c>
      <c r="Q8" s="32">
        <f>IF(OR($O8="CWW12_",$O8= "CWW17_",$O8= "CWW20A"),G8,0)</f>
        <v>0</v>
      </c>
      <c r="R8" s="32">
        <f t="shared" ref="R8:R39" si="0">IF(OR($O8="CWW3_0",$O8="CWW3_1", $O8= "CWW20_",$O8="CWW1A_",$O8="PR24_N"),H8,0)</f>
        <v>0.86799999999999999</v>
      </c>
      <c r="S8" s="32">
        <f t="shared" ref="S8:S39" si="1">IF(OR($O8="CWW3_0",$O8="CWW3_1", $O8= "CWW20_",$O8="CWW1A_",$O8="PR24_N"),I8,0)</f>
        <v>17.236000000000001</v>
      </c>
      <c r="T8" s="32">
        <f t="shared" ref="T8:T39" si="2">IF(OR($O8="CWW3_0",$O8="CWW3_1", $O8= "CWW20_",$O8="CWW1A_",$O8="PR24_N"),J8,0)</f>
        <v>18.103999999999999</v>
      </c>
      <c r="U8" s="32">
        <f t="shared" ref="U8:U39" si="3">IF(OR($O8="CWW3_0",$O8="CWW3_1", $O8= "CWW20_",$O8="CWW1A_",$O8="PR24_N"),K8,0)</f>
        <v>18.103999999999999</v>
      </c>
      <c r="V8" s="32">
        <f t="shared" ref="V8:V39" si="4">IF(OR($O8="CWW3_0",$O8="CWW3_1", $O8= "CWW20_",$O8="CWW1A_",$O8="PR24_N"),L8,0)</f>
        <v>18.103999999999999</v>
      </c>
      <c r="W8" s="32" t="str">
        <f t="shared" ref="W8:W39" si="5">IF(OR($O8="CWW3_0",$O8="CWW3_1", $O8= "CWW20_",$O8="CWW1A_",$O8="PR24_N"),M8,0)</f>
        <v/>
      </c>
    </row>
    <row r="9" spans="1:23">
      <c r="A9" t="str">
        <f>F_Inputs!A8</f>
        <v>ANH</v>
      </c>
      <c r="B9" t="str">
        <f>F_Inputs!B8</f>
        <v>CWW3_008TOT_PR24</v>
      </c>
      <c r="C9" t="str">
        <f>F_Inputs!C8</f>
        <v>EA/NRW environmental programme wastewater (WINEP/NEP) - Continuous river water quality monitoring (WINEP/NEP) wastewater opex - Total</v>
      </c>
      <c r="D9" t="str">
        <f>F_Inputs!D8</f>
        <v>£m</v>
      </c>
      <c r="E9" t="str">
        <f>F_Inputs!E8</f>
        <v>Price Review 2024</v>
      </c>
      <c r="F9">
        <f>F_Inputs!F8</f>
        <v>0</v>
      </c>
      <c r="G9">
        <f>F_Inputs!G8</f>
        <v>0</v>
      </c>
      <c r="H9">
        <f>F_Inputs!H8</f>
        <v>0</v>
      </c>
      <c r="I9">
        <f>F_Inputs!I8</f>
        <v>0.50700000000000001</v>
      </c>
      <c r="J9">
        <f>F_Inputs!J8</f>
        <v>1.014</v>
      </c>
      <c r="K9">
        <f>F_Inputs!K8</f>
        <v>1.5189999999999999</v>
      </c>
      <c r="L9">
        <f>F_Inputs!L8</f>
        <v>2.3639999999999999</v>
      </c>
      <c r="M9" t="str">
        <f>F_Inputs!M8</f>
        <v/>
      </c>
      <c r="O9" s="84" t="str">
        <f t="shared" ref="O9:O72" si="6">LEFT(B9,6)</f>
        <v>CWW3_0</v>
      </c>
      <c r="P9" s="32">
        <f t="shared" ref="P9:P72" si="7">IF(OR($O9="CWW12_",$O9= "CWW17_",$O9= "CWW20A"),F9,0)</f>
        <v>0</v>
      </c>
      <c r="Q9" s="32">
        <f t="shared" ref="Q9:Q72" si="8">IF(OR($O9="CWW12_",$O9= "CWW17_",$O9= "CWW20A"),G9,0)</f>
        <v>0</v>
      </c>
      <c r="R9" s="32">
        <f t="shared" si="0"/>
        <v>0</v>
      </c>
      <c r="S9" s="32">
        <f t="shared" si="1"/>
        <v>0.50700000000000001</v>
      </c>
      <c r="T9" s="32">
        <f t="shared" si="2"/>
        <v>1.014</v>
      </c>
      <c r="U9" s="32">
        <f t="shared" si="3"/>
        <v>1.5189999999999999</v>
      </c>
      <c r="V9" s="32">
        <f t="shared" si="4"/>
        <v>2.3639999999999999</v>
      </c>
      <c r="W9" s="32" t="str">
        <f t="shared" si="5"/>
        <v/>
      </c>
    </row>
    <row r="10" spans="1:23">
      <c r="A10" t="str">
        <f>F_Inputs!A9</f>
        <v>ANH</v>
      </c>
      <c r="B10" t="str">
        <f>F_Inputs!B9</f>
        <v>CWW3_009TOT_PR24</v>
      </c>
      <c r="C10" t="str">
        <f>F_Inputs!C9</f>
        <v>EA/NRW environmental programme wastewater (WINEP/NEP) - Continuous river water quality monitoring (WINEP/NEP) wastewater totex - Total</v>
      </c>
      <c r="D10" t="str">
        <f>F_Inputs!D9</f>
        <v>£m</v>
      </c>
      <c r="E10" t="str">
        <f>F_Inputs!E9</f>
        <v>Price Review 2024</v>
      </c>
      <c r="F10">
        <f>F_Inputs!F9</f>
        <v>0</v>
      </c>
      <c r="G10">
        <f>F_Inputs!G9</f>
        <v>0</v>
      </c>
      <c r="H10">
        <f>F_Inputs!H9</f>
        <v>0.86799999999999999</v>
      </c>
      <c r="I10">
        <f>F_Inputs!I9</f>
        <v>17.742999999999999</v>
      </c>
      <c r="J10">
        <f>F_Inputs!J9</f>
        <v>19.117999999999999</v>
      </c>
      <c r="K10">
        <f>F_Inputs!K9</f>
        <v>19.623000000000001</v>
      </c>
      <c r="L10">
        <f>F_Inputs!L9</f>
        <v>20.468</v>
      </c>
      <c r="M10" t="str">
        <f>F_Inputs!M9</f>
        <v/>
      </c>
      <c r="O10" s="84" t="str">
        <f t="shared" si="6"/>
        <v>CWW3_0</v>
      </c>
      <c r="P10" s="32">
        <f>IF(OR($O10="CWW12_",$O10= "CWW17_",$O10= "CWW20A"),F10,0)</f>
        <v>0</v>
      </c>
      <c r="Q10" s="32">
        <f t="shared" si="8"/>
        <v>0</v>
      </c>
      <c r="R10" s="32">
        <f t="shared" si="0"/>
        <v>0.86799999999999999</v>
      </c>
      <c r="S10" s="32">
        <f t="shared" si="1"/>
        <v>17.742999999999999</v>
      </c>
      <c r="T10" s="32">
        <f t="shared" si="2"/>
        <v>19.117999999999999</v>
      </c>
      <c r="U10" s="32">
        <f t="shared" si="3"/>
        <v>19.623000000000001</v>
      </c>
      <c r="V10" s="32">
        <f t="shared" si="4"/>
        <v>20.468</v>
      </c>
      <c r="W10" s="32" t="str">
        <f t="shared" si="5"/>
        <v/>
      </c>
    </row>
    <row r="11" spans="1:23">
      <c r="A11" t="str">
        <f>F_Inputs!A10</f>
        <v>ANH</v>
      </c>
      <c r="B11" t="str">
        <f>F_Inputs!B10</f>
        <v>CWW20_049_PR24</v>
      </c>
      <c r="C11" t="str">
        <f>F_Inputs!C10</f>
        <v>Network / Storm overflow data - Number of continuous water quality monitor installations</v>
      </c>
      <c r="D11" t="str">
        <f>F_Inputs!D10</f>
        <v>nr</v>
      </c>
      <c r="E11" t="str">
        <f>F_Inputs!E10</f>
        <v>Price Review 2024</v>
      </c>
      <c r="F11">
        <f>F_Inputs!F10</f>
        <v>0</v>
      </c>
      <c r="G11">
        <f>F_Inputs!G10</f>
        <v>0</v>
      </c>
      <c r="H11">
        <f>F_Inputs!H10</f>
        <v>0</v>
      </c>
      <c r="I11">
        <f>F_Inputs!I10</f>
        <v>117</v>
      </c>
      <c r="J11">
        <f>F_Inputs!J10</f>
        <v>117</v>
      </c>
      <c r="K11">
        <f>F_Inputs!K10</f>
        <v>175</v>
      </c>
      <c r="L11">
        <f>F_Inputs!L10</f>
        <v>175</v>
      </c>
      <c r="M11" t="str">
        <f>F_Inputs!M10</f>
        <v/>
      </c>
      <c r="O11" s="84" t="str">
        <f t="shared" si="6"/>
        <v>CWW20_</v>
      </c>
      <c r="P11" s="32">
        <f t="shared" si="7"/>
        <v>0</v>
      </c>
      <c r="Q11" s="32">
        <f t="shared" si="8"/>
        <v>0</v>
      </c>
      <c r="R11" s="32">
        <f t="shared" si="0"/>
        <v>0</v>
      </c>
      <c r="S11" s="32">
        <f t="shared" si="1"/>
        <v>117</v>
      </c>
      <c r="T11" s="32">
        <f t="shared" si="2"/>
        <v>117</v>
      </c>
      <c r="U11" s="32">
        <f t="shared" si="3"/>
        <v>175</v>
      </c>
      <c r="V11" s="32">
        <f t="shared" si="4"/>
        <v>175</v>
      </c>
      <c r="W11" s="32" t="str">
        <f t="shared" si="5"/>
        <v/>
      </c>
    </row>
    <row r="12" spans="1:23">
      <c r="A12" t="str">
        <f>F_Inputs!A11</f>
        <v>ANH</v>
      </c>
      <c r="B12" t="str">
        <f>F_Inputs!B11</f>
        <v>CWW1A_015TOT_PR24</v>
      </c>
      <c r="C12" t="str">
        <f>F_Inputs!C11</f>
        <v>Net totex - Total</v>
      </c>
      <c r="D12" t="str">
        <f>F_Inputs!D11</f>
        <v>£m</v>
      </c>
      <c r="E12" t="str">
        <f>F_Inputs!E11</f>
        <v>Price Review 2024</v>
      </c>
      <c r="F12">
        <f>F_Inputs!F11</f>
        <v>678.24128242532845</v>
      </c>
      <c r="G12">
        <f>F_Inputs!G11</f>
        <v>838.85920750518312</v>
      </c>
      <c r="H12">
        <f>F_Inputs!H11</f>
        <v>918.35791855506159</v>
      </c>
      <c r="I12">
        <f>F_Inputs!I11</f>
        <v>1252.510714614566</v>
      </c>
      <c r="J12">
        <f>F_Inputs!J11</f>
        <v>1373.6720073368151</v>
      </c>
      <c r="K12">
        <f>F_Inputs!K11</f>
        <v>1412.752604889323</v>
      </c>
      <c r="L12">
        <f>F_Inputs!L11</f>
        <v>1043.517799885112</v>
      </c>
      <c r="M12" t="str">
        <f>F_Inputs!M11</f>
        <v/>
      </c>
      <c r="O12" s="84" t="str">
        <f t="shared" si="6"/>
        <v>CWW1A_</v>
      </c>
      <c r="P12" s="32">
        <f t="shared" si="7"/>
        <v>0</v>
      </c>
      <c r="Q12" s="32">
        <f t="shared" si="8"/>
        <v>0</v>
      </c>
      <c r="R12" s="32">
        <f t="shared" si="0"/>
        <v>918.35791855506159</v>
      </c>
      <c r="S12" s="32">
        <f t="shared" si="1"/>
        <v>1252.510714614566</v>
      </c>
      <c r="T12" s="32">
        <f t="shared" si="2"/>
        <v>1373.6720073368151</v>
      </c>
      <c r="U12" s="32">
        <f t="shared" si="3"/>
        <v>1412.752604889323</v>
      </c>
      <c r="V12" s="32">
        <f t="shared" si="4"/>
        <v>1043.517799885112</v>
      </c>
      <c r="W12" s="32" t="str">
        <f t="shared" si="5"/>
        <v/>
      </c>
    </row>
    <row r="13" spans="1:23">
      <c r="A13" t="str">
        <f>F_Inputs!A12</f>
        <v>ANH</v>
      </c>
      <c r="B13" t="str">
        <f>F_Inputs!B12</f>
        <v>PR24_NETTOTEX_WASTE</v>
      </c>
      <c r="C13" t="str">
        <f>F_Inputs!C12</f>
        <v>PR24 BP Net totex - Total inc. accelerated &amp; transition costs</v>
      </c>
      <c r="D13" t="str">
        <f>F_Inputs!D12</f>
        <v>£m</v>
      </c>
      <c r="E13" t="str">
        <f>F_Inputs!E12</f>
        <v>Price Review 2024</v>
      </c>
      <c r="F13" t="str">
        <f>F_Inputs!F12</f>
        <v/>
      </c>
      <c r="G13" t="str">
        <f>F_Inputs!G12</f>
        <v/>
      </c>
      <c r="H13" t="str">
        <f>F_Inputs!H12</f>
        <v/>
      </c>
      <c r="I13" t="str">
        <f>F_Inputs!I12</f>
        <v/>
      </c>
      <c r="J13" t="str">
        <f>F_Inputs!J12</f>
        <v/>
      </c>
      <c r="K13" t="str">
        <f>F_Inputs!K12</f>
        <v/>
      </c>
      <c r="L13" t="str">
        <f>F_Inputs!L12</f>
        <v/>
      </c>
      <c r="M13">
        <f>F_Inputs!M12</f>
        <v>6050.1791019508782</v>
      </c>
      <c r="O13" s="84" t="str">
        <f t="shared" si="6"/>
        <v>PR24_N</v>
      </c>
      <c r="P13" s="32">
        <f t="shared" si="7"/>
        <v>0</v>
      </c>
      <c r="Q13" s="32">
        <f t="shared" si="8"/>
        <v>0</v>
      </c>
      <c r="R13" s="32" t="str">
        <f t="shared" si="0"/>
        <v/>
      </c>
      <c r="S13" s="32" t="str">
        <f t="shared" si="1"/>
        <v/>
      </c>
      <c r="T13" s="32" t="str">
        <f t="shared" si="2"/>
        <v/>
      </c>
      <c r="U13" s="32" t="str">
        <f t="shared" si="3"/>
        <v/>
      </c>
      <c r="V13" s="32" t="str">
        <f t="shared" si="4"/>
        <v/>
      </c>
      <c r="W13" s="32">
        <f t="shared" si="5"/>
        <v>6050.1791019508782</v>
      </c>
    </row>
    <row r="14" spans="1:23">
      <c r="A14" t="str">
        <f>F_Inputs!A13</f>
        <v>ANH</v>
      </c>
      <c r="B14" t="str">
        <f>F_Inputs!B13</f>
        <v>CWW12_007TOT_PR24</v>
      </c>
      <c r="C14" t="str">
        <f>F_Inputs!C13</f>
        <v>EA/NRW environmental programme wastewater (WINEP/NEP) - Continuous river water quality monitoring (WINEP/NEP) wastewater capex - Total</v>
      </c>
      <c r="D14" t="str">
        <f>F_Inputs!D13</f>
        <v>£m</v>
      </c>
      <c r="E14" t="str">
        <f>F_Inputs!E13</f>
        <v>Price Review 2024</v>
      </c>
      <c r="F14">
        <f>F_Inputs!F13</f>
        <v>0</v>
      </c>
      <c r="G14">
        <f>F_Inputs!G13</f>
        <v>0</v>
      </c>
      <c r="H14" t="str">
        <f>F_Inputs!H13</f>
        <v/>
      </c>
      <c r="I14" t="str">
        <f>F_Inputs!I13</f>
        <v/>
      </c>
      <c r="J14" t="str">
        <f>F_Inputs!J13</f>
        <v/>
      </c>
      <c r="K14" t="str">
        <f>F_Inputs!K13</f>
        <v/>
      </c>
      <c r="L14" t="str">
        <f>F_Inputs!L13</f>
        <v/>
      </c>
      <c r="M14" t="str">
        <f>F_Inputs!M13</f>
        <v/>
      </c>
      <c r="O14" s="84" t="str">
        <f t="shared" si="6"/>
        <v>CWW12_</v>
      </c>
      <c r="P14" s="32">
        <f t="shared" si="7"/>
        <v>0</v>
      </c>
      <c r="Q14" s="32">
        <f t="shared" si="8"/>
        <v>0</v>
      </c>
      <c r="R14" s="32">
        <f t="shared" si="0"/>
        <v>0</v>
      </c>
      <c r="S14" s="32">
        <f t="shared" si="1"/>
        <v>0</v>
      </c>
      <c r="T14" s="32">
        <f t="shared" si="2"/>
        <v>0</v>
      </c>
      <c r="U14" s="32">
        <f t="shared" si="3"/>
        <v>0</v>
      </c>
      <c r="V14" s="32">
        <f t="shared" si="4"/>
        <v>0</v>
      </c>
      <c r="W14" s="32">
        <f t="shared" si="5"/>
        <v>0</v>
      </c>
    </row>
    <row r="15" spans="1:23">
      <c r="A15" t="str">
        <f>F_Inputs!A14</f>
        <v>ANH</v>
      </c>
      <c r="B15" t="str">
        <f>F_Inputs!B14</f>
        <v>CWW12_008TOT_PR24</v>
      </c>
      <c r="C15" t="str">
        <f>F_Inputs!C14</f>
        <v>EA/NRW environmental programme wastewater (WINEP/NEP) - Continuous river water quality monitoring (WINEP/NEP) wastewater opex - Total</v>
      </c>
      <c r="D15" t="str">
        <f>F_Inputs!D14</f>
        <v>£m</v>
      </c>
      <c r="E15" t="str">
        <f>F_Inputs!E14</f>
        <v>Price Review 2024</v>
      </c>
      <c r="F15">
        <f>F_Inputs!F14</f>
        <v>0</v>
      </c>
      <c r="G15">
        <f>F_Inputs!G14</f>
        <v>0</v>
      </c>
      <c r="H15" t="str">
        <f>F_Inputs!H14</f>
        <v/>
      </c>
      <c r="I15" t="str">
        <f>F_Inputs!I14</f>
        <v/>
      </c>
      <c r="J15" t="str">
        <f>F_Inputs!J14</f>
        <v/>
      </c>
      <c r="K15" t="str">
        <f>F_Inputs!K14</f>
        <v/>
      </c>
      <c r="L15" t="str">
        <f>F_Inputs!L14</f>
        <v/>
      </c>
      <c r="M15" t="str">
        <f>F_Inputs!M14</f>
        <v/>
      </c>
      <c r="O15" s="84" t="str">
        <f t="shared" si="6"/>
        <v>CWW12_</v>
      </c>
      <c r="P15" s="32">
        <f t="shared" si="7"/>
        <v>0</v>
      </c>
      <c r="Q15" s="32">
        <f t="shared" si="8"/>
        <v>0</v>
      </c>
      <c r="R15" s="32">
        <f t="shared" si="0"/>
        <v>0</v>
      </c>
      <c r="S15" s="32">
        <f t="shared" si="1"/>
        <v>0</v>
      </c>
      <c r="T15" s="32">
        <f t="shared" si="2"/>
        <v>0</v>
      </c>
      <c r="U15" s="32">
        <f t="shared" si="3"/>
        <v>0</v>
      </c>
      <c r="V15" s="32">
        <f t="shared" si="4"/>
        <v>0</v>
      </c>
      <c r="W15" s="32">
        <f t="shared" si="5"/>
        <v>0</v>
      </c>
    </row>
    <row r="16" spans="1:23">
      <c r="A16" t="str">
        <f>F_Inputs!A15</f>
        <v>ANH</v>
      </c>
      <c r="B16" t="str">
        <f>F_Inputs!B15</f>
        <v>CWW12_009TOT_PR24</v>
      </c>
      <c r="C16" t="str">
        <f>F_Inputs!C15</f>
        <v>EA/NRW environmental programme wastewater (WINEP/NEP) - Continuous river water quality monitoring (WINEP/NEP) wastewater totex - Total</v>
      </c>
      <c r="D16" t="str">
        <f>F_Inputs!D15</f>
        <v>£m</v>
      </c>
      <c r="E16" t="str">
        <f>F_Inputs!E15</f>
        <v>Price Review 2024</v>
      </c>
      <c r="F16">
        <f>F_Inputs!F15</f>
        <v>0</v>
      </c>
      <c r="G16">
        <f>F_Inputs!G15</f>
        <v>0</v>
      </c>
      <c r="H16" t="str">
        <f>F_Inputs!H15</f>
        <v/>
      </c>
      <c r="I16" t="str">
        <f>F_Inputs!I15</f>
        <v/>
      </c>
      <c r="J16" t="str">
        <f>F_Inputs!J15</f>
        <v/>
      </c>
      <c r="K16" t="str">
        <f>F_Inputs!K15</f>
        <v/>
      </c>
      <c r="L16" t="str">
        <f>F_Inputs!L15</f>
        <v/>
      </c>
      <c r="M16" t="str">
        <f>F_Inputs!M15</f>
        <v/>
      </c>
      <c r="O16" s="84" t="str">
        <f t="shared" si="6"/>
        <v>CWW12_</v>
      </c>
      <c r="P16" s="32">
        <f t="shared" si="7"/>
        <v>0</v>
      </c>
      <c r="Q16" s="32">
        <f t="shared" si="8"/>
        <v>0</v>
      </c>
      <c r="R16" s="32">
        <f t="shared" si="0"/>
        <v>0</v>
      </c>
      <c r="S16" s="32">
        <f t="shared" si="1"/>
        <v>0</v>
      </c>
      <c r="T16" s="32">
        <f t="shared" si="2"/>
        <v>0</v>
      </c>
      <c r="U16" s="32">
        <f t="shared" si="3"/>
        <v>0</v>
      </c>
      <c r="V16" s="32">
        <f t="shared" si="4"/>
        <v>0</v>
      </c>
      <c r="W16" s="32">
        <f t="shared" si="5"/>
        <v>0</v>
      </c>
    </row>
    <row r="17" spans="1:23">
      <c r="A17" t="str">
        <f>F_Inputs!A16</f>
        <v>ANH</v>
      </c>
      <c r="B17" t="str">
        <f>F_Inputs!B16</f>
        <v>CWW17_007TOT_PR24</v>
      </c>
      <c r="C17" t="str">
        <f>F_Inputs!C16</f>
        <v>EA/NRW environmental programme wastewater (WINEP/NEP) - Continuous river water quality monitoring (WINEP/NEP) wastewater capex - Total</v>
      </c>
      <c r="D17" t="str">
        <f>F_Inputs!D16</f>
        <v>£m</v>
      </c>
      <c r="E17" t="str">
        <f>F_Inputs!E16</f>
        <v>Price Review 2024</v>
      </c>
      <c r="F17">
        <f>F_Inputs!F16</f>
        <v>0</v>
      </c>
      <c r="G17">
        <f>F_Inputs!G16</f>
        <v>0</v>
      </c>
      <c r="H17">
        <f>F_Inputs!H16</f>
        <v>0</v>
      </c>
      <c r="I17">
        <f>F_Inputs!I16</f>
        <v>0</v>
      </c>
      <c r="J17">
        <f>F_Inputs!J16</f>
        <v>0</v>
      </c>
      <c r="K17">
        <f>F_Inputs!K16</f>
        <v>0</v>
      </c>
      <c r="L17">
        <f>F_Inputs!L16</f>
        <v>0</v>
      </c>
      <c r="M17" t="str">
        <f>F_Inputs!M16</f>
        <v/>
      </c>
      <c r="O17" s="84" t="str">
        <f t="shared" si="6"/>
        <v>CWW17_</v>
      </c>
      <c r="P17" s="32">
        <f t="shared" si="7"/>
        <v>0</v>
      </c>
      <c r="Q17" s="32">
        <f t="shared" si="8"/>
        <v>0</v>
      </c>
      <c r="R17" s="32">
        <f t="shared" si="0"/>
        <v>0</v>
      </c>
      <c r="S17" s="32">
        <f t="shared" si="1"/>
        <v>0</v>
      </c>
      <c r="T17" s="32">
        <f t="shared" si="2"/>
        <v>0</v>
      </c>
      <c r="U17" s="32">
        <f t="shared" si="3"/>
        <v>0</v>
      </c>
      <c r="V17" s="32">
        <f t="shared" si="4"/>
        <v>0</v>
      </c>
      <c r="W17" s="32">
        <f t="shared" si="5"/>
        <v>0</v>
      </c>
    </row>
    <row r="18" spans="1:23">
      <c r="A18" t="str">
        <f>F_Inputs!A17</f>
        <v>ANH</v>
      </c>
      <c r="B18" t="str">
        <f>F_Inputs!B17</f>
        <v>CWW17_008TOT_PR24</v>
      </c>
      <c r="C18" t="str">
        <f>F_Inputs!C17</f>
        <v>EA/NRW environmental programme wastewater (WINEP/NEP) - Continuous river water quality monitoring (WINEP/NEP) wastewater opex - Total</v>
      </c>
      <c r="D18" t="str">
        <f>F_Inputs!D17</f>
        <v>£m</v>
      </c>
      <c r="E18" t="str">
        <f>F_Inputs!E17</f>
        <v>Price Review 2024</v>
      </c>
      <c r="F18">
        <f>F_Inputs!F17</f>
        <v>0</v>
      </c>
      <c r="G18">
        <f>F_Inputs!G17</f>
        <v>0</v>
      </c>
      <c r="H18">
        <f>F_Inputs!H17</f>
        <v>0</v>
      </c>
      <c r="I18">
        <f>F_Inputs!I17</f>
        <v>0</v>
      </c>
      <c r="J18">
        <f>F_Inputs!J17</f>
        <v>0</v>
      </c>
      <c r="K18">
        <f>F_Inputs!K17</f>
        <v>0</v>
      </c>
      <c r="L18">
        <f>F_Inputs!L17</f>
        <v>0</v>
      </c>
      <c r="M18" t="str">
        <f>F_Inputs!M17</f>
        <v/>
      </c>
      <c r="O18" s="84" t="str">
        <f t="shared" si="6"/>
        <v>CWW17_</v>
      </c>
      <c r="P18" s="32">
        <f t="shared" si="7"/>
        <v>0</v>
      </c>
      <c r="Q18" s="32">
        <f t="shared" si="8"/>
        <v>0</v>
      </c>
      <c r="R18" s="32">
        <f t="shared" si="0"/>
        <v>0</v>
      </c>
      <c r="S18" s="32">
        <f t="shared" si="1"/>
        <v>0</v>
      </c>
      <c r="T18" s="32">
        <f t="shared" si="2"/>
        <v>0</v>
      </c>
      <c r="U18" s="32">
        <f t="shared" si="3"/>
        <v>0</v>
      </c>
      <c r="V18" s="32">
        <f t="shared" si="4"/>
        <v>0</v>
      </c>
      <c r="W18" s="32">
        <f t="shared" si="5"/>
        <v>0</v>
      </c>
    </row>
    <row r="19" spans="1:23">
      <c r="A19" t="str">
        <f>F_Inputs!A18</f>
        <v>ANH</v>
      </c>
      <c r="B19" t="str">
        <f>F_Inputs!B18</f>
        <v>CWW17_009TOT_PR24</v>
      </c>
      <c r="C19" t="str">
        <f>F_Inputs!C18</f>
        <v>EA/NRW environmental programme wastewater (WINEP/NEP) - Continuous river water quality monitoring (WINEP/NEP) wastewater totex - Total</v>
      </c>
      <c r="D19" t="str">
        <f>F_Inputs!D18</f>
        <v>£m</v>
      </c>
      <c r="E19" t="str">
        <f>F_Inputs!E18</f>
        <v>Price Review 2024</v>
      </c>
      <c r="F19">
        <f>F_Inputs!F18</f>
        <v>0</v>
      </c>
      <c r="G19">
        <f>F_Inputs!G18</f>
        <v>0</v>
      </c>
      <c r="H19">
        <f>F_Inputs!H18</f>
        <v>0</v>
      </c>
      <c r="I19">
        <f>F_Inputs!I18</f>
        <v>0</v>
      </c>
      <c r="J19">
        <f>F_Inputs!J18</f>
        <v>0</v>
      </c>
      <c r="K19">
        <f>F_Inputs!K18</f>
        <v>0</v>
      </c>
      <c r="L19">
        <f>F_Inputs!L18</f>
        <v>0</v>
      </c>
      <c r="M19" t="str">
        <f>F_Inputs!M18</f>
        <v/>
      </c>
      <c r="O19" s="84" t="str">
        <f t="shared" si="6"/>
        <v>CWW17_</v>
      </c>
      <c r="P19" s="32">
        <f t="shared" si="7"/>
        <v>0</v>
      </c>
      <c r="Q19" s="32">
        <f t="shared" si="8"/>
        <v>0</v>
      </c>
      <c r="R19" s="32">
        <f t="shared" si="0"/>
        <v>0</v>
      </c>
      <c r="S19" s="32">
        <f t="shared" si="1"/>
        <v>0</v>
      </c>
      <c r="T19" s="32">
        <f t="shared" si="2"/>
        <v>0</v>
      </c>
      <c r="U19" s="32">
        <f t="shared" si="3"/>
        <v>0</v>
      </c>
      <c r="V19" s="32">
        <f t="shared" si="4"/>
        <v>0</v>
      </c>
      <c r="W19" s="32">
        <f t="shared" si="5"/>
        <v>0</v>
      </c>
    </row>
    <row r="20" spans="1:23">
      <c r="A20" t="str">
        <f>F_Inputs!A19</f>
        <v>ANH</v>
      </c>
      <c r="B20" t="str">
        <f>F_Inputs!B19</f>
        <v>CWW20A_049_PR24</v>
      </c>
      <c r="C20" t="str">
        <f>F_Inputs!C19</f>
        <v>Network / Storm overflow data - Number of continuous water quality monitor installations</v>
      </c>
      <c r="D20" t="str">
        <f>F_Inputs!D19</f>
        <v>nr</v>
      </c>
      <c r="E20" t="str">
        <f>F_Inputs!E19</f>
        <v>Price Review 2024</v>
      </c>
      <c r="F20" t="str">
        <f>F_Inputs!F19</f>
        <v/>
      </c>
      <c r="G20" t="str">
        <f>F_Inputs!G19</f>
        <v/>
      </c>
      <c r="H20" t="str">
        <f>F_Inputs!H19</f>
        <v/>
      </c>
      <c r="I20" t="str">
        <f>F_Inputs!I19</f>
        <v/>
      </c>
      <c r="J20" t="str">
        <f>F_Inputs!J19</f>
        <v/>
      </c>
      <c r="K20" t="str">
        <f>F_Inputs!K19</f>
        <v/>
      </c>
      <c r="L20" t="str">
        <f>F_Inputs!L19</f>
        <v/>
      </c>
      <c r="M20" t="str">
        <f>F_Inputs!M19</f>
        <v/>
      </c>
      <c r="O20" s="84" t="str">
        <f t="shared" si="6"/>
        <v>CWW20A</v>
      </c>
      <c r="P20" s="32" t="str">
        <f t="shared" si="7"/>
        <v/>
      </c>
      <c r="Q20" s="32" t="str">
        <f t="shared" si="8"/>
        <v/>
      </c>
      <c r="R20" s="32">
        <f t="shared" si="0"/>
        <v>0</v>
      </c>
      <c r="S20" s="32">
        <f t="shared" si="1"/>
        <v>0</v>
      </c>
      <c r="T20" s="32">
        <f t="shared" si="2"/>
        <v>0</v>
      </c>
      <c r="U20" s="32">
        <f t="shared" si="3"/>
        <v>0</v>
      </c>
      <c r="V20" s="32">
        <f t="shared" si="4"/>
        <v>0</v>
      </c>
      <c r="W20" s="32">
        <f t="shared" si="5"/>
        <v>0</v>
      </c>
    </row>
    <row r="21" spans="1:23">
      <c r="A21" t="str">
        <f>F_Inputs!A20</f>
        <v>WSH</v>
      </c>
      <c r="B21" t="str">
        <f>F_Inputs!B20</f>
        <v>CWW3_007TOT_PR24</v>
      </c>
      <c r="C21" t="str">
        <f>F_Inputs!C20</f>
        <v>EA/NRW environmental programme wastewater (WINEP/NEP) - Continuous river water quality monitoring (WINEP/NEP) wastewater capex - Total</v>
      </c>
      <c r="D21" t="str">
        <f>F_Inputs!D20</f>
        <v>£m</v>
      </c>
      <c r="E21" t="str">
        <f>F_Inputs!E20</f>
        <v>Price Review 2024</v>
      </c>
      <c r="F21">
        <f>F_Inputs!F20</f>
        <v>0</v>
      </c>
      <c r="G21">
        <f>F_Inputs!G20</f>
        <v>0</v>
      </c>
      <c r="H21">
        <f>F_Inputs!H20</f>
        <v>2.347</v>
      </c>
      <c r="I21">
        <f>F_Inputs!I20</f>
        <v>2.2869999999999999</v>
      </c>
      <c r="J21">
        <f>F_Inputs!J20</f>
        <v>0</v>
      </c>
      <c r="K21">
        <f>F_Inputs!K20</f>
        <v>0</v>
      </c>
      <c r="L21">
        <f>F_Inputs!L20</f>
        <v>0</v>
      </c>
      <c r="M21" t="str">
        <f>F_Inputs!M20</f>
        <v/>
      </c>
      <c r="O21" s="84" t="str">
        <f t="shared" si="6"/>
        <v>CWW3_0</v>
      </c>
      <c r="P21" s="32">
        <f t="shared" si="7"/>
        <v>0</v>
      </c>
      <c r="Q21" s="32">
        <f t="shared" si="8"/>
        <v>0</v>
      </c>
      <c r="R21" s="32">
        <f t="shared" si="0"/>
        <v>2.347</v>
      </c>
      <c r="S21" s="32">
        <f t="shared" si="1"/>
        <v>2.2869999999999999</v>
      </c>
      <c r="T21" s="32">
        <f t="shared" si="2"/>
        <v>0</v>
      </c>
      <c r="U21" s="32">
        <f t="shared" si="3"/>
        <v>0</v>
      </c>
      <c r="V21" s="32">
        <f t="shared" si="4"/>
        <v>0</v>
      </c>
      <c r="W21" s="32" t="str">
        <f t="shared" si="5"/>
        <v/>
      </c>
    </row>
    <row r="22" spans="1:23">
      <c r="A22" t="str">
        <f>F_Inputs!A21</f>
        <v>WSH</v>
      </c>
      <c r="B22" t="str">
        <f>F_Inputs!B21</f>
        <v>CWW3_008TOT_PR24</v>
      </c>
      <c r="C22" t="str">
        <f>F_Inputs!C21</f>
        <v>EA/NRW environmental programme wastewater (WINEP/NEP) - Continuous river water quality monitoring (WINEP/NEP) wastewater opex - Total</v>
      </c>
      <c r="D22" t="str">
        <f>F_Inputs!D21</f>
        <v>£m</v>
      </c>
      <c r="E22" t="str">
        <f>F_Inputs!E21</f>
        <v>Price Review 2024</v>
      </c>
      <c r="F22">
        <f>F_Inputs!F21</f>
        <v>0</v>
      </c>
      <c r="G22">
        <f>F_Inputs!G21</f>
        <v>0</v>
      </c>
      <c r="H22">
        <f>F_Inputs!H21</f>
        <v>0.159</v>
      </c>
      <c r="I22">
        <f>F_Inputs!I21</f>
        <v>0.31700000000000012</v>
      </c>
      <c r="J22">
        <f>F_Inputs!J21</f>
        <v>0.31900000000000012</v>
      </c>
      <c r="K22">
        <f>F_Inputs!K21</f>
        <v>0.32100000000000012</v>
      </c>
      <c r="L22">
        <f>F_Inputs!L21</f>
        <v>0.32200000000000012</v>
      </c>
      <c r="M22" t="str">
        <f>F_Inputs!M21</f>
        <v/>
      </c>
      <c r="O22" s="84" t="str">
        <f t="shared" si="6"/>
        <v>CWW3_0</v>
      </c>
      <c r="P22" s="32">
        <f t="shared" si="7"/>
        <v>0</v>
      </c>
      <c r="Q22" s="32">
        <f t="shared" si="8"/>
        <v>0</v>
      </c>
      <c r="R22" s="32">
        <f t="shared" si="0"/>
        <v>0.159</v>
      </c>
      <c r="S22" s="32">
        <f t="shared" si="1"/>
        <v>0.31700000000000012</v>
      </c>
      <c r="T22" s="32">
        <f t="shared" si="2"/>
        <v>0.31900000000000012</v>
      </c>
      <c r="U22" s="32">
        <f t="shared" si="3"/>
        <v>0.32100000000000012</v>
      </c>
      <c r="V22" s="32">
        <f t="shared" si="4"/>
        <v>0.32200000000000012</v>
      </c>
      <c r="W22" s="32" t="str">
        <f t="shared" si="5"/>
        <v/>
      </c>
    </row>
    <row r="23" spans="1:23">
      <c r="A23" t="str">
        <f>F_Inputs!A22</f>
        <v>WSH</v>
      </c>
      <c r="B23" t="str">
        <f>F_Inputs!B22</f>
        <v>CWW3_009TOT_PR24</v>
      </c>
      <c r="C23" t="str">
        <f>F_Inputs!C22</f>
        <v>EA/NRW environmental programme wastewater (WINEP/NEP) - Continuous river water quality monitoring (WINEP/NEP) wastewater totex - Total</v>
      </c>
      <c r="D23" t="str">
        <f>F_Inputs!D22</f>
        <v>£m</v>
      </c>
      <c r="E23" t="str">
        <f>F_Inputs!E22</f>
        <v>Price Review 2024</v>
      </c>
      <c r="F23">
        <f>F_Inputs!F22</f>
        <v>0</v>
      </c>
      <c r="G23">
        <f>F_Inputs!G22</f>
        <v>0</v>
      </c>
      <c r="H23">
        <f>F_Inputs!H22</f>
        <v>2.5059999999999998</v>
      </c>
      <c r="I23">
        <f>F_Inputs!I22</f>
        <v>2.6039999999999992</v>
      </c>
      <c r="J23">
        <f>F_Inputs!J22</f>
        <v>0.31900000000000012</v>
      </c>
      <c r="K23">
        <f>F_Inputs!K22</f>
        <v>0.32100000000000012</v>
      </c>
      <c r="L23">
        <f>F_Inputs!L22</f>
        <v>0.32200000000000012</v>
      </c>
      <c r="M23" t="str">
        <f>F_Inputs!M22</f>
        <v/>
      </c>
      <c r="O23" s="84" t="str">
        <f t="shared" si="6"/>
        <v>CWW3_0</v>
      </c>
      <c r="P23" s="32">
        <f t="shared" si="7"/>
        <v>0</v>
      </c>
      <c r="Q23" s="32">
        <f t="shared" si="8"/>
        <v>0</v>
      </c>
      <c r="R23" s="32">
        <f t="shared" si="0"/>
        <v>2.5059999999999998</v>
      </c>
      <c r="S23" s="32">
        <f t="shared" si="1"/>
        <v>2.6039999999999992</v>
      </c>
      <c r="T23" s="32">
        <f t="shared" si="2"/>
        <v>0.31900000000000012</v>
      </c>
      <c r="U23" s="32">
        <f t="shared" si="3"/>
        <v>0.32100000000000012</v>
      </c>
      <c r="V23" s="32">
        <f t="shared" si="4"/>
        <v>0.32200000000000012</v>
      </c>
      <c r="W23" s="32" t="str">
        <f t="shared" si="5"/>
        <v/>
      </c>
    </row>
    <row r="24" spans="1:23">
      <c r="A24" t="str">
        <f>F_Inputs!A23</f>
        <v>WSH</v>
      </c>
      <c r="B24" t="str">
        <f>F_Inputs!B23</f>
        <v>CWW20_049_PR24</v>
      </c>
      <c r="C24" t="str">
        <f>F_Inputs!C23</f>
        <v>Network / Storm overflow data - Number of continuous water quality monitor installations</v>
      </c>
      <c r="D24" t="str">
        <f>F_Inputs!D23</f>
        <v>nr</v>
      </c>
      <c r="E24" t="str">
        <f>F_Inputs!E23</f>
        <v>Price Review 2024</v>
      </c>
      <c r="F24">
        <f>F_Inputs!F23</f>
        <v>0</v>
      </c>
      <c r="G24">
        <f>F_Inputs!G23</f>
        <v>0</v>
      </c>
      <c r="H24">
        <f>F_Inputs!H23</f>
        <v>14</v>
      </c>
      <c r="I24">
        <f>F_Inputs!I23</f>
        <v>14</v>
      </c>
      <c r="J24">
        <f>F_Inputs!J23</f>
        <v>0</v>
      </c>
      <c r="K24">
        <f>F_Inputs!K23</f>
        <v>0</v>
      </c>
      <c r="L24">
        <f>F_Inputs!L23</f>
        <v>0</v>
      </c>
      <c r="M24" t="str">
        <f>F_Inputs!M23</f>
        <v/>
      </c>
      <c r="O24" s="84" t="str">
        <f t="shared" si="6"/>
        <v>CWW20_</v>
      </c>
      <c r="P24" s="32">
        <f t="shared" si="7"/>
        <v>0</v>
      </c>
      <c r="Q24" s="32">
        <f t="shared" si="8"/>
        <v>0</v>
      </c>
      <c r="R24" s="32">
        <f t="shared" si="0"/>
        <v>14</v>
      </c>
      <c r="S24" s="32">
        <f t="shared" si="1"/>
        <v>14</v>
      </c>
      <c r="T24" s="32">
        <f t="shared" si="2"/>
        <v>0</v>
      </c>
      <c r="U24" s="32">
        <f t="shared" si="3"/>
        <v>0</v>
      </c>
      <c r="V24" s="32">
        <f t="shared" si="4"/>
        <v>0</v>
      </c>
      <c r="W24" s="32" t="str">
        <f t="shared" si="5"/>
        <v/>
      </c>
    </row>
    <row r="25" spans="1:23">
      <c r="A25" t="str">
        <f>F_Inputs!A24</f>
        <v>WSH</v>
      </c>
      <c r="B25" t="str">
        <f>F_Inputs!B24</f>
        <v>CWW1A_015TOT_PR24</v>
      </c>
      <c r="C25" t="str">
        <f>F_Inputs!C24</f>
        <v>Net totex - Total</v>
      </c>
      <c r="D25" t="str">
        <f>F_Inputs!D24</f>
        <v>£m</v>
      </c>
      <c r="E25" t="str">
        <f>F_Inputs!E24</f>
        <v>Price Review 2024</v>
      </c>
      <c r="F25">
        <f>F_Inputs!F24</f>
        <v>350.28846713347019</v>
      </c>
      <c r="G25">
        <f>F_Inputs!G24</f>
        <v>406.59500000000008</v>
      </c>
      <c r="H25">
        <f>F_Inputs!H24</f>
        <v>532.04300000000001</v>
      </c>
      <c r="I25">
        <f>F_Inputs!I24</f>
        <v>677.46500000000003</v>
      </c>
      <c r="J25">
        <f>F_Inputs!J24</f>
        <v>781.62900000000002</v>
      </c>
      <c r="K25">
        <f>F_Inputs!K24</f>
        <v>743.375</v>
      </c>
      <c r="L25">
        <f>F_Inputs!L24</f>
        <v>583.65700000000004</v>
      </c>
      <c r="M25" t="str">
        <f>F_Inputs!M24</f>
        <v/>
      </c>
      <c r="O25" s="84" t="str">
        <f t="shared" si="6"/>
        <v>CWW1A_</v>
      </c>
      <c r="P25" s="32">
        <f t="shared" si="7"/>
        <v>0</v>
      </c>
      <c r="Q25" s="32">
        <f t="shared" si="8"/>
        <v>0</v>
      </c>
      <c r="R25" s="32">
        <f t="shared" si="0"/>
        <v>532.04300000000001</v>
      </c>
      <c r="S25" s="32">
        <f t="shared" si="1"/>
        <v>677.46500000000003</v>
      </c>
      <c r="T25" s="32">
        <f t="shared" si="2"/>
        <v>781.62900000000002</v>
      </c>
      <c r="U25" s="32">
        <f t="shared" si="3"/>
        <v>743.375</v>
      </c>
      <c r="V25" s="32">
        <f t="shared" si="4"/>
        <v>583.65700000000004</v>
      </c>
      <c r="W25" s="32" t="str">
        <f t="shared" si="5"/>
        <v/>
      </c>
    </row>
    <row r="26" spans="1:23">
      <c r="A26" t="str">
        <f>F_Inputs!A25</f>
        <v>WSH</v>
      </c>
      <c r="B26" t="str">
        <f>F_Inputs!B25</f>
        <v>PR24_NETTOTEX_WASTE</v>
      </c>
      <c r="C26" t="str">
        <f>F_Inputs!C25</f>
        <v>PR24 BP Net totex - Total inc. accelerated &amp; transition costs</v>
      </c>
      <c r="D26" t="str">
        <f>F_Inputs!D25</f>
        <v>£m</v>
      </c>
      <c r="E26" t="str">
        <f>F_Inputs!E25</f>
        <v>Price Review 2024</v>
      </c>
      <c r="F26" t="str">
        <f>F_Inputs!F25</f>
        <v/>
      </c>
      <c r="G26" t="str">
        <f>F_Inputs!G25</f>
        <v/>
      </c>
      <c r="H26" t="str">
        <f>F_Inputs!H25</f>
        <v/>
      </c>
      <c r="I26" t="str">
        <f>F_Inputs!I25</f>
        <v/>
      </c>
      <c r="J26" t="str">
        <f>F_Inputs!J25</f>
        <v/>
      </c>
      <c r="K26" t="str">
        <f>F_Inputs!K25</f>
        <v/>
      </c>
      <c r="L26" t="str">
        <f>F_Inputs!L25</f>
        <v/>
      </c>
      <c r="M26">
        <f>F_Inputs!M25</f>
        <v>3318.1690000000003</v>
      </c>
      <c r="O26" s="84" t="str">
        <f t="shared" si="6"/>
        <v>PR24_N</v>
      </c>
      <c r="P26" s="32">
        <f t="shared" si="7"/>
        <v>0</v>
      </c>
      <c r="Q26" s="32">
        <f t="shared" si="8"/>
        <v>0</v>
      </c>
      <c r="R26" s="32" t="str">
        <f t="shared" si="0"/>
        <v/>
      </c>
      <c r="S26" s="32" t="str">
        <f t="shared" si="1"/>
        <v/>
      </c>
      <c r="T26" s="32" t="str">
        <f t="shared" si="2"/>
        <v/>
      </c>
      <c r="U26" s="32" t="str">
        <f t="shared" si="3"/>
        <v/>
      </c>
      <c r="V26" s="32" t="str">
        <f t="shared" si="4"/>
        <v/>
      </c>
      <c r="W26" s="32">
        <f t="shared" si="5"/>
        <v>3318.1690000000003</v>
      </c>
    </row>
    <row r="27" spans="1:23">
      <c r="A27" t="str">
        <f>F_Inputs!A26</f>
        <v>WSH</v>
      </c>
      <c r="B27" t="str">
        <f>F_Inputs!B26</f>
        <v>CWW12_007TOT_PR24</v>
      </c>
      <c r="C27" t="str">
        <f>F_Inputs!C26</f>
        <v>EA/NRW environmental programme wastewater (WINEP/NEP) - Continuous river water quality monitoring (WINEP/NEP) wastewater capex - Total</v>
      </c>
      <c r="D27" t="str">
        <f>F_Inputs!D26</f>
        <v>£m</v>
      </c>
      <c r="E27" t="str">
        <f>F_Inputs!E26</f>
        <v>Price Review 2024</v>
      </c>
      <c r="F27">
        <f>F_Inputs!F26</f>
        <v>0</v>
      </c>
      <c r="G27">
        <f>F_Inputs!G26</f>
        <v>0</v>
      </c>
      <c r="H27" t="str">
        <f>F_Inputs!H26</f>
        <v/>
      </c>
      <c r="I27" t="str">
        <f>F_Inputs!I26</f>
        <v/>
      </c>
      <c r="J27" t="str">
        <f>F_Inputs!J26</f>
        <v/>
      </c>
      <c r="K27" t="str">
        <f>F_Inputs!K26</f>
        <v/>
      </c>
      <c r="L27" t="str">
        <f>F_Inputs!L26</f>
        <v/>
      </c>
      <c r="M27" t="str">
        <f>F_Inputs!M26</f>
        <v/>
      </c>
      <c r="O27" s="84" t="str">
        <f t="shared" si="6"/>
        <v>CWW12_</v>
      </c>
      <c r="P27" s="32">
        <f t="shared" si="7"/>
        <v>0</v>
      </c>
      <c r="Q27" s="32">
        <f t="shared" si="8"/>
        <v>0</v>
      </c>
      <c r="R27" s="32">
        <f t="shared" si="0"/>
        <v>0</v>
      </c>
      <c r="S27" s="32">
        <f t="shared" si="1"/>
        <v>0</v>
      </c>
      <c r="T27" s="32">
        <f t="shared" si="2"/>
        <v>0</v>
      </c>
      <c r="U27" s="32">
        <f t="shared" si="3"/>
        <v>0</v>
      </c>
      <c r="V27" s="32">
        <f t="shared" si="4"/>
        <v>0</v>
      </c>
      <c r="W27" s="32">
        <f t="shared" si="5"/>
        <v>0</v>
      </c>
    </row>
    <row r="28" spans="1:23">
      <c r="A28" t="str">
        <f>F_Inputs!A27</f>
        <v>WSH</v>
      </c>
      <c r="B28" t="str">
        <f>F_Inputs!B27</f>
        <v>CWW12_008TOT_PR24</v>
      </c>
      <c r="C28" t="str">
        <f>F_Inputs!C27</f>
        <v>EA/NRW environmental programme wastewater (WINEP/NEP) - Continuous river water quality monitoring (WINEP/NEP) wastewater opex - Total</v>
      </c>
      <c r="D28" t="str">
        <f>F_Inputs!D27</f>
        <v>£m</v>
      </c>
      <c r="E28" t="str">
        <f>F_Inputs!E27</f>
        <v>Price Review 2024</v>
      </c>
      <c r="F28">
        <f>F_Inputs!F27</f>
        <v>0</v>
      </c>
      <c r="G28">
        <f>F_Inputs!G27</f>
        <v>0</v>
      </c>
      <c r="H28" t="str">
        <f>F_Inputs!H27</f>
        <v/>
      </c>
      <c r="I28" t="str">
        <f>F_Inputs!I27</f>
        <v/>
      </c>
      <c r="J28" t="str">
        <f>F_Inputs!J27</f>
        <v/>
      </c>
      <c r="K28" t="str">
        <f>F_Inputs!K27</f>
        <v/>
      </c>
      <c r="L28" t="str">
        <f>F_Inputs!L27</f>
        <v/>
      </c>
      <c r="M28" t="str">
        <f>F_Inputs!M27</f>
        <v/>
      </c>
      <c r="O28" s="84" t="str">
        <f t="shared" si="6"/>
        <v>CWW12_</v>
      </c>
      <c r="P28" s="32">
        <f t="shared" si="7"/>
        <v>0</v>
      </c>
      <c r="Q28" s="32">
        <f t="shared" si="8"/>
        <v>0</v>
      </c>
      <c r="R28" s="32">
        <f t="shared" si="0"/>
        <v>0</v>
      </c>
      <c r="S28" s="32">
        <f t="shared" si="1"/>
        <v>0</v>
      </c>
      <c r="T28" s="32">
        <f t="shared" si="2"/>
        <v>0</v>
      </c>
      <c r="U28" s="32">
        <f t="shared" si="3"/>
        <v>0</v>
      </c>
      <c r="V28" s="32">
        <f t="shared" si="4"/>
        <v>0</v>
      </c>
      <c r="W28" s="32">
        <f t="shared" si="5"/>
        <v>0</v>
      </c>
    </row>
    <row r="29" spans="1:23">
      <c r="A29" t="str">
        <f>F_Inputs!A28</f>
        <v>WSH</v>
      </c>
      <c r="B29" t="str">
        <f>F_Inputs!B28</f>
        <v>CWW12_009TOT_PR24</v>
      </c>
      <c r="C29" t="str">
        <f>F_Inputs!C28</f>
        <v>EA/NRW environmental programme wastewater (WINEP/NEP) - Continuous river water quality monitoring (WINEP/NEP) wastewater totex - Total</v>
      </c>
      <c r="D29" t="str">
        <f>F_Inputs!D28</f>
        <v>£m</v>
      </c>
      <c r="E29" t="str">
        <f>F_Inputs!E28</f>
        <v>Price Review 2024</v>
      </c>
      <c r="F29">
        <f>F_Inputs!F28</f>
        <v>0</v>
      </c>
      <c r="G29">
        <f>F_Inputs!G28</f>
        <v>0</v>
      </c>
      <c r="H29" t="str">
        <f>F_Inputs!H28</f>
        <v/>
      </c>
      <c r="I29" t="str">
        <f>F_Inputs!I28</f>
        <v/>
      </c>
      <c r="J29" t="str">
        <f>F_Inputs!J28</f>
        <v/>
      </c>
      <c r="K29" t="str">
        <f>F_Inputs!K28</f>
        <v/>
      </c>
      <c r="L29" t="str">
        <f>F_Inputs!L28</f>
        <v/>
      </c>
      <c r="M29" t="str">
        <f>F_Inputs!M28</f>
        <v/>
      </c>
      <c r="O29" s="84" t="str">
        <f t="shared" si="6"/>
        <v>CWW12_</v>
      </c>
      <c r="P29" s="32">
        <f t="shared" si="7"/>
        <v>0</v>
      </c>
      <c r="Q29" s="32">
        <f t="shared" si="8"/>
        <v>0</v>
      </c>
      <c r="R29" s="32">
        <f t="shared" si="0"/>
        <v>0</v>
      </c>
      <c r="S29" s="32">
        <f t="shared" si="1"/>
        <v>0</v>
      </c>
      <c r="T29" s="32">
        <f t="shared" si="2"/>
        <v>0</v>
      </c>
      <c r="U29" s="32">
        <f t="shared" si="3"/>
        <v>0</v>
      </c>
      <c r="V29" s="32">
        <f t="shared" si="4"/>
        <v>0</v>
      </c>
      <c r="W29" s="32">
        <f t="shared" si="5"/>
        <v>0</v>
      </c>
    </row>
    <row r="30" spans="1:23">
      <c r="A30" t="str">
        <f>F_Inputs!A29</f>
        <v>WSH</v>
      </c>
      <c r="B30" t="str">
        <f>F_Inputs!B29</f>
        <v>CWW17_007TOT_PR24</v>
      </c>
      <c r="C30" t="str">
        <f>F_Inputs!C29</f>
        <v>EA/NRW environmental programme wastewater (WINEP/NEP) - Continuous river water quality monitoring (WINEP/NEP) wastewater capex - Total</v>
      </c>
      <c r="D30" t="str">
        <f>F_Inputs!D29</f>
        <v>£m</v>
      </c>
      <c r="E30" t="str">
        <f>F_Inputs!E29</f>
        <v>Price Review 2024</v>
      </c>
      <c r="F30">
        <f>F_Inputs!F29</f>
        <v>0</v>
      </c>
      <c r="G30">
        <f>F_Inputs!G29</f>
        <v>0</v>
      </c>
      <c r="H30">
        <f>F_Inputs!H29</f>
        <v>0</v>
      </c>
      <c r="I30">
        <f>F_Inputs!I29</f>
        <v>0</v>
      </c>
      <c r="J30">
        <f>F_Inputs!J29</f>
        <v>0</v>
      </c>
      <c r="K30">
        <f>F_Inputs!K29</f>
        <v>0</v>
      </c>
      <c r="L30">
        <f>F_Inputs!L29</f>
        <v>0</v>
      </c>
      <c r="M30" t="str">
        <f>F_Inputs!M29</f>
        <v/>
      </c>
      <c r="O30" s="84" t="str">
        <f t="shared" si="6"/>
        <v>CWW17_</v>
      </c>
      <c r="P30" s="32">
        <f t="shared" si="7"/>
        <v>0</v>
      </c>
      <c r="Q30" s="32">
        <f t="shared" si="8"/>
        <v>0</v>
      </c>
      <c r="R30" s="32">
        <f t="shared" si="0"/>
        <v>0</v>
      </c>
      <c r="S30" s="32">
        <f t="shared" si="1"/>
        <v>0</v>
      </c>
      <c r="T30" s="32">
        <f t="shared" si="2"/>
        <v>0</v>
      </c>
      <c r="U30" s="32">
        <f t="shared" si="3"/>
        <v>0</v>
      </c>
      <c r="V30" s="32">
        <f t="shared" si="4"/>
        <v>0</v>
      </c>
      <c r="W30" s="32">
        <f t="shared" si="5"/>
        <v>0</v>
      </c>
    </row>
    <row r="31" spans="1:23">
      <c r="A31" t="str">
        <f>F_Inputs!A30</f>
        <v>WSH</v>
      </c>
      <c r="B31" t="str">
        <f>F_Inputs!B30</f>
        <v>CWW17_008TOT_PR24</v>
      </c>
      <c r="C31" t="str">
        <f>F_Inputs!C30</f>
        <v>EA/NRW environmental programme wastewater (WINEP/NEP) - Continuous river water quality monitoring (WINEP/NEP) wastewater opex - Total</v>
      </c>
      <c r="D31" t="str">
        <f>F_Inputs!D30</f>
        <v>£m</v>
      </c>
      <c r="E31" t="str">
        <f>F_Inputs!E30</f>
        <v>Price Review 2024</v>
      </c>
      <c r="F31">
        <f>F_Inputs!F30</f>
        <v>0</v>
      </c>
      <c r="G31">
        <f>F_Inputs!G30</f>
        <v>0</v>
      </c>
      <c r="H31">
        <f>F_Inputs!H30</f>
        <v>0</v>
      </c>
      <c r="I31">
        <f>F_Inputs!I30</f>
        <v>0</v>
      </c>
      <c r="J31">
        <f>F_Inputs!J30</f>
        <v>0</v>
      </c>
      <c r="K31">
        <f>F_Inputs!K30</f>
        <v>0</v>
      </c>
      <c r="L31">
        <f>F_Inputs!L30</f>
        <v>0</v>
      </c>
      <c r="M31" t="str">
        <f>F_Inputs!M30</f>
        <v/>
      </c>
      <c r="O31" s="84" t="str">
        <f t="shared" si="6"/>
        <v>CWW17_</v>
      </c>
      <c r="P31" s="32">
        <f t="shared" si="7"/>
        <v>0</v>
      </c>
      <c r="Q31" s="32">
        <f t="shared" si="8"/>
        <v>0</v>
      </c>
      <c r="R31" s="32">
        <f t="shared" si="0"/>
        <v>0</v>
      </c>
      <c r="S31" s="32">
        <f t="shared" si="1"/>
        <v>0</v>
      </c>
      <c r="T31" s="32">
        <f t="shared" si="2"/>
        <v>0</v>
      </c>
      <c r="U31" s="32">
        <f t="shared" si="3"/>
        <v>0</v>
      </c>
      <c r="V31" s="32">
        <f t="shared" si="4"/>
        <v>0</v>
      </c>
      <c r="W31" s="32">
        <f t="shared" si="5"/>
        <v>0</v>
      </c>
    </row>
    <row r="32" spans="1:23">
      <c r="A32" t="str">
        <f>F_Inputs!A31</f>
        <v>WSH</v>
      </c>
      <c r="B32" t="str">
        <f>F_Inputs!B31</f>
        <v>CWW17_009TOT_PR24</v>
      </c>
      <c r="C32" t="str">
        <f>F_Inputs!C31</f>
        <v>EA/NRW environmental programme wastewater (WINEP/NEP) - Continuous river water quality monitoring (WINEP/NEP) wastewater totex - Total</v>
      </c>
      <c r="D32" t="str">
        <f>F_Inputs!D31</f>
        <v>£m</v>
      </c>
      <c r="E32" t="str">
        <f>F_Inputs!E31</f>
        <v>Price Review 2024</v>
      </c>
      <c r="F32">
        <f>F_Inputs!F31</f>
        <v>0</v>
      </c>
      <c r="G32">
        <f>F_Inputs!G31</f>
        <v>0</v>
      </c>
      <c r="H32">
        <f>F_Inputs!H31</f>
        <v>0</v>
      </c>
      <c r="I32">
        <f>F_Inputs!I31</f>
        <v>0</v>
      </c>
      <c r="J32">
        <f>F_Inputs!J31</f>
        <v>0</v>
      </c>
      <c r="K32">
        <f>F_Inputs!K31</f>
        <v>0</v>
      </c>
      <c r="L32">
        <f>F_Inputs!L31</f>
        <v>0</v>
      </c>
      <c r="M32" t="str">
        <f>F_Inputs!M31</f>
        <v/>
      </c>
      <c r="O32" s="84" t="str">
        <f t="shared" si="6"/>
        <v>CWW17_</v>
      </c>
      <c r="P32" s="32">
        <f t="shared" si="7"/>
        <v>0</v>
      </c>
      <c r="Q32" s="32">
        <f t="shared" si="8"/>
        <v>0</v>
      </c>
      <c r="R32" s="32">
        <f t="shared" si="0"/>
        <v>0</v>
      </c>
      <c r="S32" s="32">
        <f t="shared" si="1"/>
        <v>0</v>
      </c>
      <c r="T32" s="32">
        <f t="shared" si="2"/>
        <v>0</v>
      </c>
      <c r="U32" s="32">
        <f t="shared" si="3"/>
        <v>0</v>
      </c>
      <c r="V32" s="32">
        <f t="shared" si="4"/>
        <v>0</v>
      </c>
      <c r="W32" s="32">
        <f t="shared" si="5"/>
        <v>0</v>
      </c>
    </row>
    <row r="33" spans="1:23">
      <c r="A33" t="str">
        <f>F_Inputs!A32</f>
        <v>WSH</v>
      </c>
      <c r="B33" t="str">
        <f>F_Inputs!B32</f>
        <v>CWW20A_049_PR24</v>
      </c>
      <c r="C33" t="str">
        <f>F_Inputs!C32</f>
        <v>Network / Storm overflow data - Number of continuous water quality monitor installations</v>
      </c>
      <c r="D33" t="str">
        <f>F_Inputs!D32</f>
        <v>nr</v>
      </c>
      <c r="E33" t="str">
        <f>F_Inputs!E32</f>
        <v>Price Review 2024</v>
      </c>
      <c r="F33" t="str">
        <f>F_Inputs!F32</f>
        <v/>
      </c>
      <c r="G33" t="str">
        <f>F_Inputs!G32</f>
        <v/>
      </c>
      <c r="H33" t="str">
        <f>F_Inputs!H32</f>
        <v/>
      </c>
      <c r="I33" t="str">
        <f>F_Inputs!I32</f>
        <v/>
      </c>
      <c r="J33" t="str">
        <f>F_Inputs!J32</f>
        <v/>
      </c>
      <c r="K33" t="str">
        <f>F_Inputs!K32</f>
        <v/>
      </c>
      <c r="L33" t="str">
        <f>F_Inputs!L32</f>
        <v/>
      </c>
      <c r="M33" t="str">
        <f>F_Inputs!M32</f>
        <v/>
      </c>
      <c r="O33" s="84" t="str">
        <f t="shared" si="6"/>
        <v>CWW20A</v>
      </c>
      <c r="P33" s="32" t="str">
        <f t="shared" si="7"/>
        <v/>
      </c>
      <c r="Q33" s="32" t="str">
        <f t="shared" si="8"/>
        <v/>
      </c>
      <c r="R33" s="32">
        <f t="shared" si="0"/>
        <v>0</v>
      </c>
      <c r="S33" s="32">
        <f t="shared" si="1"/>
        <v>0</v>
      </c>
      <c r="T33" s="32">
        <f t="shared" si="2"/>
        <v>0</v>
      </c>
      <c r="U33" s="32">
        <f t="shared" si="3"/>
        <v>0</v>
      </c>
      <c r="V33" s="32">
        <f t="shared" si="4"/>
        <v>0</v>
      </c>
      <c r="W33" s="32">
        <f t="shared" si="5"/>
        <v>0</v>
      </c>
    </row>
    <row r="34" spans="1:23">
      <c r="A34" t="str">
        <f>F_Inputs!A33</f>
        <v>HDD</v>
      </c>
      <c r="B34" t="str">
        <f>F_Inputs!B33</f>
        <v>CWW3_007TOT_PR24</v>
      </c>
      <c r="C34" t="str">
        <f>F_Inputs!C33</f>
        <v>EA/NRW environmental programme wastewater (WINEP/NEP) - Continuous river water quality monitoring (WINEP/NEP) wastewater capex - Total</v>
      </c>
      <c r="D34" t="str">
        <f>F_Inputs!D33</f>
        <v>£m</v>
      </c>
      <c r="E34" t="str">
        <f>F_Inputs!E33</f>
        <v>Price Review 2024</v>
      </c>
      <c r="F34">
        <f>F_Inputs!F33</f>
        <v>0</v>
      </c>
      <c r="G34">
        <f>F_Inputs!G33</f>
        <v>0</v>
      </c>
      <c r="H34">
        <f>F_Inputs!H33</f>
        <v>0</v>
      </c>
      <c r="I34">
        <f>F_Inputs!I33</f>
        <v>0</v>
      </c>
      <c r="J34">
        <f>F_Inputs!J33</f>
        <v>0</v>
      </c>
      <c r="K34">
        <f>F_Inputs!K33</f>
        <v>0</v>
      </c>
      <c r="L34">
        <f>F_Inputs!L33</f>
        <v>0</v>
      </c>
      <c r="M34" t="str">
        <f>F_Inputs!M33</f>
        <v/>
      </c>
      <c r="O34" s="84" t="str">
        <f t="shared" si="6"/>
        <v>CWW3_0</v>
      </c>
      <c r="P34" s="32">
        <f t="shared" si="7"/>
        <v>0</v>
      </c>
      <c r="Q34" s="32">
        <f t="shared" si="8"/>
        <v>0</v>
      </c>
      <c r="R34" s="32">
        <f t="shared" si="0"/>
        <v>0</v>
      </c>
      <c r="S34" s="32">
        <f t="shared" si="1"/>
        <v>0</v>
      </c>
      <c r="T34" s="32">
        <f t="shared" si="2"/>
        <v>0</v>
      </c>
      <c r="U34" s="32">
        <f t="shared" si="3"/>
        <v>0</v>
      </c>
      <c r="V34" s="32">
        <f t="shared" si="4"/>
        <v>0</v>
      </c>
      <c r="W34" s="32" t="str">
        <f t="shared" si="5"/>
        <v/>
      </c>
    </row>
    <row r="35" spans="1:23">
      <c r="A35" t="str">
        <f>F_Inputs!A34</f>
        <v>HDD</v>
      </c>
      <c r="B35" t="str">
        <f>F_Inputs!B34</f>
        <v>CWW3_008TOT_PR24</v>
      </c>
      <c r="C35" t="str">
        <f>F_Inputs!C34</f>
        <v>EA/NRW environmental programme wastewater (WINEP/NEP) - Continuous river water quality monitoring (WINEP/NEP) wastewater opex - Total</v>
      </c>
      <c r="D35" t="str">
        <f>F_Inputs!D34</f>
        <v>£m</v>
      </c>
      <c r="E35" t="str">
        <f>F_Inputs!E34</f>
        <v>Price Review 2024</v>
      </c>
      <c r="F35">
        <f>F_Inputs!F34</f>
        <v>0</v>
      </c>
      <c r="G35">
        <f>F_Inputs!G34</f>
        <v>0</v>
      </c>
      <c r="H35">
        <f>F_Inputs!H34</f>
        <v>0</v>
      </c>
      <c r="I35">
        <f>F_Inputs!I34</f>
        <v>0</v>
      </c>
      <c r="J35">
        <f>F_Inputs!J34</f>
        <v>0</v>
      </c>
      <c r="K35">
        <f>F_Inputs!K34</f>
        <v>0</v>
      </c>
      <c r="L35">
        <f>F_Inputs!L34</f>
        <v>0</v>
      </c>
      <c r="M35" t="str">
        <f>F_Inputs!M34</f>
        <v/>
      </c>
      <c r="O35" s="84" t="str">
        <f t="shared" si="6"/>
        <v>CWW3_0</v>
      </c>
      <c r="P35" s="32">
        <f t="shared" si="7"/>
        <v>0</v>
      </c>
      <c r="Q35" s="32">
        <f t="shared" si="8"/>
        <v>0</v>
      </c>
      <c r="R35" s="32">
        <f t="shared" si="0"/>
        <v>0</v>
      </c>
      <c r="S35" s="32">
        <f t="shared" si="1"/>
        <v>0</v>
      </c>
      <c r="T35" s="32">
        <f t="shared" si="2"/>
        <v>0</v>
      </c>
      <c r="U35" s="32">
        <f t="shared" si="3"/>
        <v>0</v>
      </c>
      <c r="V35" s="32">
        <f t="shared" si="4"/>
        <v>0</v>
      </c>
      <c r="W35" s="32" t="str">
        <f t="shared" si="5"/>
        <v/>
      </c>
    </row>
    <row r="36" spans="1:23">
      <c r="A36" t="str">
        <f>F_Inputs!A35</f>
        <v>HDD</v>
      </c>
      <c r="B36" t="str">
        <f>F_Inputs!B35</f>
        <v>CWW3_009TOT_PR24</v>
      </c>
      <c r="C36" t="str">
        <f>F_Inputs!C35</f>
        <v>EA/NRW environmental programme wastewater (WINEP/NEP) - Continuous river water quality monitoring (WINEP/NEP) wastewater totex - Total</v>
      </c>
      <c r="D36" t="str">
        <f>F_Inputs!D35</f>
        <v>£m</v>
      </c>
      <c r="E36" t="str">
        <f>F_Inputs!E35</f>
        <v>Price Review 2024</v>
      </c>
      <c r="F36">
        <f>F_Inputs!F35</f>
        <v>0</v>
      </c>
      <c r="G36">
        <f>F_Inputs!G35</f>
        <v>0</v>
      </c>
      <c r="H36">
        <f>F_Inputs!H35</f>
        <v>0</v>
      </c>
      <c r="I36">
        <f>F_Inputs!I35</f>
        <v>0</v>
      </c>
      <c r="J36">
        <f>F_Inputs!J35</f>
        <v>0</v>
      </c>
      <c r="K36">
        <f>F_Inputs!K35</f>
        <v>0</v>
      </c>
      <c r="L36">
        <f>F_Inputs!L35</f>
        <v>0</v>
      </c>
      <c r="M36" t="str">
        <f>F_Inputs!M35</f>
        <v/>
      </c>
      <c r="O36" s="84" t="str">
        <f t="shared" si="6"/>
        <v>CWW3_0</v>
      </c>
      <c r="P36" s="32">
        <f t="shared" si="7"/>
        <v>0</v>
      </c>
      <c r="Q36" s="32">
        <f t="shared" si="8"/>
        <v>0</v>
      </c>
      <c r="R36" s="32">
        <f t="shared" si="0"/>
        <v>0</v>
      </c>
      <c r="S36" s="32">
        <f t="shared" si="1"/>
        <v>0</v>
      </c>
      <c r="T36" s="32">
        <f t="shared" si="2"/>
        <v>0</v>
      </c>
      <c r="U36" s="32">
        <f t="shared" si="3"/>
        <v>0</v>
      </c>
      <c r="V36" s="32">
        <f t="shared" si="4"/>
        <v>0</v>
      </c>
      <c r="W36" s="32" t="str">
        <f t="shared" si="5"/>
        <v/>
      </c>
    </row>
    <row r="37" spans="1:23">
      <c r="A37" t="str">
        <f>F_Inputs!A36</f>
        <v>HDD</v>
      </c>
      <c r="B37" t="str">
        <f>F_Inputs!B36</f>
        <v>CWW20_049_PR24</v>
      </c>
      <c r="C37" t="str">
        <f>F_Inputs!C36</f>
        <v>Network / Storm overflow data - Number of continuous water quality monitor installations</v>
      </c>
      <c r="D37" t="str">
        <f>F_Inputs!D36</f>
        <v>nr</v>
      </c>
      <c r="E37" t="str">
        <f>F_Inputs!E36</f>
        <v>Price Review 2024</v>
      </c>
      <c r="F37">
        <f>F_Inputs!F36</f>
        <v>0</v>
      </c>
      <c r="G37">
        <f>F_Inputs!G36</f>
        <v>0</v>
      </c>
      <c r="H37">
        <f>F_Inputs!H36</f>
        <v>0</v>
      </c>
      <c r="I37">
        <f>F_Inputs!I36</f>
        <v>0</v>
      </c>
      <c r="J37">
        <f>F_Inputs!J36</f>
        <v>0</v>
      </c>
      <c r="K37">
        <f>F_Inputs!K36</f>
        <v>0</v>
      </c>
      <c r="L37">
        <f>F_Inputs!L36</f>
        <v>0</v>
      </c>
      <c r="M37" t="str">
        <f>F_Inputs!M36</f>
        <v/>
      </c>
      <c r="O37" s="84" t="str">
        <f t="shared" si="6"/>
        <v>CWW20_</v>
      </c>
      <c r="P37" s="32">
        <f t="shared" si="7"/>
        <v>0</v>
      </c>
      <c r="Q37" s="32">
        <f t="shared" si="8"/>
        <v>0</v>
      </c>
      <c r="R37" s="32">
        <f t="shared" si="0"/>
        <v>0</v>
      </c>
      <c r="S37" s="32">
        <f t="shared" si="1"/>
        <v>0</v>
      </c>
      <c r="T37" s="32">
        <f t="shared" si="2"/>
        <v>0</v>
      </c>
      <c r="U37" s="32">
        <f t="shared" si="3"/>
        <v>0</v>
      </c>
      <c r="V37" s="32">
        <f t="shared" si="4"/>
        <v>0</v>
      </c>
      <c r="W37" s="32" t="str">
        <f t="shared" si="5"/>
        <v/>
      </c>
    </row>
    <row r="38" spans="1:23">
      <c r="A38" t="str">
        <f>F_Inputs!A37</f>
        <v>HDD</v>
      </c>
      <c r="B38" t="str">
        <f>F_Inputs!B37</f>
        <v>CWW1A_015TOT_PR24</v>
      </c>
      <c r="C38" t="str">
        <f>F_Inputs!C37</f>
        <v>Net totex - Total</v>
      </c>
      <c r="D38" t="str">
        <f>F_Inputs!D37</f>
        <v>£m</v>
      </c>
      <c r="E38" t="str">
        <f>F_Inputs!E37</f>
        <v>Price Review 2024</v>
      </c>
      <c r="F38">
        <f>F_Inputs!F37</f>
        <v>7.3578121791581106</v>
      </c>
      <c r="G38">
        <f>F_Inputs!G37</f>
        <v>9.863093736902691</v>
      </c>
      <c r="H38">
        <f>F_Inputs!H37</f>
        <v>8.9449866348255469</v>
      </c>
      <c r="I38">
        <f>F_Inputs!I37</f>
        <v>10.513360129683161</v>
      </c>
      <c r="J38">
        <f>F_Inputs!J37</f>
        <v>14.777142001610789</v>
      </c>
      <c r="K38">
        <f>F_Inputs!K37</f>
        <v>17.269327311959941</v>
      </c>
      <c r="L38">
        <f>F_Inputs!L37</f>
        <v>9.7979959403769783</v>
      </c>
      <c r="M38" t="str">
        <f>F_Inputs!M37</f>
        <v/>
      </c>
      <c r="O38" s="84" t="str">
        <f t="shared" si="6"/>
        <v>CWW1A_</v>
      </c>
      <c r="P38" s="32">
        <f t="shared" si="7"/>
        <v>0</v>
      </c>
      <c r="Q38" s="32">
        <f t="shared" si="8"/>
        <v>0</v>
      </c>
      <c r="R38" s="32">
        <f t="shared" si="0"/>
        <v>8.9449866348255469</v>
      </c>
      <c r="S38" s="32">
        <f t="shared" si="1"/>
        <v>10.513360129683161</v>
      </c>
      <c r="T38" s="32">
        <f t="shared" si="2"/>
        <v>14.777142001610789</v>
      </c>
      <c r="U38" s="32">
        <f t="shared" si="3"/>
        <v>17.269327311959941</v>
      </c>
      <c r="V38" s="32">
        <f t="shared" si="4"/>
        <v>9.7979959403769783</v>
      </c>
      <c r="W38" s="32" t="str">
        <f t="shared" si="5"/>
        <v/>
      </c>
    </row>
    <row r="39" spans="1:23">
      <c r="A39" t="str">
        <f>F_Inputs!A38</f>
        <v>HDD</v>
      </c>
      <c r="B39" t="str">
        <f>F_Inputs!B38</f>
        <v>PR24_NETTOTEX_WASTE</v>
      </c>
      <c r="C39" t="str">
        <f>F_Inputs!C38</f>
        <v>PR24 BP Net totex - Total inc. accelerated &amp; transition costs</v>
      </c>
      <c r="D39" t="str">
        <f>F_Inputs!D38</f>
        <v>£m</v>
      </c>
      <c r="E39" t="str">
        <f>F_Inputs!E38</f>
        <v>Price Review 2024</v>
      </c>
      <c r="F39" t="str">
        <f>F_Inputs!F38</f>
        <v/>
      </c>
      <c r="G39" t="str">
        <f>F_Inputs!G38</f>
        <v/>
      </c>
      <c r="H39" t="str">
        <f>F_Inputs!H38</f>
        <v/>
      </c>
      <c r="I39" t="str">
        <f>F_Inputs!I38</f>
        <v/>
      </c>
      <c r="J39" t="str">
        <f>F_Inputs!J38</f>
        <v/>
      </c>
      <c r="K39" t="str">
        <f>F_Inputs!K38</f>
        <v/>
      </c>
      <c r="L39" t="str">
        <f>F_Inputs!L38</f>
        <v/>
      </c>
      <c r="M39">
        <f>F_Inputs!M38</f>
        <v>61.302812018456414</v>
      </c>
      <c r="O39" s="84" t="str">
        <f t="shared" si="6"/>
        <v>PR24_N</v>
      </c>
      <c r="P39" s="32">
        <f t="shared" si="7"/>
        <v>0</v>
      </c>
      <c r="Q39" s="32">
        <f t="shared" si="8"/>
        <v>0</v>
      </c>
      <c r="R39" s="32" t="str">
        <f t="shared" si="0"/>
        <v/>
      </c>
      <c r="S39" s="32" t="str">
        <f t="shared" si="1"/>
        <v/>
      </c>
      <c r="T39" s="32" t="str">
        <f t="shared" si="2"/>
        <v/>
      </c>
      <c r="U39" s="32" t="str">
        <f t="shared" si="3"/>
        <v/>
      </c>
      <c r="V39" s="32" t="str">
        <f t="shared" si="4"/>
        <v/>
      </c>
      <c r="W39" s="32">
        <f t="shared" si="5"/>
        <v>61.302812018456414</v>
      </c>
    </row>
    <row r="40" spans="1:23">
      <c r="A40" t="str">
        <f>F_Inputs!A39</f>
        <v>HDD</v>
      </c>
      <c r="B40" t="str">
        <f>F_Inputs!B39</f>
        <v>CWW12_007TOT_PR24</v>
      </c>
      <c r="C40" t="str">
        <f>F_Inputs!C39</f>
        <v>EA/NRW environmental programme wastewater (WINEP/NEP) - Continuous river water quality monitoring (WINEP/NEP) wastewater capex - Total</v>
      </c>
      <c r="D40" t="str">
        <f>F_Inputs!D39</f>
        <v>£m</v>
      </c>
      <c r="E40" t="str">
        <f>F_Inputs!E39</f>
        <v>Price Review 2024</v>
      </c>
      <c r="F40">
        <f>F_Inputs!F39</f>
        <v>0</v>
      </c>
      <c r="G40">
        <f>F_Inputs!G39</f>
        <v>0</v>
      </c>
      <c r="H40" t="str">
        <f>F_Inputs!H39</f>
        <v/>
      </c>
      <c r="I40" t="str">
        <f>F_Inputs!I39</f>
        <v/>
      </c>
      <c r="J40" t="str">
        <f>F_Inputs!J39</f>
        <v/>
      </c>
      <c r="K40" t="str">
        <f>F_Inputs!K39</f>
        <v/>
      </c>
      <c r="L40" t="str">
        <f>F_Inputs!L39</f>
        <v/>
      </c>
      <c r="M40" t="str">
        <f>F_Inputs!M39</f>
        <v/>
      </c>
      <c r="O40" s="84" t="str">
        <f t="shared" si="6"/>
        <v>CWW12_</v>
      </c>
      <c r="P40" s="32">
        <f t="shared" si="7"/>
        <v>0</v>
      </c>
      <c r="Q40" s="32">
        <f t="shared" si="8"/>
        <v>0</v>
      </c>
      <c r="R40" s="32">
        <f t="shared" ref="R40:R71" si="9">IF(OR($O40="CWW3_0",$O40="CWW3_1", $O40= "CWW20_",$O40="CWW1A_",$O40="PR24_N"),H40,0)</f>
        <v>0</v>
      </c>
      <c r="S40" s="32">
        <f t="shared" ref="S40:S71" si="10">IF(OR($O40="CWW3_0",$O40="CWW3_1", $O40= "CWW20_",$O40="CWW1A_",$O40="PR24_N"),I40,0)</f>
        <v>0</v>
      </c>
      <c r="T40" s="32">
        <f t="shared" ref="T40:T71" si="11">IF(OR($O40="CWW3_0",$O40="CWW3_1", $O40= "CWW20_",$O40="CWW1A_",$O40="PR24_N"),J40,0)</f>
        <v>0</v>
      </c>
      <c r="U40" s="32">
        <f t="shared" ref="U40:U71" si="12">IF(OR($O40="CWW3_0",$O40="CWW3_1", $O40= "CWW20_",$O40="CWW1A_",$O40="PR24_N"),K40,0)</f>
        <v>0</v>
      </c>
      <c r="V40" s="32">
        <f t="shared" ref="V40:V71" si="13">IF(OR($O40="CWW3_0",$O40="CWW3_1", $O40= "CWW20_",$O40="CWW1A_",$O40="PR24_N"),L40,0)</f>
        <v>0</v>
      </c>
      <c r="W40" s="32">
        <f t="shared" ref="W40:W71" si="14">IF(OR($O40="CWW3_0",$O40="CWW3_1", $O40= "CWW20_",$O40="CWW1A_",$O40="PR24_N"),M40,0)</f>
        <v>0</v>
      </c>
    </row>
    <row r="41" spans="1:23">
      <c r="A41" t="str">
        <f>F_Inputs!A40</f>
        <v>HDD</v>
      </c>
      <c r="B41" t="str">
        <f>F_Inputs!B40</f>
        <v>CWW12_008TOT_PR24</v>
      </c>
      <c r="C41" t="str">
        <f>F_Inputs!C40</f>
        <v>EA/NRW environmental programme wastewater (WINEP/NEP) - Continuous river water quality monitoring (WINEP/NEP) wastewater opex - Total</v>
      </c>
      <c r="D41" t="str">
        <f>F_Inputs!D40</f>
        <v>£m</v>
      </c>
      <c r="E41" t="str">
        <f>F_Inputs!E40</f>
        <v>Price Review 2024</v>
      </c>
      <c r="F41">
        <f>F_Inputs!F40</f>
        <v>0</v>
      </c>
      <c r="G41">
        <f>F_Inputs!G40</f>
        <v>0</v>
      </c>
      <c r="H41" t="str">
        <f>F_Inputs!H40</f>
        <v/>
      </c>
      <c r="I41" t="str">
        <f>F_Inputs!I40</f>
        <v/>
      </c>
      <c r="J41" t="str">
        <f>F_Inputs!J40</f>
        <v/>
      </c>
      <c r="K41" t="str">
        <f>F_Inputs!K40</f>
        <v/>
      </c>
      <c r="L41" t="str">
        <f>F_Inputs!L40</f>
        <v/>
      </c>
      <c r="M41" t="str">
        <f>F_Inputs!M40</f>
        <v/>
      </c>
      <c r="O41" s="84" t="str">
        <f t="shared" si="6"/>
        <v>CWW12_</v>
      </c>
      <c r="P41" s="32">
        <f t="shared" si="7"/>
        <v>0</v>
      </c>
      <c r="Q41" s="32">
        <f t="shared" si="8"/>
        <v>0</v>
      </c>
      <c r="R41" s="32">
        <f t="shared" si="9"/>
        <v>0</v>
      </c>
      <c r="S41" s="32">
        <f t="shared" si="10"/>
        <v>0</v>
      </c>
      <c r="T41" s="32">
        <f t="shared" si="11"/>
        <v>0</v>
      </c>
      <c r="U41" s="32">
        <f t="shared" si="12"/>
        <v>0</v>
      </c>
      <c r="V41" s="32">
        <f t="shared" si="13"/>
        <v>0</v>
      </c>
      <c r="W41" s="32">
        <f t="shared" si="14"/>
        <v>0</v>
      </c>
    </row>
    <row r="42" spans="1:23">
      <c r="A42" t="str">
        <f>F_Inputs!A41</f>
        <v>HDD</v>
      </c>
      <c r="B42" t="str">
        <f>F_Inputs!B41</f>
        <v>CWW12_009TOT_PR24</v>
      </c>
      <c r="C42" t="str">
        <f>F_Inputs!C41</f>
        <v>EA/NRW environmental programme wastewater (WINEP/NEP) - Continuous river water quality monitoring (WINEP/NEP) wastewater totex - Total</v>
      </c>
      <c r="D42" t="str">
        <f>F_Inputs!D41</f>
        <v>£m</v>
      </c>
      <c r="E42" t="str">
        <f>F_Inputs!E41</f>
        <v>Price Review 2024</v>
      </c>
      <c r="F42">
        <f>F_Inputs!F41</f>
        <v>0</v>
      </c>
      <c r="G42">
        <f>F_Inputs!G41</f>
        <v>0</v>
      </c>
      <c r="H42" t="str">
        <f>F_Inputs!H41</f>
        <v/>
      </c>
      <c r="I42" t="str">
        <f>F_Inputs!I41</f>
        <v/>
      </c>
      <c r="J42" t="str">
        <f>F_Inputs!J41</f>
        <v/>
      </c>
      <c r="K42" t="str">
        <f>F_Inputs!K41</f>
        <v/>
      </c>
      <c r="L42" t="str">
        <f>F_Inputs!L41</f>
        <v/>
      </c>
      <c r="M42" t="str">
        <f>F_Inputs!M41</f>
        <v/>
      </c>
      <c r="O42" s="84" t="str">
        <f t="shared" si="6"/>
        <v>CWW12_</v>
      </c>
      <c r="P42" s="32">
        <f t="shared" si="7"/>
        <v>0</v>
      </c>
      <c r="Q42" s="32">
        <f t="shared" si="8"/>
        <v>0</v>
      </c>
      <c r="R42" s="32">
        <f t="shared" si="9"/>
        <v>0</v>
      </c>
      <c r="S42" s="32">
        <f t="shared" si="10"/>
        <v>0</v>
      </c>
      <c r="T42" s="32">
        <f t="shared" si="11"/>
        <v>0</v>
      </c>
      <c r="U42" s="32">
        <f t="shared" si="12"/>
        <v>0</v>
      </c>
      <c r="V42" s="32">
        <f t="shared" si="13"/>
        <v>0</v>
      </c>
      <c r="W42" s="32">
        <f t="shared" si="14"/>
        <v>0</v>
      </c>
    </row>
    <row r="43" spans="1:23">
      <c r="A43" t="str">
        <f>F_Inputs!A42</f>
        <v>HDD</v>
      </c>
      <c r="B43" t="str">
        <f>F_Inputs!B42</f>
        <v>CWW17_007TOT_PR24</v>
      </c>
      <c r="C43" t="str">
        <f>F_Inputs!C42</f>
        <v>EA/NRW environmental programme wastewater (WINEP/NEP) - Continuous river water quality monitoring (WINEP/NEP) wastewater capex - Total</v>
      </c>
      <c r="D43" t="str">
        <f>F_Inputs!D42</f>
        <v>£m</v>
      </c>
      <c r="E43" t="str">
        <f>F_Inputs!E42</f>
        <v>Price Review 2024</v>
      </c>
      <c r="F43">
        <f>F_Inputs!F42</f>
        <v>0</v>
      </c>
      <c r="G43">
        <f>F_Inputs!G42</f>
        <v>0</v>
      </c>
      <c r="H43">
        <f>F_Inputs!H42</f>
        <v>0</v>
      </c>
      <c r="I43">
        <f>F_Inputs!I42</f>
        <v>0</v>
      </c>
      <c r="J43">
        <f>F_Inputs!J42</f>
        <v>0</v>
      </c>
      <c r="K43">
        <f>F_Inputs!K42</f>
        <v>0</v>
      </c>
      <c r="L43">
        <f>F_Inputs!L42</f>
        <v>0</v>
      </c>
      <c r="M43" t="str">
        <f>F_Inputs!M42</f>
        <v/>
      </c>
      <c r="O43" s="84" t="str">
        <f t="shared" si="6"/>
        <v>CWW17_</v>
      </c>
      <c r="P43" s="32">
        <f t="shared" si="7"/>
        <v>0</v>
      </c>
      <c r="Q43" s="32">
        <f t="shared" si="8"/>
        <v>0</v>
      </c>
      <c r="R43" s="32">
        <f t="shared" si="9"/>
        <v>0</v>
      </c>
      <c r="S43" s="32">
        <f t="shared" si="10"/>
        <v>0</v>
      </c>
      <c r="T43" s="32">
        <f t="shared" si="11"/>
        <v>0</v>
      </c>
      <c r="U43" s="32">
        <f t="shared" si="12"/>
        <v>0</v>
      </c>
      <c r="V43" s="32">
        <f t="shared" si="13"/>
        <v>0</v>
      </c>
      <c r="W43" s="32">
        <f t="shared" si="14"/>
        <v>0</v>
      </c>
    </row>
    <row r="44" spans="1:23">
      <c r="A44" t="str">
        <f>F_Inputs!A43</f>
        <v>HDD</v>
      </c>
      <c r="B44" t="str">
        <f>F_Inputs!B43</f>
        <v>CWW17_008TOT_PR24</v>
      </c>
      <c r="C44" t="str">
        <f>F_Inputs!C43</f>
        <v>EA/NRW environmental programme wastewater (WINEP/NEP) - Continuous river water quality monitoring (WINEP/NEP) wastewater opex - Total</v>
      </c>
      <c r="D44" t="str">
        <f>F_Inputs!D43</f>
        <v>£m</v>
      </c>
      <c r="E44" t="str">
        <f>F_Inputs!E43</f>
        <v>Price Review 2024</v>
      </c>
      <c r="F44">
        <f>F_Inputs!F43</f>
        <v>0</v>
      </c>
      <c r="G44">
        <f>F_Inputs!G43</f>
        <v>0</v>
      </c>
      <c r="H44">
        <f>F_Inputs!H43</f>
        <v>0</v>
      </c>
      <c r="I44">
        <f>F_Inputs!I43</f>
        <v>0</v>
      </c>
      <c r="J44">
        <f>F_Inputs!J43</f>
        <v>0</v>
      </c>
      <c r="K44">
        <f>F_Inputs!K43</f>
        <v>0</v>
      </c>
      <c r="L44">
        <f>F_Inputs!L43</f>
        <v>0</v>
      </c>
      <c r="M44" t="str">
        <f>F_Inputs!M43</f>
        <v/>
      </c>
      <c r="O44" s="84" t="str">
        <f t="shared" si="6"/>
        <v>CWW17_</v>
      </c>
      <c r="P44" s="32">
        <f t="shared" si="7"/>
        <v>0</v>
      </c>
      <c r="Q44" s="32">
        <f t="shared" si="8"/>
        <v>0</v>
      </c>
      <c r="R44" s="32">
        <f t="shared" si="9"/>
        <v>0</v>
      </c>
      <c r="S44" s="32">
        <f t="shared" si="10"/>
        <v>0</v>
      </c>
      <c r="T44" s="32">
        <f t="shared" si="11"/>
        <v>0</v>
      </c>
      <c r="U44" s="32">
        <f t="shared" si="12"/>
        <v>0</v>
      </c>
      <c r="V44" s="32">
        <f t="shared" si="13"/>
        <v>0</v>
      </c>
      <c r="W44" s="32">
        <f t="shared" si="14"/>
        <v>0</v>
      </c>
    </row>
    <row r="45" spans="1:23">
      <c r="A45" t="str">
        <f>F_Inputs!A44</f>
        <v>HDD</v>
      </c>
      <c r="B45" t="str">
        <f>F_Inputs!B44</f>
        <v>CWW17_009TOT_PR24</v>
      </c>
      <c r="C45" t="str">
        <f>F_Inputs!C44</f>
        <v>EA/NRW environmental programme wastewater (WINEP/NEP) - Continuous river water quality monitoring (WINEP/NEP) wastewater totex - Total</v>
      </c>
      <c r="D45" t="str">
        <f>F_Inputs!D44</f>
        <v>£m</v>
      </c>
      <c r="E45" t="str">
        <f>F_Inputs!E44</f>
        <v>Price Review 2024</v>
      </c>
      <c r="F45">
        <f>F_Inputs!F44</f>
        <v>0</v>
      </c>
      <c r="G45">
        <f>F_Inputs!G44</f>
        <v>0</v>
      </c>
      <c r="H45">
        <f>F_Inputs!H44</f>
        <v>0</v>
      </c>
      <c r="I45">
        <f>F_Inputs!I44</f>
        <v>0</v>
      </c>
      <c r="J45">
        <f>F_Inputs!J44</f>
        <v>0</v>
      </c>
      <c r="K45">
        <f>F_Inputs!K44</f>
        <v>0</v>
      </c>
      <c r="L45">
        <f>F_Inputs!L44</f>
        <v>0</v>
      </c>
      <c r="M45" t="str">
        <f>F_Inputs!M44</f>
        <v/>
      </c>
      <c r="O45" s="84" t="str">
        <f t="shared" si="6"/>
        <v>CWW17_</v>
      </c>
      <c r="P45" s="32">
        <f t="shared" si="7"/>
        <v>0</v>
      </c>
      <c r="Q45" s="32">
        <f t="shared" si="8"/>
        <v>0</v>
      </c>
      <c r="R45" s="32">
        <f t="shared" si="9"/>
        <v>0</v>
      </c>
      <c r="S45" s="32">
        <f t="shared" si="10"/>
        <v>0</v>
      </c>
      <c r="T45" s="32">
        <f t="shared" si="11"/>
        <v>0</v>
      </c>
      <c r="U45" s="32">
        <f t="shared" si="12"/>
        <v>0</v>
      </c>
      <c r="V45" s="32">
        <f t="shared" si="13"/>
        <v>0</v>
      </c>
      <c r="W45" s="32">
        <f t="shared" si="14"/>
        <v>0</v>
      </c>
    </row>
    <row r="46" spans="1:23">
      <c r="A46" t="str">
        <f>F_Inputs!A45</f>
        <v>HDD</v>
      </c>
      <c r="B46" t="str">
        <f>F_Inputs!B45</f>
        <v>CWW20A_049_PR24</v>
      </c>
      <c r="C46" t="str">
        <f>F_Inputs!C45</f>
        <v>Network / Storm overflow data - Number of continuous water quality monitor installations</v>
      </c>
      <c r="D46" t="str">
        <f>F_Inputs!D45</f>
        <v>nr</v>
      </c>
      <c r="E46" t="str">
        <f>F_Inputs!E45</f>
        <v>Price Review 2024</v>
      </c>
      <c r="F46" t="str">
        <f>F_Inputs!F45</f>
        <v/>
      </c>
      <c r="G46" t="str">
        <f>F_Inputs!G45</f>
        <v/>
      </c>
      <c r="H46" t="str">
        <f>F_Inputs!H45</f>
        <v/>
      </c>
      <c r="I46" t="str">
        <f>F_Inputs!I45</f>
        <v/>
      </c>
      <c r="J46" t="str">
        <f>F_Inputs!J45</f>
        <v/>
      </c>
      <c r="K46" t="str">
        <f>F_Inputs!K45</f>
        <v/>
      </c>
      <c r="L46" t="str">
        <f>F_Inputs!L45</f>
        <v/>
      </c>
      <c r="M46" t="str">
        <f>F_Inputs!M45</f>
        <v/>
      </c>
      <c r="O46" s="84" t="str">
        <f t="shared" si="6"/>
        <v>CWW20A</v>
      </c>
      <c r="P46" s="32" t="str">
        <f t="shared" si="7"/>
        <v/>
      </c>
      <c r="Q46" s="32" t="str">
        <f t="shared" si="8"/>
        <v/>
      </c>
      <c r="R46" s="32">
        <f t="shared" si="9"/>
        <v>0</v>
      </c>
      <c r="S46" s="32">
        <f t="shared" si="10"/>
        <v>0</v>
      </c>
      <c r="T46" s="32">
        <f t="shared" si="11"/>
        <v>0</v>
      </c>
      <c r="U46" s="32">
        <f t="shared" si="12"/>
        <v>0</v>
      </c>
      <c r="V46" s="32">
        <f t="shared" si="13"/>
        <v>0</v>
      </c>
      <c r="W46" s="32">
        <f t="shared" si="14"/>
        <v>0</v>
      </c>
    </row>
    <row r="47" spans="1:23">
      <c r="A47" t="str">
        <f>F_Inputs!A46</f>
        <v>NES</v>
      </c>
      <c r="B47" t="str">
        <f>F_Inputs!B46</f>
        <v>CWW3_007TOT_PR24</v>
      </c>
      <c r="C47" t="str">
        <f>F_Inputs!C46</f>
        <v>EA/NRW environmental programme wastewater (WINEP/NEP) - Continuous river water quality monitoring (WINEP/NEP) wastewater capex - Total</v>
      </c>
      <c r="D47" t="str">
        <f>F_Inputs!D46</f>
        <v>£m</v>
      </c>
      <c r="E47" t="str">
        <f>F_Inputs!E46</f>
        <v>Price Review 2024</v>
      </c>
      <c r="F47">
        <f>F_Inputs!F46</f>
        <v>0</v>
      </c>
      <c r="G47">
        <f>F_Inputs!G46</f>
        <v>0</v>
      </c>
      <c r="H47">
        <f>F_Inputs!H46</f>
        <v>2.718</v>
      </c>
      <c r="I47">
        <f>F_Inputs!I46</f>
        <v>12.323</v>
      </c>
      <c r="J47">
        <f>F_Inputs!J46</f>
        <v>12.449</v>
      </c>
      <c r="K47">
        <f>F_Inputs!K46</f>
        <v>12.323</v>
      </c>
      <c r="L47">
        <f>F_Inputs!L46</f>
        <v>12.449</v>
      </c>
      <c r="M47" t="str">
        <f>F_Inputs!M46</f>
        <v/>
      </c>
      <c r="O47" s="84" t="str">
        <f t="shared" si="6"/>
        <v>CWW3_0</v>
      </c>
      <c r="P47" s="32">
        <f t="shared" si="7"/>
        <v>0</v>
      </c>
      <c r="Q47" s="32">
        <f t="shared" si="8"/>
        <v>0</v>
      </c>
      <c r="R47" s="32">
        <f t="shared" si="9"/>
        <v>2.718</v>
      </c>
      <c r="S47" s="32">
        <f t="shared" si="10"/>
        <v>12.323</v>
      </c>
      <c r="T47" s="32">
        <f t="shared" si="11"/>
        <v>12.449</v>
      </c>
      <c r="U47" s="32">
        <f t="shared" si="12"/>
        <v>12.323</v>
      </c>
      <c r="V47" s="32">
        <f t="shared" si="13"/>
        <v>12.449</v>
      </c>
      <c r="W47" s="32" t="str">
        <f t="shared" si="14"/>
        <v/>
      </c>
    </row>
    <row r="48" spans="1:23">
      <c r="A48" t="str">
        <f>F_Inputs!A47</f>
        <v>NES</v>
      </c>
      <c r="B48" t="str">
        <f>F_Inputs!B47</f>
        <v>CWW3_008TOT_PR24</v>
      </c>
      <c r="C48" t="str">
        <f>F_Inputs!C47</f>
        <v>EA/NRW environmental programme wastewater (WINEP/NEP) - Continuous river water quality monitoring (WINEP/NEP) wastewater opex - Total</v>
      </c>
      <c r="D48" t="str">
        <f>F_Inputs!D47</f>
        <v>£m</v>
      </c>
      <c r="E48" t="str">
        <f>F_Inputs!E47</f>
        <v>Price Review 2024</v>
      </c>
      <c r="F48">
        <f>F_Inputs!F47</f>
        <v>0</v>
      </c>
      <c r="G48">
        <f>F_Inputs!G47</f>
        <v>0</v>
      </c>
      <c r="H48">
        <f>F_Inputs!H47</f>
        <v>0</v>
      </c>
      <c r="I48">
        <f>F_Inputs!I47</f>
        <v>0</v>
      </c>
      <c r="J48">
        <f>F_Inputs!J47</f>
        <v>0.52900000000000003</v>
      </c>
      <c r="K48">
        <f>F_Inputs!K47</f>
        <v>1.0640000000000001</v>
      </c>
      <c r="L48">
        <f>F_Inputs!L47</f>
        <v>1.593</v>
      </c>
      <c r="M48" t="str">
        <f>F_Inputs!M47</f>
        <v/>
      </c>
      <c r="O48" s="84" t="str">
        <f t="shared" si="6"/>
        <v>CWW3_0</v>
      </c>
      <c r="P48" s="32">
        <f t="shared" si="7"/>
        <v>0</v>
      </c>
      <c r="Q48" s="32">
        <f t="shared" si="8"/>
        <v>0</v>
      </c>
      <c r="R48" s="32">
        <f t="shared" si="9"/>
        <v>0</v>
      </c>
      <c r="S48" s="32">
        <f t="shared" si="10"/>
        <v>0</v>
      </c>
      <c r="T48" s="32">
        <f t="shared" si="11"/>
        <v>0.52900000000000003</v>
      </c>
      <c r="U48" s="32">
        <f t="shared" si="12"/>
        <v>1.0640000000000001</v>
      </c>
      <c r="V48" s="32">
        <f t="shared" si="13"/>
        <v>1.593</v>
      </c>
      <c r="W48" s="32" t="str">
        <f t="shared" si="14"/>
        <v/>
      </c>
    </row>
    <row r="49" spans="1:23">
      <c r="A49" t="str">
        <f>F_Inputs!A48</f>
        <v>NES</v>
      </c>
      <c r="B49" t="str">
        <f>F_Inputs!B48</f>
        <v>CWW3_009TOT_PR24</v>
      </c>
      <c r="C49" t="str">
        <f>F_Inputs!C48</f>
        <v>EA/NRW environmental programme wastewater (WINEP/NEP) - Continuous river water quality monitoring (WINEP/NEP) wastewater totex - Total</v>
      </c>
      <c r="D49" t="str">
        <f>F_Inputs!D48</f>
        <v>£m</v>
      </c>
      <c r="E49" t="str">
        <f>F_Inputs!E48</f>
        <v>Price Review 2024</v>
      </c>
      <c r="F49">
        <f>F_Inputs!F48</f>
        <v>0</v>
      </c>
      <c r="G49">
        <f>F_Inputs!G48</f>
        <v>0</v>
      </c>
      <c r="H49">
        <f>F_Inputs!H48</f>
        <v>2.718</v>
      </c>
      <c r="I49">
        <f>F_Inputs!I48</f>
        <v>12.323</v>
      </c>
      <c r="J49">
        <f>F_Inputs!J48</f>
        <v>12.978</v>
      </c>
      <c r="K49">
        <f>F_Inputs!K48</f>
        <v>13.387</v>
      </c>
      <c r="L49">
        <f>F_Inputs!L48</f>
        <v>14.042</v>
      </c>
      <c r="M49" t="str">
        <f>F_Inputs!M48</f>
        <v/>
      </c>
      <c r="O49" s="84" t="str">
        <f t="shared" si="6"/>
        <v>CWW3_0</v>
      </c>
      <c r="P49" s="32">
        <f t="shared" si="7"/>
        <v>0</v>
      </c>
      <c r="Q49" s="32">
        <f t="shared" si="8"/>
        <v>0</v>
      </c>
      <c r="R49" s="32">
        <f t="shared" si="9"/>
        <v>2.718</v>
      </c>
      <c r="S49" s="32">
        <f t="shared" si="10"/>
        <v>12.323</v>
      </c>
      <c r="T49" s="32">
        <f t="shared" si="11"/>
        <v>12.978</v>
      </c>
      <c r="U49" s="32">
        <f t="shared" si="12"/>
        <v>13.387</v>
      </c>
      <c r="V49" s="32">
        <f t="shared" si="13"/>
        <v>14.042</v>
      </c>
      <c r="W49" s="32" t="str">
        <f t="shared" si="14"/>
        <v/>
      </c>
    </row>
    <row r="50" spans="1:23">
      <c r="A50" t="str">
        <f>F_Inputs!A49</f>
        <v>NES</v>
      </c>
      <c r="B50" t="str">
        <f>F_Inputs!B49</f>
        <v>CWW20_049_PR24</v>
      </c>
      <c r="C50" t="str">
        <f>F_Inputs!C49</f>
        <v>Network / Storm overflow data - Number of continuous water quality monitor installations</v>
      </c>
      <c r="D50" t="str">
        <f>F_Inputs!D49</f>
        <v>nr</v>
      </c>
      <c r="E50" t="str">
        <f>F_Inputs!E49</f>
        <v>Price Review 2024</v>
      </c>
      <c r="F50">
        <f>F_Inputs!F49</f>
        <v>0</v>
      </c>
      <c r="G50">
        <f>F_Inputs!G49</f>
        <v>0</v>
      </c>
      <c r="H50">
        <f>F_Inputs!H49</f>
        <v>0</v>
      </c>
      <c r="I50">
        <f>F_Inputs!I49</f>
        <v>97</v>
      </c>
      <c r="J50">
        <f>F_Inputs!J49</f>
        <v>98</v>
      </c>
      <c r="K50">
        <f>F_Inputs!K49</f>
        <v>97</v>
      </c>
      <c r="L50">
        <f>F_Inputs!L49</f>
        <v>98</v>
      </c>
      <c r="M50" t="str">
        <f>F_Inputs!M49</f>
        <v/>
      </c>
      <c r="O50" s="84" t="str">
        <f t="shared" si="6"/>
        <v>CWW20_</v>
      </c>
      <c r="P50" s="32">
        <f t="shared" si="7"/>
        <v>0</v>
      </c>
      <c r="Q50" s="32">
        <f t="shared" si="8"/>
        <v>0</v>
      </c>
      <c r="R50" s="32">
        <f t="shared" si="9"/>
        <v>0</v>
      </c>
      <c r="S50" s="32">
        <f t="shared" si="10"/>
        <v>97</v>
      </c>
      <c r="T50" s="32">
        <f t="shared" si="11"/>
        <v>98</v>
      </c>
      <c r="U50" s="32">
        <f t="shared" si="12"/>
        <v>97</v>
      </c>
      <c r="V50" s="32">
        <f t="shared" si="13"/>
        <v>98</v>
      </c>
      <c r="W50" s="32" t="str">
        <f t="shared" si="14"/>
        <v/>
      </c>
    </row>
    <row r="51" spans="1:23">
      <c r="A51" t="str">
        <f>F_Inputs!A50</f>
        <v>NES</v>
      </c>
      <c r="B51" t="str">
        <f>F_Inputs!B50</f>
        <v>CWW1A_015TOT_PR24</v>
      </c>
      <c r="C51" t="str">
        <f>F_Inputs!C50</f>
        <v>Net totex - Total</v>
      </c>
      <c r="D51" t="str">
        <f>F_Inputs!D50</f>
        <v>£m</v>
      </c>
      <c r="E51" t="str">
        <f>F_Inputs!E50</f>
        <v>Price Review 2024</v>
      </c>
      <c r="F51">
        <f>F_Inputs!F50</f>
        <v>269.75279587178778</v>
      </c>
      <c r="G51">
        <f>F_Inputs!G50</f>
        <v>351.36383189367382</v>
      </c>
      <c r="H51">
        <f>F_Inputs!H50</f>
        <v>637.49235151146331</v>
      </c>
      <c r="I51">
        <f>F_Inputs!I50</f>
        <v>649.43938105100824</v>
      </c>
      <c r="J51">
        <f>F_Inputs!J50</f>
        <v>633.75696696428611</v>
      </c>
      <c r="K51">
        <f>F_Inputs!K50</f>
        <v>617.35869124562396</v>
      </c>
      <c r="L51">
        <f>F_Inputs!L50</f>
        <v>590.04476795521828</v>
      </c>
      <c r="M51" t="str">
        <f>F_Inputs!M50</f>
        <v/>
      </c>
      <c r="O51" s="84" t="str">
        <f t="shared" si="6"/>
        <v>CWW1A_</v>
      </c>
      <c r="P51" s="32">
        <f t="shared" si="7"/>
        <v>0</v>
      </c>
      <c r="Q51" s="32">
        <f t="shared" si="8"/>
        <v>0</v>
      </c>
      <c r="R51" s="32">
        <f t="shared" si="9"/>
        <v>637.49235151146331</v>
      </c>
      <c r="S51" s="32">
        <f t="shared" si="10"/>
        <v>649.43938105100824</v>
      </c>
      <c r="T51" s="32">
        <f t="shared" si="11"/>
        <v>633.75696696428611</v>
      </c>
      <c r="U51" s="32">
        <f t="shared" si="12"/>
        <v>617.35869124562396</v>
      </c>
      <c r="V51" s="32">
        <f t="shared" si="13"/>
        <v>590.04476795521828</v>
      </c>
      <c r="W51" s="32" t="str">
        <f t="shared" si="14"/>
        <v/>
      </c>
    </row>
    <row r="52" spans="1:23">
      <c r="A52" t="str">
        <f>F_Inputs!A51</f>
        <v>NES</v>
      </c>
      <c r="B52" t="str">
        <f>F_Inputs!B51</f>
        <v>PR24_NETTOTEX_WASTE</v>
      </c>
      <c r="C52" t="str">
        <f>F_Inputs!C51</f>
        <v>PR24 BP Net totex - Total inc. accelerated &amp; transition costs</v>
      </c>
      <c r="D52" t="str">
        <f>F_Inputs!D51</f>
        <v>£m</v>
      </c>
      <c r="E52" t="str">
        <f>F_Inputs!E51</f>
        <v>Price Review 2024</v>
      </c>
      <c r="F52" t="str">
        <f>F_Inputs!F51</f>
        <v/>
      </c>
      <c r="G52" t="str">
        <f>F_Inputs!G51</f>
        <v/>
      </c>
      <c r="H52" t="str">
        <f>F_Inputs!H51</f>
        <v/>
      </c>
      <c r="I52" t="str">
        <f>F_Inputs!I51</f>
        <v/>
      </c>
      <c r="J52" t="str">
        <f>F_Inputs!J51</f>
        <v/>
      </c>
      <c r="K52" t="str">
        <f>F_Inputs!K51</f>
        <v/>
      </c>
      <c r="L52" t="str">
        <f>F_Inputs!L51</f>
        <v/>
      </c>
      <c r="M52">
        <f>F_Inputs!M51</f>
        <v>3207.9274023759344</v>
      </c>
      <c r="O52" s="84" t="str">
        <f t="shared" si="6"/>
        <v>PR24_N</v>
      </c>
      <c r="P52" s="32">
        <f t="shared" si="7"/>
        <v>0</v>
      </c>
      <c r="Q52" s="32">
        <f t="shared" si="8"/>
        <v>0</v>
      </c>
      <c r="R52" s="32" t="str">
        <f t="shared" si="9"/>
        <v/>
      </c>
      <c r="S52" s="32" t="str">
        <f t="shared" si="10"/>
        <v/>
      </c>
      <c r="T52" s="32" t="str">
        <f t="shared" si="11"/>
        <v/>
      </c>
      <c r="U52" s="32" t="str">
        <f t="shared" si="12"/>
        <v/>
      </c>
      <c r="V52" s="32" t="str">
        <f t="shared" si="13"/>
        <v/>
      </c>
      <c r="W52" s="32">
        <f t="shared" si="14"/>
        <v>3207.9274023759344</v>
      </c>
    </row>
    <row r="53" spans="1:23">
      <c r="A53" t="str">
        <f>F_Inputs!A52</f>
        <v>NES</v>
      </c>
      <c r="B53" t="str">
        <f>F_Inputs!B52</f>
        <v>CWW12_007TOT_PR24</v>
      </c>
      <c r="C53" t="str">
        <f>F_Inputs!C52</f>
        <v>EA/NRW environmental programme wastewater (WINEP/NEP) - Continuous river water quality monitoring (WINEP/NEP) wastewater capex - Total</v>
      </c>
      <c r="D53" t="str">
        <f>F_Inputs!D52</f>
        <v>£m</v>
      </c>
      <c r="E53" t="str">
        <f>F_Inputs!E52</f>
        <v>Price Review 2024</v>
      </c>
      <c r="F53">
        <f>F_Inputs!F52</f>
        <v>0</v>
      </c>
      <c r="G53">
        <f>F_Inputs!G52</f>
        <v>0</v>
      </c>
      <c r="H53" t="str">
        <f>F_Inputs!H52</f>
        <v/>
      </c>
      <c r="I53" t="str">
        <f>F_Inputs!I52</f>
        <v/>
      </c>
      <c r="J53" t="str">
        <f>F_Inputs!J52</f>
        <v/>
      </c>
      <c r="K53" t="str">
        <f>F_Inputs!K52</f>
        <v/>
      </c>
      <c r="L53" t="str">
        <f>F_Inputs!L52</f>
        <v/>
      </c>
      <c r="M53" t="str">
        <f>F_Inputs!M52</f>
        <v/>
      </c>
      <c r="O53" s="84" t="str">
        <f t="shared" si="6"/>
        <v>CWW12_</v>
      </c>
      <c r="P53" s="32">
        <f t="shared" si="7"/>
        <v>0</v>
      </c>
      <c r="Q53" s="32">
        <f t="shared" si="8"/>
        <v>0</v>
      </c>
      <c r="R53" s="32">
        <f t="shared" si="9"/>
        <v>0</v>
      </c>
      <c r="S53" s="32">
        <f t="shared" si="10"/>
        <v>0</v>
      </c>
      <c r="T53" s="32">
        <f t="shared" si="11"/>
        <v>0</v>
      </c>
      <c r="U53" s="32">
        <f t="shared" si="12"/>
        <v>0</v>
      </c>
      <c r="V53" s="32">
        <f t="shared" si="13"/>
        <v>0</v>
      </c>
      <c r="W53" s="32">
        <f t="shared" si="14"/>
        <v>0</v>
      </c>
    </row>
    <row r="54" spans="1:23">
      <c r="A54" t="str">
        <f>F_Inputs!A53</f>
        <v>NES</v>
      </c>
      <c r="B54" t="str">
        <f>F_Inputs!B53</f>
        <v>CWW12_008TOT_PR24</v>
      </c>
      <c r="C54" t="str">
        <f>F_Inputs!C53</f>
        <v>EA/NRW environmental programme wastewater (WINEP/NEP) - Continuous river water quality monitoring (WINEP/NEP) wastewater opex - Total</v>
      </c>
      <c r="D54" t="str">
        <f>F_Inputs!D53</f>
        <v>£m</v>
      </c>
      <c r="E54" t="str">
        <f>F_Inputs!E53</f>
        <v>Price Review 2024</v>
      </c>
      <c r="F54">
        <f>F_Inputs!F53</f>
        <v>0</v>
      </c>
      <c r="G54">
        <f>F_Inputs!G53</f>
        <v>0</v>
      </c>
      <c r="H54" t="str">
        <f>F_Inputs!H53</f>
        <v/>
      </c>
      <c r="I54" t="str">
        <f>F_Inputs!I53</f>
        <v/>
      </c>
      <c r="J54" t="str">
        <f>F_Inputs!J53</f>
        <v/>
      </c>
      <c r="K54" t="str">
        <f>F_Inputs!K53</f>
        <v/>
      </c>
      <c r="L54" t="str">
        <f>F_Inputs!L53</f>
        <v/>
      </c>
      <c r="M54" t="str">
        <f>F_Inputs!M53</f>
        <v/>
      </c>
      <c r="O54" s="84" t="str">
        <f t="shared" si="6"/>
        <v>CWW12_</v>
      </c>
      <c r="P54" s="32">
        <f t="shared" si="7"/>
        <v>0</v>
      </c>
      <c r="Q54" s="32">
        <f t="shared" si="8"/>
        <v>0</v>
      </c>
      <c r="R54" s="32">
        <f t="shared" si="9"/>
        <v>0</v>
      </c>
      <c r="S54" s="32">
        <f t="shared" si="10"/>
        <v>0</v>
      </c>
      <c r="T54" s="32">
        <f t="shared" si="11"/>
        <v>0</v>
      </c>
      <c r="U54" s="32">
        <f t="shared" si="12"/>
        <v>0</v>
      </c>
      <c r="V54" s="32">
        <f t="shared" si="13"/>
        <v>0</v>
      </c>
      <c r="W54" s="32">
        <f t="shared" si="14"/>
        <v>0</v>
      </c>
    </row>
    <row r="55" spans="1:23">
      <c r="A55" t="str">
        <f>F_Inputs!A54</f>
        <v>NES</v>
      </c>
      <c r="B55" t="str">
        <f>F_Inputs!B54</f>
        <v>CWW12_009TOT_PR24</v>
      </c>
      <c r="C55" t="str">
        <f>F_Inputs!C54</f>
        <v>EA/NRW environmental programme wastewater (WINEP/NEP) - Continuous river water quality monitoring (WINEP/NEP) wastewater totex - Total</v>
      </c>
      <c r="D55" t="str">
        <f>F_Inputs!D54</f>
        <v>£m</v>
      </c>
      <c r="E55" t="str">
        <f>F_Inputs!E54</f>
        <v>Price Review 2024</v>
      </c>
      <c r="F55">
        <f>F_Inputs!F54</f>
        <v>0</v>
      </c>
      <c r="G55">
        <f>F_Inputs!G54</f>
        <v>0</v>
      </c>
      <c r="H55" t="str">
        <f>F_Inputs!H54</f>
        <v/>
      </c>
      <c r="I55" t="str">
        <f>F_Inputs!I54</f>
        <v/>
      </c>
      <c r="J55" t="str">
        <f>F_Inputs!J54</f>
        <v/>
      </c>
      <c r="K55" t="str">
        <f>F_Inputs!K54</f>
        <v/>
      </c>
      <c r="L55" t="str">
        <f>F_Inputs!L54</f>
        <v/>
      </c>
      <c r="M55" t="str">
        <f>F_Inputs!M54</f>
        <v/>
      </c>
      <c r="O55" s="84" t="str">
        <f t="shared" si="6"/>
        <v>CWW12_</v>
      </c>
      <c r="P55" s="32">
        <f t="shared" si="7"/>
        <v>0</v>
      </c>
      <c r="Q55" s="32">
        <f t="shared" si="8"/>
        <v>0</v>
      </c>
      <c r="R55" s="32">
        <f t="shared" si="9"/>
        <v>0</v>
      </c>
      <c r="S55" s="32">
        <f t="shared" si="10"/>
        <v>0</v>
      </c>
      <c r="T55" s="32">
        <f t="shared" si="11"/>
        <v>0</v>
      </c>
      <c r="U55" s="32">
        <f t="shared" si="12"/>
        <v>0</v>
      </c>
      <c r="V55" s="32">
        <f t="shared" si="13"/>
        <v>0</v>
      </c>
      <c r="W55" s="32">
        <f t="shared" si="14"/>
        <v>0</v>
      </c>
    </row>
    <row r="56" spans="1:23">
      <c r="A56" t="str">
        <f>F_Inputs!A55</f>
        <v>NES</v>
      </c>
      <c r="B56" t="str">
        <f>F_Inputs!B55</f>
        <v>CWW17_007TOT_PR24</v>
      </c>
      <c r="C56" t="str">
        <f>F_Inputs!C55</f>
        <v>EA/NRW environmental programme wastewater (WINEP/NEP) - Continuous river water quality monitoring (WINEP/NEP) wastewater capex - Total</v>
      </c>
      <c r="D56" t="str">
        <f>F_Inputs!D55</f>
        <v>£m</v>
      </c>
      <c r="E56" t="str">
        <f>F_Inputs!E55</f>
        <v>Price Review 2024</v>
      </c>
      <c r="F56">
        <f>F_Inputs!F55</f>
        <v>0</v>
      </c>
      <c r="G56">
        <f>F_Inputs!G55</f>
        <v>0</v>
      </c>
      <c r="H56">
        <f>F_Inputs!H55</f>
        <v>0</v>
      </c>
      <c r="I56">
        <f>F_Inputs!I55</f>
        <v>0</v>
      </c>
      <c r="J56">
        <f>F_Inputs!J55</f>
        <v>0</v>
      </c>
      <c r="K56">
        <f>F_Inputs!K55</f>
        <v>0</v>
      </c>
      <c r="L56">
        <f>F_Inputs!L55</f>
        <v>0</v>
      </c>
      <c r="M56" t="str">
        <f>F_Inputs!M55</f>
        <v/>
      </c>
      <c r="O56" s="84" t="str">
        <f t="shared" si="6"/>
        <v>CWW17_</v>
      </c>
      <c r="P56" s="32">
        <f t="shared" si="7"/>
        <v>0</v>
      </c>
      <c r="Q56" s="32">
        <f t="shared" si="8"/>
        <v>0</v>
      </c>
      <c r="R56" s="32">
        <f t="shared" si="9"/>
        <v>0</v>
      </c>
      <c r="S56" s="32">
        <f t="shared" si="10"/>
        <v>0</v>
      </c>
      <c r="T56" s="32">
        <f t="shared" si="11"/>
        <v>0</v>
      </c>
      <c r="U56" s="32">
        <f t="shared" si="12"/>
        <v>0</v>
      </c>
      <c r="V56" s="32">
        <f t="shared" si="13"/>
        <v>0</v>
      </c>
      <c r="W56" s="32">
        <f t="shared" si="14"/>
        <v>0</v>
      </c>
    </row>
    <row r="57" spans="1:23">
      <c r="A57" t="str">
        <f>F_Inputs!A56</f>
        <v>NES</v>
      </c>
      <c r="B57" t="str">
        <f>F_Inputs!B56</f>
        <v>CWW17_008TOT_PR24</v>
      </c>
      <c r="C57" t="str">
        <f>F_Inputs!C56</f>
        <v>EA/NRW environmental programme wastewater (WINEP/NEP) - Continuous river water quality monitoring (WINEP/NEP) wastewater opex - Total</v>
      </c>
      <c r="D57" t="str">
        <f>F_Inputs!D56</f>
        <v>£m</v>
      </c>
      <c r="E57" t="str">
        <f>F_Inputs!E56</f>
        <v>Price Review 2024</v>
      </c>
      <c r="F57">
        <f>F_Inputs!F56</f>
        <v>0</v>
      </c>
      <c r="G57">
        <f>F_Inputs!G56</f>
        <v>0</v>
      </c>
      <c r="H57">
        <f>F_Inputs!H56</f>
        <v>0</v>
      </c>
      <c r="I57">
        <f>F_Inputs!I56</f>
        <v>0</v>
      </c>
      <c r="J57">
        <f>F_Inputs!J56</f>
        <v>0</v>
      </c>
      <c r="K57">
        <f>F_Inputs!K56</f>
        <v>0</v>
      </c>
      <c r="L57">
        <f>F_Inputs!L56</f>
        <v>0</v>
      </c>
      <c r="M57" t="str">
        <f>F_Inputs!M56</f>
        <v/>
      </c>
      <c r="O57" s="84" t="str">
        <f t="shared" si="6"/>
        <v>CWW17_</v>
      </c>
      <c r="P57" s="32">
        <f t="shared" si="7"/>
        <v>0</v>
      </c>
      <c r="Q57" s="32">
        <f t="shared" si="8"/>
        <v>0</v>
      </c>
      <c r="R57" s="32">
        <f t="shared" si="9"/>
        <v>0</v>
      </c>
      <c r="S57" s="32">
        <f t="shared" si="10"/>
        <v>0</v>
      </c>
      <c r="T57" s="32">
        <f t="shared" si="11"/>
        <v>0</v>
      </c>
      <c r="U57" s="32">
        <f t="shared" si="12"/>
        <v>0</v>
      </c>
      <c r="V57" s="32">
        <f t="shared" si="13"/>
        <v>0</v>
      </c>
      <c r="W57" s="32">
        <f t="shared" si="14"/>
        <v>0</v>
      </c>
    </row>
    <row r="58" spans="1:23">
      <c r="A58" t="str">
        <f>F_Inputs!A57</f>
        <v>NES</v>
      </c>
      <c r="B58" t="str">
        <f>F_Inputs!B57</f>
        <v>CWW17_009TOT_PR24</v>
      </c>
      <c r="C58" t="str">
        <f>F_Inputs!C57</f>
        <v>EA/NRW environmental programme wastewater (WINEP/NEP) - Continuous river water quality monitoring (WINEP/NEP) wastewater totex - Total</v>
      </c>
      <c r="D58" t="str">
        <f>F_Inputs!D57</f>
        <v>£m</v>
      </c>
      <c r="E58" t="str">
        <f>F_Inputs!E57</f>
        <v>Price Review 2024</v>
      </c>
      <c r="F58">
        <f>F_Inputs!F57</f>
        <v>0</v>
      </c>
      <c r="G58">
        <f>F_Inputs!G57</f>
        <v>0</v>
      </c>
      <c r="H58">
        <f>F_Inputs!H57</f>
        <v>0</v>
      </c>
      <c r="I58">
        <f>F_Inputs!I57</f>
        <v>0</v>
      </c>
      <c r="J58">
        <f>F_Inputs!J57</f>
        <v>0</v>
      </c>
      <c r="K58">
        <f>F_Inputs!K57</f>
        <v>0</v>
      </c>
      <c r="L58">
        <f>F_Inputs!L57</f>
        <v>0</v>
      </c>
      <c r="M58" t="str">
        <f>F_Inputs!M57</f>
        <v/>
      </c>
      <c r="O58" s="84" t="str">
        <f t="shared" si="6"/>
        <v>CWW17_</v>
      </c>
      <c r="P58" s="32">
        <f t="shared" si="7"/>
        <v>0</v>
      </c>
      <c r="Q58" s="32">
        <f t="shared" si="8"/>
        <v>0</v>
      </c>
      <c r="R58" s="32">
        <f t="shared" si="9"/>
        <v>0</v>
      </c>
      <c r="S58" s="32">
        <f t="shared" si="10"/>
        <v>0</v>
      </c>
      <c r="T58" s="32">
        <f t="shared" si="11"/>
        <v>0</v>
      </c>
      <c r="U58" s="32">
        <f t="shared" si="12"/>
        <v>0</v>
      </c>
      <c r="V58" s="32">
        <f t="shared" si="13"/>
        <v>0</v>
      </c>
      <c r="W58" s="32">
        <f t="shared" si="14"/>
        <v>0</v>
      </c>
    </row>
    <row r="59" spans="1:23">
      <c r="A59" t="str">
        <f>F_Inputs!A58</f>
        <v>NES</v>
      </c>
      <c r="B59" t="str">
        <f>F_Inputs!B58</f>
        <v>CWW20A_049_PR24</v>
      </c>
      <c r="C59" t="str">
        <f>F_Inputs!C58</f>
        <v>Network / Storm overflow data - Number of continuous water quality monitor installations</v>
      </c>
      <c r="D59" t="str">
        <f>F_Inputs!D58</f>
        <v>nr</v>
      </c>
      <c r="E59" t="str">
        <f>F_Inputs!E58</f>
        <v>Price Review 2024</v>
      </c>
      <c r="F59" t="str">
        <f>F_Inputs!F58</f>
        <v/>
      </c>
      <c r="G59" t="str">
        <f>F_Inputs!G58</f>
        <v/>
      </c>
      <c r="H59" t="str">
        <f>F_Inputs!H58</f>
        <v/>
      </c>
      <c r="I59" t="str">
        <f>F_Inputs!I58</f>
        <v/>
      </c>
      <c r="J59" t="str">
        <f>F_Inputs!J58</f>
        <v/>
      </c>
      <c r="K59" t="str">
        <f>F_Inputs!K58</f>
        <v/>
      </c>
      <c r="L59" t="str">
        <f>F_Inputs!L58</f>
        <v/>
      </c>
      <c r="M59" t="str">
        <f>F_Inputs!M58</f>
        <v/>
      </c>
      <c r="O59" s="84" t="str">
        <f t="shared" si="6"/>
        <v>CWW20A</v>
      </c>
      <c r="P59" s="32" t="str">
        <f t="shared" si="7"/>
        <v/>
      </c>
      <c r="Q59" s="32" t="str">
        <f t="shared" si="8"/>
        <v/>
      </c>
      <c r="R59" s="32">
        <f t="shared" si="9"/>
        <v>0</v>
      </c>
      <c r="S59" s="32">
        <f t="shared" si="10"/>
        <v>0</v>
      </c>
      <c r="T59" s="32">
        <f t="shared" si="11"/>
        <v>0</v>
      </c>
      <c r="U59" s="32">
        <f t="shared" si="12"/>
        <v>0</v>
      </c>
      <c r="V59" s="32">
        <f t="shared" si="13"/>
        <v>0</v>
      </c>
      <c r="W59" s="32">
        <f t="shared" si="14"/>
        <v>0</v>
      </c>
    </row>
    <row r="60" spans="1:23">
      <c r="A60" t="str">
        <f>F_Inputs!A59</f>
        <v>SWB</v>
      </c>
      <c r="B60" t="str">
        <f>F_Inputs!B59</f>
        <v>CWW3_007TOT_PR24</v>
      </c>
      <c r="C60" t="str">
        <f>F_Inputs!C59</f>
        <v>EA/NRW environmental programme wastewater (WINEP/NEP) - Continuous river water quality monitoring (WINEP/NEP) wastewater capex - Total</v>
      </c>
      <c r="D60" t="str">
        <f>F_Inputs!D59</f>
        <v>£m</v>
      </c>
      <c r="E60" t="str">
        <f>F_Inputs!E59</f>
        <v>Price Review 2024</v>
      </c>
      <c r="F60">
        <f>F_Inputs!F59</f>
        <v>0</v>
      </c>
      <c r="G60">
        <f>F_Inputs!G59</f>
        <v>21.777000000000001</v>
      </c>
      <c r="H60">
        <f>F_Inputs!H59</f>
        <v>8.4819999999999993</v>
      </c>
      <c r="I60">
        <f>F_Inputs!I59</f>
        <v>8.4819999999999975</v>
      </c>
      <c r="J60">
        <f>F_Inputs!J59</f>
        <v>8.4819999999999975</v>
      </c>
      <c r="K60">
        <f>F_Inputs!K59</f>
        <v>8.4830000000000005</v>
      </c>
      <c r="L60">
        <f>F_Inputs!L59</f>
        <v>8.484</v>
      </c>
      <c r="M60" t="str">
        <f>F_Inputs!M59</f>
        <v/>
      </c>
      <c r="O60" s="84" t="str">
        <f t="shared" si="6"/>
        <v>CWW3_0</v>
      </c>
      <c r="P60" s="32">
        <f t="shared" si="7"/>
        <v>0</v>
      </c>
      <c r="Q60" s="32">
        <f t="shared" si="8"/>
        <v>0</v>
      </c>
      <c r="R60" s="32">
        <f t="shared" si="9"/>
        <v>8.4819999999999993</v>
      </c>
      <c r="S60" s="32">
        <f t="shared" si="10"/>
        <v>8.4819999999999975</v>
      </c>
      <c r="T60" s="32">
        <f t="shared" si="11"/>
        <v>8.4819999999999975</v>
      </c>
      <c r="U60" s="32">
        <f t="shared" si="12"/>
        <v>8.4830000000000005</v>
      </c>
      <c r="V60" s="32">
        <f t="shared" si="13"/>
        <v>8.484</v>
      </c>
      <c r="W60" s="32" t="str">
        <f t="shared" si="14"/>
        <v/>
      </c>
    </row>
    <row r="61" spans="1:23">
      <c r="A61" t="str">
        <f>F_Inputs!A60</f>
        <v>SWB</v>
      </c>
      <c r="B61" t="str">
        <f>F_Inputs!B60</f>
        <v>CWW3_008TOT_PR24</v>
      </c>
      <c r="C61" t="str">
        <f>F_Inputs!C60</f>
        <v>EA/NRW environmental programme wastewater (WINEP/NEP) - Continuous river water quality monitoring (WINEP/NEP) wastewater opex - Total</v>
      </c>
      <c r="D61" t="str">
        <f>F_Inputs!D60</f>
        <v>£m</v>
      </c>
      <c r="E61" t="str">
        <f>F_Inputs!E60</f>
        <v>Price Review 2024</v>
      </c>
      <c r="F61">
        <f>F_Inputs!F60</f>
        <v>0</v>
      </c>
      <c r="G61">
        <f>F_Inputs!G60</f>
        <v>0.61099999999999999</v>
      </c>
      <c r="H61">
        <f>F_Inputs!H60</f>
        <v>0.79999999999999993</v>
      </c>
      <c r="I61">
        <f>F_Inputs!I60</f>
        <v>1.6</v>
      </c>
      <c r="J61">
        <f>F_Inputs!J60</f>
        <v>2.4</v>
      </c>
      <c r="K61">
        <f>F_Inputs!K60</f>
        <v>3.21</v>
      </c>
      <c r="L61">
        <f>F_Inputs!L60</f>
        <v>4.01</v>
      </c>
      <c r="M61" t="str">
        <f>F_Inputs!M60</f>
        <v/>
      </c>
      <c r="O61" s="84" t="str">
        <f t="shared" si="6"/>
        <v>CWW3_0</v>
      </c>
      <c r="P61" s="32">
        <f t="shared" si="7"/>
        <v>0</v>
      </c>
      <c r="Q61" s="32">
        <f t="shared" si="8"/>
        <v>0</v>
      </c>
      <c r="R61" s="32">
        <f t="shared" si="9"/>
        <v>0.79999999999999993</v>
      </c>
      <c r="S61" s="32">
        <f t="shared" si="10"/>
        <v>1.6</v>
      </c>
      <c r="T61" s="32">
        <f t="shared" si="11"/>
        <v>2.4</v>
      </c>
      <c r="U61" s="32">
        <f t="shared" si="12"/>
        <v>3.21</v>
      </c>
      <c r="V61" s="32">
        <f t="shared" si="13"/>
        <v>4.01</v>
      </c>
      <c r="W61" s="32" t="str">
        <f t="shared" si="14"/>
        <v/>
      </c>
    </row>
    <row r="62" spans="1:23">
      <c r="A62" t="str">
        <f>F_Inputs!A61</f>
        <v>SWB</v>
      </c>
      <c r="B62" t="str">
        <f>F_Inputs!B61</f>
        <v>CWW3_009TOT_PR24</v>
      </c>
      <c r="C62" t="str">
        <f>F_Inputs!C61</f>
        <v>EA/NRW environmental programme wastewater (WINEP/NEP) - Continuous river water quality monitoring (WINEP/NEP) wastewater totex - Total</v>
      </c>
      <c r="D62" t="str">
        <f>F_Inputs!D61</f>
        <v>£m</v>
      </c>
      <c r="E62" t="str">
        <f>F_Inputs!E61</f>
        <v>Price Review 2024</v>
      </c>
      <c r="F62">
        <f>F_Inputs!F61</f>
        <v>0</v>
      </c>
      <c r="G62">
        <f>F_Inputs!G61</f>
        <v>22.388000000000002</v>
      </c>
      <c r="H62">
        <f>F_Inputs!H61</f>
        <v>9.282</v>
      </c>
      <c r="I62">
        <f>F_Inputs!I61</f>
        <v>10.082000000000001</v>
      </c>
      <c r="J62">
        <f>F_Inputs!J61</f>
        <v>10.882</v>
      </c>
      <c r="K62">
        <f>F_Inputs!K61</f>
        <v>11.693</v>
      </c>
      <c r="L62">
        <f>F_Inputs!L61</f>
        <v>12.494</v>
      </c>
      <c r="M62" t="str">
        <f>F_Inputs!M61</f>
        <v/>
      </c>
      <c r="O62" s="84" t="str">
        <f t="shared" si="6"/>
        <v>CWW3_0</v>
      </c>
      <c r="P62" s="32">
        <f t="shared" si="7"/>
        <v>0</v>
      </c>
      <c r="Q62" s="32">
        <f t="shared" si="8"/>
        <v>0</v>
      </c>
      <c r="R62" s="32">
        <f t="shared" si="9"/>
        <v>9.282</v>
      </c>
      <c r="S62" s="32">
        <f t="shared" si="10"/>
        <v>10.082000000000001</v>
      </c>
      <c r="T62" s="32">
        <f t="shared" si="11"/>
        <v>10.882</v>
      </c>
      <c r="U62" s="32">
        <f t="shared" si="12"/>
        <v>11.693</v>
      </c>
      <c r="V62" s="32">
        <f t="shared" si="13"/>
        <v>12.494</v>
      </c>
      <c r="W62" s="32" t="str">
        <f t="shared" si="14"/>
        <v/>
      </c>
    </row>
    <row r="63" spans="1:23">
      <c r="A63" t="str">
        <f>F_Inputs!A62</f>
        <v>SWB</v>
      </c>
      <c r="B63" t="str">
        <f>F_Inputs!B62</f>
        <v>CWW20_049_PR24</v>
      </c>
      <c r="C63" t="str">
        <f>F_Inputs!C62</f>
        <v>Network / Storm overflow data - Number of continuous water quality monitor installations</v>
      </c>
      <c r="D63" t="str">
        <f>F_Inputs!D62</f>
        <v>nr</v>
      </c>
      <c r="E63" t="str">
        <f>F_Inputs!E62</f>
        <v>Price Review 2024</v>
      </c>
      <c r="F63">
        <f>F_Inputs!F62</f>
        <v>0</v>
      </c>
      <c r="G63">
        <f>F_Inputs!G62</f>
        <v>0</v>
      </c>
      <c r="H63">
        <f>F_Inputs!H62</f>
        <v>82</v>
      </c>
      <c r="I63">
        <f>F_Inputs!I62</f>
        <v>82</v>
      </c>
      <c r="J63">
        <f>F_Inputs!J62</f>
        <v>82</v>
      </c>
      <c r="K63">
        <f>F_Inputs!K62</f>
        <v>82</v>
      </c>
      <c r="L63">
        <f>F_Inputs!L62</f>
        <v>81</v>
      </c>
      <c r="M63" t="str">
        <f>F_Inputs!M62</f>
        <v/>
      </c>
      <c r="O63" s="84" t="str">
        <f t="shared" si="6"/>
        <v>CWW20_</v>
      </c>
      <c r="P63" s="32">
        <f t="shared" si="7"/>
        <v>0</v>
      </c>
      <c r="Q63" s="32">
        <f t="shared" si="8"/>
        <v>0</v>
      </c>
      <c r="R63" s="32">
        <f t="shared" si="9"/>
        <v>82</v>
      </c>
      <c r="S63" s="32">
        <f t="shared" si="10"/>
        <v>82</v>
      </c>
      <c r="T63" s="32">
        <f t="shared" si="11"/>
        <v>82</v>
      </c>
      <c r="U63" s="32">
        <f t="shared" si="12"/>
        <v>82</v>
      </c>
      <c r="V63" s="32">
        <f t="shared" si="13"/>
        <v>81</v>
      </c>
      <c r="W63" s="32" t="str">
        <f t="shared" si="14"/>
        <v/>
      </c>
    </row>
    <row r="64" spans="1:23">
      <c r="A64" t="str">
        <f>F_Inputs!A63</f>
        <v>SWB</v>
      </c>
      <c r="B64" t="str">
        <f>F_Inputs!B63</f>
        <v>CWW1A_015TOT_PR24</v>
      </c>
      <c r="C64" t="str">
        <f>F_Inputs!C63</f>
        <v>Net totex - Total</v>
      </c>
      <c r="D64" t="str">
        <f>F_Inputs!D63</f>
        <v>£m</v>
      </c>
      <c r="E64" t="str">
        <f>F_Inputs!E63</f>
        <v>Price Review 2024</v>
      </c>
      <c r="F64">
        <f>F_Inputs!F63</f>
        <v>333.01299999999998</v>
      </c>
      <c r="G64">
        <f>F_Inputs!G63</f>
        <v>359.33790081544743</v>
      </c>
      <c r="H64">
        <f>F_Inputs!H63</f>
        <v>424.43672704840031</v>
      </c>
      <c r="I64">
        <f>F_Inputs!I63</f>
        <v>452.43411651686932</v>
      </c>
      <c r="J64">
        <f>F_Inputs!J63</f>
        <v>438.9042052475661</v>
      </c>
      <c r="K64">
        <f>F_Inputs!K63</f>
        <v>443.81161410521469</v>
      </c>
      <c r="L64">
        <f>F_Inputs!L63</f>
        <v>366.29748727458627</v>
      </c>
      <c r="M64" t="str">
        <f>F_Inputs!M63</f>
        <v/>
      </c>
      <c r="O64" s="84" t="str">
        <f t="shared" si="6"/>
        <v>CWW1A_</v>
      </c>
      <c r="P64" s="32">
        <f t="shared" si="7"/>
        <v>0</v>
      </c>
      <c r="Q64" s="32">
        <f t="shared" si="8"/>
        <v>0</v>
      </c>
      <c r="R64" s="32">
        <f t="shared" si="9"/>
        <v>424.43672704840031</v>
      </c>
      <c r="S64" s="32">
        <f t="shared" si="10"/>
        <v>452.43411651686932</v>
      </c>
      <c r="T64" s="32">
        <f t="shared" si="11"/>
        <v>438.9042052475661</v>
      </c>
      <c r="U64" s="32">
        <f t="shared" si="12"/>
        <v>443.81161410521469</v>
      </c>
      <c r="V64" s="32">
        <f t="shared" si="13"/>
        <v>366.29748727458627</v>
      </c>
      <c r="W64" s="32" t="str">
        <f t="shared" si="14"/>
        <v/>
      </c>
    </row>
    <row r="65" spans="1:23">
      <c r="A65" t="str">
        <f>F_Inputs!A64</f>
        <v>SWB</v>
      </c>
      <c r="B65" t="str">
        <f>F_Inputs!B64</f>
        <v>PR24_NETTOTEX_WASTE</v>
      </c>
      <c r="C65" t="str">
        <f>F_Inputs!C64</f>
        <v>PR24 BP Net totex - Total inc. accelerated &amp; transition costs</v>
      </c>
      <c r="D65" t="str">
        <f>F_Inputs!D64</f>
        <v>£m</v>
      </c>
      <c r="E65" t="str">
        <f>F_Inputs!E64</f>
        <v>Price Review 2024</v>
      </c>
      <c r="F65" t="str">
        <f>F_Inputs!F64</f>
        <v/>
      </c>
      <c r="G65" t="str">
        <f>F_Inputs!G64</f>
        <v/>
      </c>
      <c r="H65" t="str">
        <f>F_Inputs!H64</f>
        <v/>
      </c>
      <c r="I65" t="str">
        <f>F_Inputs!I64</f>
        <v/>
      </c>
      <c r="J65" t="str">
        <f>F_Inputs!J64</f>
        <v/>
      </c>
      <c r="K65" t="str">
        <f>F_Inputs!K64</f>
        <v/>
      </c>
      <c r="L65" t="str">
        <f>F_Inputs!L64</f>
        <v/>
      </c>
      <c r="M65">
        <f>F_Inputs!M64</f>
        <v>2220.3792602351086</v>
      </c>
      <c r="O65" s="84" t="str">
        <f t="shared" si="6"/>
        <v>PR24_N</v>
      </c>
      <c r="P65" s="32">
        <f t="shared" si="7"/>
        <v>0</v>
      </c>
      <c r="Q65" s="32">
        <f t="shared" si="8"/>
        <v>0</v>
      </c>
      <c r="R65" s="32" t="str">
        <f t="shared" si="9"/>
        <v/>
      </c>
      <c r="S65" s="32" t="str">
        <f t="shared" si="10"/>
        <v/>
      </c>
      <c r="T65" s="32" t="str">
        <f t="shared" si="11"/>
        <v/>
      </c>
      <c r="U65" s="32" t="str">
        <f t="shared" si="12"/>
        <v/>
      </c>
      <c r="V65" s="32" t="str">
        <f t="shared" si="13"/>
        <v/>
      </c>
      <c r="W65" s="32">
        <f t="shared" si="14"/>
        <v>2220.3792602351086</v>
      </c>
    </row>
    <row r="66" spans="1:23">
      <c r="A66" t="str">
        <f>F_Inputs!A65</f>
        <v>SWB</v>
      </c>
      <c r="B66" t="str">
        <f>F_Inputs!B65</f>
        <v>CWW12_007TOT_PR24</v>
      </c>
      <c r="C66" t="str">
        <f>F_Inputs!C65</f>
        <v>EA/NRW environmental programme wastewater (WINEP/NEP) - Continuous river water quality monitoring (WINEP/NEP) wastewater capex - Total</v>
      </c>
      <c r="D66" t="str">
        <f>F_Inputs!D65</f>
        <v>£m</v>
      </c>
      <c r="E66" t="str">
        <f>F_Inputs!E65</f>
        <v>Price Review 2024</v>
      </c>
      <c r="F66">
        <f>F_Inputs!F65</f>
        <v>0</v>
      </c>
      <c r="G66">
        <f>F_Inputs!G65</f>
        <v>0</v>
      </c>
      <c r="H66" t="str">
        <f>F_Inputs!H65</f>
        <v/>
      </c>
      <c r="I66" t="str">
        <f>F_Inputs!I65</f>
        <v/>
      </c>
      <c r="J66" t="str">
        <f>F_Inputs!J65</f>
        <v/>
      </c>
      <c r="K66" t="str">
        <f>F_Inputs!K65</f>
        <v/>
      </c>
      <c r="L66" t="str">
        <f>F_Inputs!L65</f>
        <v/>
      </c>
      <c r="M66" t="str">
        <f>F_Inputs!M65</f>
        <v/>
      </c>
      <c r="O66" s="84" t="str">
        <f t="shared" si="6"/>
        <v>CWW12_</v>
      </c>
      <c r="P66" s="32">
        <f t="shared" si="7"/>
        <v>0</v>
      </c>
      <c r="Q66" s="32">
        <f t="shared" si="8"/>
        <v>0</v>
      </c>
      <c r="R66" s="32">
        <f t="shared" si="9"/>
        <v>0</v>
      </c>
      <c r="S66" s="32">
        <f t="shared" si="10"/>
        <v>0</v>
      </c>
      <c r="T66" s="32">
        <f t="shared" si="11"/>
        <v>0</v>
      </c>
      <c r="U66" s="32">
        <f t="shared" si="12"/>
        <v>0</v>
      </c>
      <c r="V66" s="32">
        <f t="shared" si="13"/>
        <v>0</v>
      </c>
      <c r="W66" s="32">
        <f t="shared" si="14"/>
        <v>0</v>
      </c>
    </row>
    <row r="67" spans="1:23">
      <c r="A67" t="str">
        <f>F_Inputs!A66</f>
        <v>SWB</v>
      </c>
      <c r="B67" t="str">
        <f>F_Inputs!B66</f>
        <v>CWW12_008TOT_PR24</v>
      </c>
      <c r="C67" t="str">
        <f>F_Inputs!C66</f>
        <v>EA/NRW environmental programme wastewater (WINEP/NEP) - Continuous river water quality monitoring (WINEP/NEP) wastewater opex - Total</v>
      </c>
      <c r="D67" t="str">
        <f>F_Inputs!D66</f>
        <v>£m</v>
      </c>
      <c r="E67" t="str">
        <f>F_Inputs!E66</f>
        <v>Price Review 2024</v>
      </c>
      <c r="F67">
        <f>F_Inputs!F66</f>
        <v>0</v>
      </c>
      <c r="G67">
        <f>F_Inputs!G66</f>
        <v>0</v>
      </c>
      <c r="H67" t="str">
        <f>F_Inputs!H66</f>
        <v/>
      </c>
      <c r="I67" t="str">
        <f>F_Inputs!I66</f>
        <v/>
      </c>
      <c r="J67" t="str">
        <f>F_Inputs!J66</f>
        <v/>
      </c>
      <c r="K67" t="str">
        <f>F_Inputs!K66</f>
        <v/>
      </c>
      <c r="L67" t="str">
        <f>F_Inputs!L66</f>
        <v/>
      </c>
      <c r="M67" t="str">
        <f>F_Inputs!M66</f>
        <v/>
      </c>
      <c r="O67" s="84" t="str">
        <f t="shared" si="6"/>
        <v>CWW12_</v>
      </c>
      <c r="P67" s="32">
        <f t="shared" si="7"/>
        <v>0</v>
      </c>
      <c r="Q67" s="32">
        <f t="shared" si="8"/>
        <v>0</v>
      </c>
      <c r="R67" s="32">
        <f t="shared" si="9"/>
        <v>0</v>
      </c>
      <c r="S67" s="32">
        <f t="shared" si="10"/>
        <v>0</v>
      </c>
      <c r="T67" s="32">
        <f t="shared" si="11"/>
        <v>0</v>
      </c>
      <c r="U67" s="32">
        <f t="shared" si="12"/>
        <v>0</v>
      </c>
      <c r="V67" s="32">
        <f t="shared" si="13"/>
        <v>0</v>
      </c>
      <c r="W67" s="32">
        <f t="shared" si="14"/>
        <v>0</v>
      </c>
    </row>
    <row r="68" spans="1:23">
      <c r="A68" t="str">
        <f>F_Inputs!A67</f>
        <v>SWB</v>
      </c>
      <c r="B68" t="str">
        <f>F_Inputs!B67</f>
        <v>CWW12_009TOT_PR24</v>
      </c>
      <c r="C68" t="str">
        <f>F_Inputs!C67</f>
        <v>EA/NRW environmental programme wastewater (WINEP/NEP) - Continuous river water quality monitoring (WINEP/NEP) wastewater totex - Total</v>
      </c>
      <c r="D68" t="str">
        <f>F_Inputs!D67</f>
        <v>£m</v>
      </c>
      <c r="E68" t="str">
        <f>F_Inputs!E67</f>
        <v>Price Review 2024</v>
      </c>
      <c r="F68">
        <f>F_Inputs!F67</f>
        <v>0</v>
      </c>
      <c r="G68">
        <f>F_Inputs!G67</f>
        <v>0</v>
      </c>
      <c r="H68" t="str">
        <f>F_Inputs!H67</f>
        <v/>
      </c>
      <c r="I68" t="str">
        <f>F_Inputs!I67</f>
        <v/>
      </c>
      <c r="J68" t="str">
        <f>F_Inputs!J67</f>
        <v/>
      </c>
      <c r="K68" t="str">
        <f>F_Inputs!K67</f>
        <v/>
      </c>
      <c r="L68" t="str">
        <f>F_Inputs!L67</f>
        <v/>
      </c>
      <c r="M68" t="str">
        <f>F_Inputs!M67</f>
        <v/>
      </c>
      <c r="O68" s="84" t="str">
        <f t="shared" si="6"/>
        <v>CWW12_</v>
      </c>
      <c r="P68" s="32">
        <f t="shared" si="7"/>
        <v>0</v>
      </c>
      <c r="Q68" s="32">
        <f t="shared" si="8"/>
        <v>0</v>
      </c>
      <c r="R68" s="32">
        <f t="shared" si="9"/>
        <v>0</v>
      </c>
      <c r="S68" s="32">
        <f t="shared" si="10"/>
        <v>0</v>
      </c>
      <c r="T68" s="32">
        <f t="shared" si="11"/>
        <v>0</v>
      </c>
      <c r="U68" s="32">
        <f t="shared" si="12"/>
        <v>0</v>
      </c>
      <c r="V68" s="32">
        <f t="shared" si="13"/>
        <v>0</v>
      </c>
      <c r="W68" s="32">
        <f t="shared" si="14"/>
        <v>0</v>
      </c>
    </row>
    <row r="69" spans="1:23">
      <c r="A69" t="str">
        <f>F_Inputs!A68</f>
        <v>SWB</v>
      </c>
      <c r="B69" t="str">
        <f>F_Inputs!B68</f>
        <v>CWW17_007TOT_PR24</v>
      </c>
      <c r="C69" t="str">
        <f>F_Inputs!C68</f>
        <v>EA/NRW environmental programme wastewater (WINEP/NEP) - Continuous river water quality monitoring (WINEP/NEP) wastewater capex - Total</v>
      </c>
      <c r="D69" t="str">
        <f>F_Inputs!D68</f>
        <v>£m</v>
      </c>
      <c r="E69" t="str">
        <f>F_Inputs!E68</f>
        <v>Price Review 2024</v>
      </c>
      <c r="F69">
        <f>F_Inputs!F68</f>
        <v>0</v>
      </c>
      <c r="G69">
        <f>F_Inputs!G68</f>
        <v>0</v>
      </c>
      <c r="H69">
        <f>F_Inputs!H68</f>
        <v>0</v>
      </c>
      <c r="I69">
        <f>F_Inputs!I68</f>
        <v>0</v>
      </c>
      <c r="J69">
        <f>F_Inputs!J68</f>
        <v>0</v>
      </c>
      <c r="K69">
        <f>F_Inputs!K68</f>
        <v>0</v>
      </c>
      <c r="L69">
        <f>F_Inputs!L68</f>
        <v>0</v>
      </c>
      <c r="M69" t="str">
        <f>F_Inputs!M68</f>
        <v/>
      </c>
      <c r="O69" s="84" t="str">
        <f t="shared" si="6"/>
        <v>CWW17_</v>
      </c>
      <c r="P69" s="32">
        <f t="shared" si="7"/>
        <v>0</v>
      </c>
      <c r="Q69" s="32">
        <f t="shared" si="8"/>
        <v>0</v>
      </c>
      <c r="R69" s="32">
        <f t="shared" si="9"/>
        <v>0</v>
      </c>
      <c r="S69" s="32">
        <f t="shared" si="10"/>
        <v>0</v>
      </c>
      <c r="T69" s="32">
        <f t="shared" si="11"/>
        <v>0</v>
      </c>
      <c r="U69" s="32">
        <f t="shared" si="12"/>
        <v>0</v>
      </c>
      <c r="V69" s="32">
        <f t="shared" si="13"/>
        <v>0</v>
      </c>
      <c r="W69" s="32">
        <f t="shared" si="14"/>
        <v>0</v>
      </c>
    </row>
    <row r="70" spans="1:23">
      <c r="A70" t="str">
        <f>F_Inputs!A69</f>
        <v>SWB</v>
      </c>
      <c r="B70" t="str">
        <f>F_Inputs!B69</f>
        <v>CWW17_008TOT_PR24</v>
      </c>
      <c r="C70" t="str">
        <f>F_Inputs!C69</f>
        <v>EA/NRW environmental programme wastewater (WINEP/NEP) - Continuous river water quality monitoring (WINEP/NEP) wastewater opex - Total</v>
      </c>
      <c r="D70" t="str">
        <f>F_Inputs!D69</f>
        <v>£m</v>
      </c>
      <c r="E70" t="str">
        <f>F_Inputs!E69</f>
        <v>Price Review 2024</v>
      </c>
      <c r="F70">
        <f>F_Inputs!F69</f>
        <v>0</v>
      </c>
      <c r="G70">
        <f>F_Inputs!G69</f>
        <v>0</v>
      </c>
      <c r="H70">
        <f>F_Inputs!H69</f>
        <v>0</v>
      </c>
      <c r="I70">
        <f>F_Inputs!I69</f>
        <v>0</v>
      </c>
      <c r="J70">
        <f>F_Inputs!J69</f>
        <v>0</v>
      </c>
      <c r="K70">
        <f>F_Inputs!K69</f>
        <v>0</v>
      </c>
      <c r="L70">
        <f>F_Inputs!L69</f>
        <v>0</v>
      </c>
      <c r="M70" t="str">
        <f>F_Inputs!M69</f>
        <v/>
      </c>
      <c r="O70" s="84" t="str">
        <f t="shared" si="6"/>
        <v>CWW17_</v>
      </c>
      <c r="P70" s="32">
        <f t="shared" si="7"/>
        <v>0</v>
      </c>
      <c r="Q70" s="32">
        <f t="shared" si="8"/>
        <v>0</v>
      </c>
      <c r="R70" s="32">
        <f t="shared" si="9"/>
        <v>0</v>
      </c>
      <c r="S70" s="32">
        <f t="shared" si="10"/>
        <v>0</v>
      </c>
      <c r="T70" s="32">
        <f t="shared" si="11"/>
        <v>0</v>
      </c>
      <c r="U70" s="32">
        <f t="shared" si="12"/>
        <v>0</v>
      </c>
      <c r="V70" s="32">
        <f t="shared" si="13"/>
        <v>0</v>
      </c>
      <c r="W70" s="32">
        <f t="shared" si="14"/>
        <v>0</v>
      </c>
    </row>
    <row r="71" spans="1:23">
      <c r="A71" t="str">
        <f>F_Inputs!A70</f>
        <v>SWB</v>
      </c>
      <c r="B71" t="str">
        <f>F_Inputs!B70</f>
        <v>CWW17_009TOT_PR24</v>
      </c>
      <c r="C71" t="str">
        <f>F_Inputs!C70</f>
        <v>EA/NRW environmental programme wastewater (WINEP/NEP) - Continuous river water quality monitoring (WINEP/NEP) wastewater totex - Total</v>
      </c>
      <c r="D71" t="str">
        <f>F_Inputs!D70</f>
        <v>£m</v>
      </c>
      <c r="E71" t="str">
        <f>F_Inputs!E70</f>
        <v>Price Review 2024</v>
      </c>
      <c r="F71">
        <f>F_Inputs!F70</f>
        <v>0</v>
      </c>
      <c r="G71">
        <f>F_Inputs!G70</f>
        <v>0</v>
      </c>
      <c r="H71">
        <f>F_Inputs!H70</f>
        <v>0</v>
      </c>
      <c r="I71">
        <f>F_Inputs!I70</f>
        <v>0</v>
      </c>
      <c r="J71">
        <f>F_Inputs!J70</f>
        <v>0</v>
      </c>
      <c r="K71">
        <f>F_Inputs!K70</f>
        <v>0</v>
      </c>
      <c r="L71">
        <f>F_Inputs!L70</f>
        <v>0</v>
      </c>
      <c r="M71" t="str">
        <f>F_Inputs!M70</f>
        <v/>
      </c>
      <c r="O71" s="84" t="str">
        <f t="shared" si="6"/>
        <v>CWW17_</v>
      </c>
      <c r="P71" s="32">
        <f t="shared" si="7"/>
        <v>0</v>
      </c>
      <c r="Q71" s="32">
        <f t="shared" si="8"/>
        <v>0</v>
      </c>
      <c r="R71" s="32">
        <f t="shared" si="9"/>
        <v>0</v>
      </c>
      <c r="S71" s="32">
        <f t="shared" si="10"/>
        <v>0</v>
      </c>
      <c r="T71" s="32">
        <f t="shared" si="11"/>
        <v>0</v>
      </c>
      <c r="U71" s="32">
        <f t="shared" si="12"/>
        <v>0</v>
      </c>
      <c r="V71" s="32">
        <f t="shared" si="13"/>
        <v>0</v>
      </c>
      <c r="W71" s="32">
        <f t="shared" si="14"/>
        <v>0</v>
      </c>
    </row>
    <row r="72" spans="1:23">
      <c r="A72" t="str">
        <f>F_Inputs!A71</f>
        <v>SWB</v>
      </c>
      <c r="B72" t="str">
        <f>F_Inputs!B71</f>
        <v>CWW20A_049_PR24</v>
      </c>
      <c r="C72" t="str">
        <f>F_Inputs!C71</f>
        <v>Network / Storm overflow data - Number of continuous water quality monitor installations</v>
      </c>
      <c r="D72" t="str">
        <f>F_Inputs!D71</f>
        <v>nr</v>
      </c>
      <c r="E72" t="str">
        <f>F_Inputs!E71</f>
        <v>Price Review 2024</v>
      </c>
      <c r="F72" t="str">
        <f>F_Inputs!F71</f>
        <v/>
      </c>
      <c r="G72" t="str">
        <f>F_Inputs!G71</f>
        <v/>
      </c>
      <c r="H72" t="str">
        <f>F_Inputs!H71</f>
        <v/>
      </c>
      <c r="I72" t="str">
        <f>F_Inputs!I71</f>
        <v/>
      </c>
      <c r="J72" t="str">
        <f>F_Inputs!J71</f>
        <v/>
      </c>
      <c r="K72" t="str">
        <f>F_Inputs!K71</f>
        <v/>
      </c>
      <c r="L72" t="str">
        <f>F_Inputs!L71</f>
        <v/>
      </c>
      <c r="M72" t="str">
        <f>F_Inputs!M71</f>
        <v/>
      </c>
      <c r="O72" s="84" t="str">
        <f t="shared" si="6"/>
        <v>CWW20A</v>
      </c>
      <c r="P72" s="32" t="str">
        <f t="shared" si="7"/>
        <v/>
      </c>
      <c r="Q72" s="32" t="str">
        <f t="shared" si="8"/>
        <v/>
      </c>
      <c r="R72" s="32">
        <f t="shared" ref="R72:R103" si="15">IF(OR($O72="CWW3_0",$O72="CWW3_1", $O72= "CWW20_",$O72="CWW1A_",$O72="PR24_N"),H72,0)</f>
        <v>0</v>
      </c>
      <c r="S72" s="32">
        <f t="shared" ref="S72:S103" si="16">IF(OR($O72="CWW3_0",$O72="CWW3_1", $O72= "CWW20_",$O72="CWW1A_",$O72="PR24_N"),I72,0)</f>
        <v>0</v>
      </c>
      <c r="T72" s="32">
        <f t="shared" ref="T72:T103" si="17">IF(OR($O72="CWW3_0",$O72="CWW3_1", $O72= "CWW20_",$O72="CWW1A_",$O72="PR24_N"),J72,0)</f>
        <v>0</v>
      </c>
      <c r="U72" s="32">
        <f t="shared" ref="U72:U103" si="18">IF(OR($O72="CWW3_0",$O72="CWW3_1", $O72= "CWW20_",$O72="CWW1A_",$O72="PR24_N"),K72,0)</f>
        <v>0</v>
      </c>
      <c r="V72" s="32">
        <f t="shared" ref="V72:V103" si="19">IF(OR($O72="CWW3_0",$O72="CWW3_1", $O72= "CWW20_",$O72="CWW1A_",$O72="PR24_N"),L72,0)</f>
        <v>0</v>
      </c>
      <c r="W72" s="32">
        <f t="shared" ref="W72:W103" si="20">IF(OR($O72="CWW3_0",$O72="CWW3_1", $O72= "CWW20_",$O72="CWW1A_",$O72="PR24_N"),M72,0)</f>
        <v>0</v>
      </c>
    </row>
    <row r="73" spans="1:23">
      <c r="A73" t="str">
        <f>F_Inputs!A72</f>
        <v>SVE</v>
      </c>
      <c r="B73" t="str">
        <f>F_Inputs!B72</f>
        <v>CWW3_007TOT_PR24</v>
      </c>
      <c r="C73" t="str">
        <f>F_Inputs!C72</f>
        <v>EA/NRW environmental programme wastewater (WINEP/NEP) - Continuous river water quality monitoring (WINEP/NEP) wastewater capex - Total</v>
      </c>
      <c r="D73" t="str">
        <f>F_Inputs!D72</f>
        <v>£m</v>
      </c>
      <c r="E73" t="str">
        <f>F_Inputs!E72</f>
        <v>Price Review 2024</v>
      </c>
      <c r="F73">
        <f>F_Inputs!F72</f>
        <v>0</v>
      </c>
      <c r="G73">
        <f>F_Inputs!G72</f>
        <v>0.9697382180509998</v>
      </c>
      <c r="H73">
        <f>F_Inputs!H72</f>
        <v>9.3602482771628619</v>
      </c>
      <c r="I73">
        <f>F_Inputs!I72</f>
        <v>25.06536475297904</v>
      </c>
      <c r="J73">
        <f>F_Inputs!J72</f>
        <v>25.217983996970261</v>
      </c>
      <c r="K73">
        <f>F_Inputs!K72</f>
        <v>25.371532176351359</v>
      </c>
      <c r="L73">
        <f>F_Inputs!L72</f>
        <v>25.52601596625794</v>
      </c>
      <c r="M73" t="str">
        <f>F_Inputs!M72</f>
        <v/>
      </c>
      <c r="O73" s="84" t="str">
        <f t="shared" ref="O73:O136" si="21">LEFT(B73,6)</f>
        <v>CWW3_0</v>
      </c>
      <c r="P73" s="32">
        <f t="shared" ref="P73:P136" si="22">IF(OR($O73="CWW12_",$O73= "CWW17_",$O73= "CWW20A"),F73,0)</f>
        <v>0</v>
      </c>
      <c r="Q73" s="32">
        <f t="shared" ref="Q73:Q136" si="23">IF(OR($O73="CWW12_",$O73= "CWW17_",$O73= "CWW20A"),G73,0)</f>
        <v>0</v>
      </c>
      <c r="R73" s="32">
        <f t="shared" si="15"/>
        <v>9.3602482771628619</v>
      </c>
      <c r="S73" s="32">
        <f t="shared" si="16"/>
        <v>25.06536475297904</v>
      </c>
      <c r="T73" s="32">
        <f t="shared" si="17"/>
        <v>25.217983996970261</v>
      </c>
      <c r="U73" s="32">
        <f t="shared" si="18"/>
        <v>25.371532176351359</v>
      </c>
      <c r="V73" s="32">
        <f t="shared" si="19"/>
        <v>25.52601596625794</v>
      </c>
      <c r="W73" s="32" t="str">
        <f t="shared" si="20"/>
        <v/>
      </c>
    </row>
    <row r="74" spans="1:23">
      <c r="A74" t="str">
        <f>F_Inputs!A73</f>
        <v>SVE</v>
      </c>
      <c r="B74" t="str">
        <f>F_Inputs!B73</f>
        <v>CWW3_008TOT_PR24</v>
      </c>
      <c r="C74" t="str">
        <f>F_Inputs!C73</f>
        <v>EA/NRW environmental programme wastewater (WINEP/NEP) - Continuous river water quality monitoring (WINEP/NEP) wastewater opex - Total</v>
      </c>
      <c r="D74" t="str">
        <f>F_Inputs!D73</f>
        <v>£m</v>
      </c>
      <c r="E74" t="str">
        <f>F_Inputs!E73</f>
        <v>Price Review 2024</v>
      </c>
      <c r="F74">
        <f>F_Inputs!F73</f>
        <v>0</v>
      </c>
      <c r="G74">
        <f>F_Inputs!G73</f>
        <v>0</v>
      </c>
      <c r="H74">
        <f>F_Inputs!H73</f>
        <v>0.17641498513490539</v>
      </c>
      <c r="I74">
        <f>F_Inputs!I73</f>
        <v>1.4727795452934</v>
      </c>
      <c r="J74">
        <f>F_Inputs!J73</f>
        <v>4.4063431072326198</v>
      </c>
      <c r="K74">
        <f>F_Inputs!K73</f>
        <v>7.2175380334214703</v>
      </c>
      <c r="L74">
        <f>F_Inputs!L73</f>
        <v>9.7805257958183969</v>
      </c>
      <c r="M74" t="str">
        <f>F_Inputs!M73</f>
        <v/>
      </c>
      <c r="O74" s="84" t="str">
        <f t="shared" si="21"/>
        <v>CWW3_0</v>
      </c>
      <c r="P74" s="32">
        <f t="shared" si="22"/>
        <v>0</v>
      </c>
      <c r="Q74" s="32">
        <f t="shared" si="23"/>
        <v>0</v>
      </c>
      <c r="R74" s="32">
        <f t="shared" si="15"/>
        <v>0.17641498513490539</v>
      </c>
      <c r="S74" s="32">
        <f t="shared" si="16"/>
        <v>1.4727795452934</v>
      </c>
      <c r="T74" s="32">
        <f t="shared" si="17"/>
        <v>4.4063431072326198</v>
      </c>
      <c r="U74" s="32">
        <f t="shared" si="18"/>
        <v>7.2175380334214703</v>
      </c>
      <c r="V74" s="32">
        <f t="shared" si="19"/>
        <v>9.7805257958183969</v>
      </c>
      <c r="W74" s="32" t="str">
        <f t="shared" si="20"/>
        <v/>
      </c>
    </row>
    <row r="75" spans="1:23">
      <c r="A75" t="str">
        <f>F_Inputs!A74</f>
        <v>SVE</v>
      </c>
      <c r="B75" t="str">
        <f>F_Inputs!B74</f>
        <v>CWW3_009TOT_PR24</v>
      </c>
      <c r="C75" t="str">
        <f>F_Inputs!C74</f>
        <v>EA/NRW environmental programme wastewater (WINEP/NEP) - Continuous river water quality monitoring (WINEP/NEP) wastewater totex - Total</v>
      </c>
      <c r="D75" t="str">
        <f>F_Inputs!D74</f>
        <v>£m</v>
      </c>
      <c r="E75" t="str">
        <f>F_Inputs!E74</f>
        <v>Price Review 2024</v>
      </c>
      <c r="F75">
        <f>F_Inputs!F74</f>
        <v>0</v>
      </c>
      <c r="G75">
        <f>F_Inputs!G74</f>
        <v>0.9697382180509998</v>
      </c>
      <c r="H75">
        <f>F_Inputs!H74</f>
        <v>9.5366632622977665</v>
      </c>
      <c r="I75">
        <f>F_Inputs!I74</f>
        <v>26.538144298272439</v>
      </c>
      <c r="J75">
        <f>F_Inputs!J74</f>
        <v>29.62432710420288</v>
      </c>
      <c r="K75">
        <f>F_Inputs!K74</f>
        <v>32.589070209772828</v>
      </c>
      <c r="L75">
        <f>F_Inputs!L74</f>
        <v>35.306541762076343</v>
      </c>
      <c r="M75" t="str">
        <f>F_Inputs!M74</f>
        <v/>
      </c>
      <c r="O75" s="84" t="str">
        <f t="shared" si="21"/>
        <v>CWW3_0</v>
      </c>
      <c r="P75" s="32">
        <f t="shared" si="22"/>
        <v>0</v>
      </c>
      <c r="Q75" s="32">
        <f t="shared" si="23"/>
        <v>0</v>
      </c>
      <c r="R75" s="32">
        <f t="shared" si="15"/>
        <v>9.5366632622977665</v>
      </c>
      <c r="S75" s="32">
        <f t="shared" si="16"/>
        <v>26.538144298272439</v>
      </c>
      <c r="T75" s="32">
        <f t="shared" si="17"/>
        <v>29.62432710420288</v>
      </c>
      <c r="U75" s="32">
        <f t="shared" si="18"/>
        <v>32.589070209772828</v>
      </c>
      <c r="V75" s="32">
        <f t="shared" si="19"/>
        <v>35.306541762076343</v>
      </c>
      <c r="W75" s="32" t="str">
        <f t="shared" si="20"/>
        <v/>
      </c>
    </row>
    <row r="76" spans="1:23">
      <c r="A76" t="str">
        <f>F_Inputs!A75</f>
        <v>SVE</v>
      </c>
      <c r="B76" t="str">
        <f>F_Inputs!B75</f>
        <v>CWW20_049_PR24</v>
      </c>
      <c r="C76" t="str">
        <f>F_Inputs!C75</f>
        <v>Network / Storm overflow data - Number of continuous water quality monitor installations</v>
      </c>
      <c r="D76" t="str">
        <f>F_Inputs!D75</f>
        <v>nr</v>
      </c>
      <c r="E76" t="str">
        <f>F_Inputs!E75</f>
        <v>Price Review 2024</v>
      </c>
      <c r="F76">
        <f>F_Inputs!F75</f>
        <v>0</v>
      </c>
      <c r="G76">
        <f>F_Inputs!G75</f>
        <v>0</v>
      </c>
      <c r="H76">
        <f>F_Inputs!H75</f>
        <v>0</v>
      </c>
      <c r="I76">
        <f>F_Inputs!I75</f>
        <v>250</v>
      </c>
      <c r="J76">
        <f>F_Inputs!J75</f>
        <v>250</v>
      </c>
      <c r="K76">
        <f>F_Inputs!K75</f>
        <v>250</v>
      </c>
      <c r="L76">
        <f>F_Inputs!L75</f>
        <v>250</v>
      </c>
      <c r="M76" t="str">
        <f>F_Inputs!M75</f>
        <v/>
      </c>
      <c r="O76" s="84" t="str">
        <f t="shared" si="21"/>
        <v>CWW20_</v>
      </c>
      <c r="P76" s="32">
        <f t="shared" si="22"/>
        <v>0</v>
      </c>
      <c r="Q76" s="32">
        <f t="shared" si="23"/>
        <v>0</v>
      </c>
      <c r="R76" s="32">
        <f t="shared" si="15"/>
        <v>0</v>
      </c>
      <c r="S76" s="32">
        <f t="shared" si="16"/>
        <v>250</v>
      </c>
      <c r="T76" s="32">
        <f t="shared" si="17"/>
        <v>250</v>
      </c>
      <c r="U76" s="32">
        <f t="shared" si="18"/>
        <v>250</v>
      </c>
      <c r="V76" s="32">
        <f t="shared" si="19"/>
        <v>250</v>
      </c>
      <c r="W76" s="32" t="str">
        <f t="shared" si="20"/>
        <v/>
      </c>
    </row>
    <row r="77" spans="1:23">
      <c r="A77" t="str">
        <f>F_Inputs!A76</f>
        <v>SVE</v>
      </c>
      <c r="B77" t="str">
        <f>F_Inputs!B76</f>
        <v>CWW1A_015TOT_PR24</v>
      </c>
      <c r="C77" t="str">
        <f>F_Inputs!C76</f>
        <v>Net totex - Total</v>
      </c>
      <c r="D77" t="str">
        <f>F_Inputs!D76</f>
        <v>£m</v>
      </c>
      <c r="E77" t="str">
        <f>F_Inputs!E76</f>
        <v>Price Review 2024</v>
      </c>
      <c r="F77">
        <f>F_Inputs!F76</f>
        <v>1013.002282116595</v>
      </c>
      <c r="G77">
        <f>F_Inputs!G76</f>
        <v>1268.46895089945</v>
      </c>
      <c r="H77">
        <f>F_Inputs!H76</f>
        <v>1627.130482039277</v>
      </c>
      <c r="I77">
        <f>F_Inputs!I76</f>
        <v>1799.6345533549929</v>
      </c>
      <c r="J77">
        <f>F_Inputs!J76</f>
        <v>1751.178437326055</v>
      </c>
      <c r="K77">
        <f>F_Inputs!K76</f>
        <v>1716.7333477224111</v>
      </c>
      <c r="L77">
        <f>F_Inputs!L76</f>
        <v>1480.0957061431859</v>
      </c>
      <c r="M77" t="str">
        <f>F_Inputs!M76</f>
        <v/>
      </c>
      <c r="O77" s="84" t="str">
        <f t="shared" si="21"/>
        <v>CWW1A_</v>
      </c>
      <c r="P77" s="32">
        <f t="shared" si="22"/>
        <v>0</v>
      </c>
      <c r="Q77" s="32">
        <f t="shared" si="23"/>
        <v>0</v>
      </c>
      <c r="R77" s="32">
        <f t="shared" si="15"/>
        <v>1627.130482039277</v>
      </c>
      <c r="S77" s="32">
        <f t="shared" si="16"/>
        <v>1799.6345533549929</v>
      </c>
      <c r="T77" s="32">
        <f t="shared" si="17"/>
        <v>1751.178437326055</v>
      </c>
      <c r="U77" s="32">
        <f t="shared" si="18"/>
        <v>1716.7333477224111</v>
      </c>
      <c r="V77" s="32">
        <f t="shared" si="19"/>
        <v>1480.0957061431859</v>
      </c>
      <c r="W77" s="32" t="str">
        <f t="shared" si="20"/>
        <v/>
      </c>
    </row>
    <row r="78" spans="1:23">
      <c r="A78" t="str">
        <f>F_Inputs!A77</f>
        <v>SVE</v>
      </c>
      <c r="B78" t="str">
        <f>F_Inputs!B77</f>
        <v>PR24_NETTOTEX_WASTE</v>
      </c>
      <c r="C78" t="str">
        <f>F_Inputs!C77</f>
        <v>PR24 BP Net totex - Total inc. accelerated &amp; transition costs</v>
      </c>
      <c r="D78" t="str">
        <f>F_Inputs!D77</f>
        <v>£m</v>
      </c>
      <c r="E78" t="str">
        <f>F_Inputs!E77</f>
        <v>Price Review 2024</v>
      </c>
      <c r="F78" t="str">
        <f>F_Inputs!F77</f>
        <v/>
      </c>
      <c r="G78" t="str">
        <f>F_Inputs!G77</f>
        <v/>
      </c>
      <c r="H78" t="str">
        <f>F_Inputs!H77</f>
        <v/>
      </c>
      <c r="I78" t="str">
        <f>F_Inputs!I77</f>
        <v/>
      </c>
      <c r="J78" t="str">
        <f>F_Inputs!J77</f>
        <v/>
      </c>
      <c r="K78" t="str">
        <f>F_Inputs!K77</f>
        <v/>
      </c>
      <c r="L78" t="str">
        <f>F_Inputs!L77</f>
        <v/>
      </c>
      <c r="M78">
        <f>F_Inputs!M77</f>
        <v>8618.71199666149</v>
      </c>
      <c r="O78" s="84" t="str">
        <f t="shared" si="21"/>
        <v>PR24_N</v>
      </c>
      <c r="P78" s="32">
        <f t="shared" si="22"/>
        <v>0</v>
      </c>
      <c r="Q78" s="32">
        <f t="shared" si="23"/>
        <v>0</v>
      </c>
      <c r="R78" s="32" t="str">
        <f t="shared" si="15"/>
        <v/>
      </c>
      <c r="S78" s="32" t="str">
        <f t="shared" si="16"/>
        <v/>
      </c>
      <c r="T78" s="32" t="str">
        <f t="shared" si="17"/>
        <v/>
      </c>
      <c r="U78" s="32" t="str">
        <f t="shared" si="18"/>
        <v/>
      </c>
      <c r="V78" s="32" t="str">
        <f t="shared" si="19"/>
        <v/>
      </c>
      <c r="W78" s="32">
        <f t="shared" si="20"/>
        <v>8618.71199666149</v>
      </c>
    </row>
    <row r="79" spans="1:23">
      <c r="A79" t="str">
        <f>F_Inputs!A78</f>
        <v>SVE</v>
      </c>
      <c r="B79" t="str">
        <f>F_Inputs!B78</f>
        <v>CWW12_007TOT_PR24</v>
      </c>
      <c r="C79" t="str">
        <f>F_Inputs!C78</f>
        <v>EA/NRW environmental programme wastewater (WINEP/NEP) - Continuous river water quality monitoring (WINEP/NEP) wastewater capex - Total</v>
      </c>
      <c r="D79" t="str">
        <f>F_Inputs!D78</f>
        <v>£m</v>
      </c>
      <c r="E79" t="str">
        <f>F_Inputs!E78</f>
        <v>Price Review 2024</v>
      </c>
      <c r="F79">
        <f>F_Inputs!F78</f>
        <v>0</v>
      </c>
      <c r="G79">
        <f>F_Inputs!G78</f>
        <v>0.7524168125794064</v>
      </c>
      <c r="H79" t="str">
        <f>F_Inputs!H78</f>
        <v/>
      </c>
      <c r="I79" t="str">
        <f>F_Inputs!I78</f>
        <v/>
      </c>
      <c r="J79" t="str">
        <f>F_Inputs!J78</f>
        <v/>
      </c>
      <c r="K79" t="str">
        <f>F_Inputs!K78</f>
        <v/>
      </c>
      <c r="L79" t="str">
        <f>F_Inputs!L78</f>
        <v/>
      </c>
      <c r="M79" t="str">
        <f>F_Inputs!M78</f>
        <v/>
      </c>
      <c r="O79" s="84" t="str">
        <f t="shared" si="21"/>
        <v>CWW12_</v>
      </c>
      <c r="P79" s="32">
        <f t="shared" si="22"/>
        <v>0</v>
      </c>
      <c r="Q79" s="32">
        <f t="shared" si="23"/>
        <v>0.7524168125794064</v>
      </c>
      <c r="R79" s="32">
        <f t="shared" si="15"/>
        <v>0</v>
      </c>
      <c r="S79" s="32">
        <f t="shared" si="16"/>
        <v>0</v>
      </c>
      <c r="T79" s="32">
        <f t="shared" si="17"/>
        <v>0</v>
      </c>
      <c r="U79" s="32">
        <f t="shared" si="18"/>
        <v>0</v>
      </c>
      <c r="V79" s="32">
        <f t="shared" si="19"/>
        <v>0</v>
      </c>
      <c r="W79" s="32">
        <f t="shared" si="20"/>
        <v>0</v>
      </c>
    </row>
    <row r="80" spans="1:23">
      <c r="A80" t="str">
        <f>F_Inputs!A79</f>
        <v>SVE</v>
      </c>
      <c r="B80" t="str">
        <f>F_Inputs!B79</f>
        <v>CWW12_008TOT_PR24</v>
      </c>
      <c r="C80" t="str">
        <f>F_Inputs!C79</f>
        <v>EA/NRW environmental programme wastewater (WINEP/NEP) - Continuous river water quality monitoring (WINEP/NEP) wastewater opex - Total</v>
      </c>
      <c r="D80" t="str">
        <f>F_Inputs!D79</f>
        <v>£m</v>
      </c>
      <c r="E80" t="str">
        <f>F_Inputs!E79</f>
        <v>Price Review 2024</v>
      </c>
      <c r="F80">
        <f>F_Inputs!F79</f>
        <v>0</v>
      </c>
      <c r="G80">
        <f>F_Inputs!G79</f>
        <v>0</v>
      </c>
      <c r="H80" t="str">
        <f>F_Inputs!H79</f>
        <v/>
      </c>
      <c r="I80" t="str">
        <f>F_Inputs!I79</f>
        <v/>
      </c>
      <c r="J80" t="str">
        <f>F_Inputs!J79</f>
        <v/>
      </c>
      <c r="K80" t="str">
        <f>F_Inputs!K79</f>
        <v/>
      </c>
      <c r="L80" t="str">
        <f>F_Inputs!L79</f>
        <v/>
      </c>
      <c r="M80" t="str">
        <f>F_Inputs!M79</f>
        <v/>
      </c>
      <c r="O80" s="84" t="str">
        <f t="shared" si="21"/>
        <v>CWW12_</v>
      </c>
      <c r="P80" s="32">
        <f t="shared" si="22"/>
        <v>0</v>
      </c>
      <c r="Q80" s="32">
        <f t="shared" si="23"/>
        <v>0</v>
      </c>
      <c r="R80" s="32">
        <f t="shared" si="15"/>
        <v>0</v>
      </c>
      <c r="S80" s="32">
        <f t="shared" si="16"/>
        <v>0</v>
      </c>
      <c r="T80" s="32">
        <f t="shared" si="17"/>
        <v>0</v>
      </c>
      <c r="U80" s="32">
        <f t="shared" si="18"/>
        <v>0</v>
      </c>
      <c r="V80" s="32">
        <f t="shared" si="19"/>
        <v>0</v>
      </c>
      <c r="W80" s="32">
        <f t="shared" si="20"/>
        <v>0</v>
      </c>
    </row>
    <row r="81" spans="1:23">
      <c r="A81" t="str">
        <f>F_Inputs!A80</f>
        <v>SVE</v>
      </c>
      <c r="B81" t="str">
        <f>F_Inputs!B80</f>
        <v>CWW12_009TOT_PR24</v>
      </c>
      <c r="C81" t="str">
        <f>F_Inputs!C80</f>
        <v>EA/NRW environmental programme wastewater (WINEP/NEP) - Continuous river water quality monitoring (WINEP/NEP) wastewater totex - Total</v>
      </c>
      <c r="D81" t="str">
        <f>F_Inputs!D80</f>
        <v>£m</v>
      </c>
      <c r="E81" t="str">
        <f>F_Inputs!E80</f>
        <v>Price Review 2024</v>
      </c>
      <c r="F81">
        <f>F_Inputs!F80</f>
        <v>0</v>
      </c>
      <c r="G81">
        <f>F_Inputs!G80</f>
        <v>0.7524168125794064</v>
      </c>
      <c r="H81" t="str">
        <f>F_Inputs!H80</f>
        <v/>
      </c>
      <c r="I81" t="str">
        <f>F_Inputs!I80</f>
        <v/>
      </c>
      <c r="J81" t="str">
        <f>F_Inputs!J80</f>
        <v/>
      </c>
      <c r="K81" t="str">
        <f>F_Inputs!K80</f>
        <v/>
      </c>
      <c r="L81" t="str">
        <f>F_Inputs!L80</f>
        <v/>
      </c>
      <c r="M81" t="str">
        <f>F_Inputs!M80</f>
        <v/>
      </c>
      <c r="O81" s="84" t="str">
        <f t="shared" si="21"/>
        <v>CWW12_</v>
      </c>
      <c r="P81" s="32">
        <f t="shared" si="22"/>
        <v>0</v>
      </c>
      <c r="Q81" s="32">
        <f t="shared" si="23"/>
        <v>0.7524168125794064</v>
      </c>
      <c r="R81" s="32">
        <f t="shared" si="15"/>
        <v>0</v>
      </c>
      <c r="S81" s="32">
        <f t="shared" si="16"/>
        <v>0</v>
      </c>
      <c r="T81" s="32">
        <f t="shared" si="17"/>
        <v>0</v>
      </c>
      <c r="U81" s="32">
        <f t="shared" si="18"/>
        <v>0</v>
      </c>
      <c r="V81" s="32">
        <f t="shared" si="19"/>
        <v>0</v>
      </c>
      <c r="W81" s="32">
        <f t="shared" si="20"/>
        <v>0</v>
      </c>
    </row>
    <row r="82" spans="1:23">
      <c r="A82" t="str">
        <f>F_Inputs!A81</f>
        <v>SVE</v>
      </c>
      <c r="B82" t="str">
        <f>F_Inputs!B81</f>
        <v>CWW17_007TOT_PR24</v>
      </c>
      <c r="C82" t="str">
        <f>F_Inputs!C81</f>
        <v>EA/NRW environmental programme wastewater (WINEP/NEP) - Continuous river water quality monitoring (WINEP/NEP) wastewater capex - Total</v>
      </c>
      <c r="D82" t="str">
        <f>F_Inputs!D81</f>
        <v>£m</v>
      </c>
      <c r="E82" t="str">
        <f>F_Inputs!E81</f>
        <v>Price Review 2024</v>
      </c>
      <c r="F82">
        <f>F_Inputs!F81</f>
        <v>0</v>
      </c>
      <c r="G82">
        <f>F_Inputs!G81</f>
        <v>0</v>
      </c>
      <c r="H82">
        <f>F_Inputs!H81</f>
        <v>0</v>
      </c>
      <c r="I82">
        <f>F_Inputs!I81</f>
        <v>0</v>
      </c>
      <c r="J82">
        <f>F_Inputs!J81</f>
        <v>0</v>
      </c>
      <c r="K82">
        <f>F_Inputs!K81</f>
        <v>0</v>
      </c>
      <c r="L82">
        <f>F_Inputs!L81</f>
        <v>0</v>
      </c>
      <c r="M82" t="str">
        <f>F_Inputs!M81</f>
        <v/>
      </c>
      <c r="O82" s="84" t="str">
        <f t="shared" si="21"/>
        <v>CWW17_</v>
      </c>
      <c r="P82" s="32">
        <f t="shared" si="22"/>
        <v>0</v>
      </c>
      <c r="Q82" s="32">
        <f t="shared" si="23"/>
        <v>0</v>
      </c>
      <c r="R82" s="32">
        <f t="shared" si="15"/>
        <v>0</v>
      </c>
      <c r="S82" s="32">
        <f t="shared" si="16"/>
        <v>0</v>
      </c>
      <c r="T82" s="32">
        <f t="shared" si="17"/>
        <v>0</v>
      </c>
      <c r="U82" s="32">
        <f t="shared" si="18"/>
        <v>0</v>
      </c>
      <c r="V82" s="32">
        <f t="shared" si="19"/>
        <v>0</v>
      </c>
      <c r="W82" s="32">
        <f t="shared" si="20"/>
        <v>0</v>
      </c>
    </row>
    <row r="83" spans="1:23">
      <c r="A83" t="str">
        <f>F_Inputs!A82</f>
        <v>SVE</v>
      </c>
      <c r="B83" t="str">
        <f>F_Inputs!B82</f>
        <v>CWW17_008TOT_PR24</v>
      </c>
      <c r="C83" t="str">
        <f>F_Inputs!C82</f>
        <v>EA/NRW environmental programme wastewater (WINEP/NEP) - Continuous river water quality monitoring (WINEP/NEP) wastewater opex - Total</v>
      </c>
      <c r="D83" t="str">
        <f>F_Inputs!D82</f>
        <v>£m</v>
      </c>
      <c r="E83" t="str">
        <f>F_Inputs!E82</f>
        <v>Price Review 2024</v>
      </c>
      <c r="F83">
        <f>F_Inputs!F82</f>
        <v>0</v>
      </c>
      <c r="G83">
        <f>F_Inputs!G82</f>
        <v>0</v>
      </c>
      <c r="H83">
        <f>F_Inputs!H82</f>
        <v>0</v>
      </c>
      <c r="I83">
        <f>F_Inputs!I82</f>
        <v>0</v>
      </c>
      <c r="J83">
        <f>F_Inputs!J82</f>
        <v>0</v>
      </c>
      <c r="K83">
        <f>F_Inputs!K82</f>
        <v>0</v>
      </c>
      <c r="L83">
        <f>F_Inputs!L82</f>
        <v>0</v>
      </c>
      <c r="M83" t="str">
        <f>F_Inputs!M82</f>
        <v/>
      </c>
      <c r="O83" s="84" t="str">
        <f t="shared" si="21"/>
        <v>CWW17_</v>
      </c>
      <c r="P83" s="32">
        <f t="shared" si="22"/>
        <v>0</v>
      </c>
      <c r="Q83" s="32">
        <f t="shared" si="23"/>
        <v>0</v>
      </c>
      <c r="R83" s="32">
        <f t="shared" si="15"/>
        <v>0</v>
      </c>
      <c r="S83" s="32">
        <f t="shared" si="16"/>
        <v>0</v>
      </c>
      <c r="T83" s="32">
        <f t="shared" si="17"/>
        <v>0</v>
      </c>
      <c r="U83" s="32">
        <f t="shared" si="18"/>
        <v>0</v>
      </c>
      <c r="V83" s="32">
        <f t="shared" si="19"/>
        <v>0</v>
      </c>
      <c r="W83" s="32">
        <f t="shared" si="20"/>
        <v>0</v>
      </c>
    </row>
    <row r="84" spans="1:23">
      <c r="A84" t="str">
        <f>F_Inputs!A83</f>
        <v>SVE</v>
      </c>
      <c r="B84" t="str">
        <f>F_Inputs!B83</f>
        <v>CWW17_009TOT_PR24</v>
      </c>
      <c r="C84" t="str">
        <f>F_Inputs!C83</f>
        <v>EA/NRW environmental programme wastewater (WINEP/NEP) - Continuous river water quality monitoring (WINEP/NEP) wastewater totex - Total</v>
      </c>
      <c r="D84" t="str">
        <f>F_Inputs!D83</f>
        <v>£m</v>
      </c>
      <c r="E84" t="str">
        <f>F_Inputs!E83</f>
        <v>Price Review 2024</v>
      </c>
      <c r="F84">
        <f>F_Inputs!F83</f>
        <v>0</v>
      </c>
      <c r="G84">
        <f>F_Inputs!G83</f>
        <v>0</v>
      </c>
      <c r="H84">
        <f>F_Inputs!H83</f>
        <v>0</v>
      </c>
      <c r="I84">
        <f>F_Inputs!I83</f>
        <v>0</v>
      </c>
      <c r="J84">
        <f>F_Inputs!J83</f>
        <v>0</v>
      </c>
      <c r="K84">
        <f>F_Inputs!K83</f>
        <v>0</v>
      </c>
      <c r="L84">
        <f>F_Inputs!L83</f>
        <v>0</v>
      </c>
      <c r="M84" t="str">
        <f>F_Inputs!M83</f>
        <v/>
      </c>
      <c r="O84" s="84" t="str">
        <f t="shared" si="21"/>
        <v>CWW17_</v>
      </c>
      <c r="P84" s="32">
        <f t="shared" si="22"/>
        <v>0</v>
      </c>
      <c r="Q84" s="32">
        <f t="shared" si="23"/>
        <v>0</v>
      </c>
      <c r="R84" s="32">
        <f t="shared" si="15"/>
        <v>0</v>
      </c>
      <c r="S84" s="32">
        <f t="shared" si="16"/>
        <v>0</v>
      </c>
      <c r="T84" s="32">
        <f t="shared" si="17"/>
        <v>0</v>
      </c>
      <c r="U84" s="32">
        <f t="shared" si="18"/>
        <v>0</v>
      </c>
      <c r="V84" s="32">
        <f t="shared" si="19"/>
        <v>0</v>
      </c>
      <c r="W84" s="32">
        <f t="shared" si="20"/>
        <v>0</v>
      </c>
    </row>
    <row r="85" spans="1:23">
      <c r="A85" t="str">
        <f>F_Inputs!A84</f>
        <v>SVE</v>
      </c>
      <c r="B85" t="str">
        <f>F_Inputs!B84</f>
        <v>CWW20A_049_PR24</v>
      </c>
      <c r="C85" t="str">
        <f>F_Inputs!C84</f>
        <v>Network / Storm overflow data - Number of continuous water quality monitor installations</v>
      </c>
      <c r="D85" t="str">
        <f>F_Inputs!D84</f>
        <v>nr</v>
      </c>
      <c r="E85" t="str">
        <f>F_Inputs!E84</f>
        <v>Price Review 2024</v>
      </c>
      <c r="F85" t="str">
        <f>F_Inputs!F84</f>
        <v/>
      </c>
      <c r="G85" t="str">
        <f>F_Inputs!G84</f>
        <v/>
      </c>
      <c r="H85" t="str">
        <f>F_Inputs!H84</f>
        <v/>
      </c>
      <c r="I85" t="str">
        <f>F_Inputs!I84</f>
        <v/>
      </c>
      <c r="J85" t="str">
        <f>F_Inputs!J84</f>
        <v/>
      </c>
      <c r="K85" t="str">
        <f>F_Inputs!K84</f>
        <v/>
      </c>
      <c r="L85" t="str">
        <f>F_Inputs!L84</f>
        <v/>
      </c>
      <c r="M85" t="str">
        <f>F_Inputs!M84</f>
        <v/>
      </c>
      <c r="O85" s="84" t="str">
        <f t="shared" si="21"/>
        <v>CWW20A</v>
      </c>
      <c r="P85" s="32" t="str">
        <f t="shared" si="22"/>
        <v/>
      </c>
      <c r="Q85" s="32" t="str">
        <f t="shared" si="23"/>
        <v/>
      </c>
      <c r="R85" s="32">
        <f t="shared" si="15"/>
        <v>0</v>
      </c>
      <c r="S85" s="32">
        <f t="shared" si="16"/>
        <v>0</v>
      </c>
      <c r="T85" s="32">
        <f t="shared" si="17"/>
        <v>0</v>
      </c>
      <c r="U85" s="32">
        <f t="shared" si="18"/>
        <v>0</v>
      </c>
      <c r="V85" s="32">
        <f t="shared" si="19"/>
        <v>0</v>
      </c>
      <c r="W85" s="32">
        <f t="shared" si="20"/>
        <v>0</v>
      </c>
    </row>
    <row r="86" spans="1:23">
      <c r="A86" t="str">
        <f>F_Inputs!A85</f>
        <v>SRN</v>
      </c>
      <c r="B86" t="str">
        <f>F_Inputs!B85</f>
        <v>CWW3_007TOT_PR24</v>
      </c>
      <c r="C86" t="str">
        <f>F_Inputs!C85</f>
        <v>EA/NRW environmental programme wastewater (WINEP/NEP) - Continuous river water quality monitoring (WINEP/NEP) wastewater capex - Total</v>
      </c>
      <c r="D86" t="str">
        <f>F_Inputs!D85</f>
        <v>£m</v>
      </c>
      <c r="E86" t="str">
        <f>F_Inputs!E85</f>
        <v>Price Review 2024</v>
      </c>
      <c r="F86">
        <f>F_Inputs!F85</f>
        <v>0</v>
      </c>
      <c r="G86">
        <f>F_Inputs!G85</f>
        <v>0</v>
      </c>
      <c r="H86">
        <f>F_Inputs!H85</f>
        <v>8.5990000000000002</v>
      </c>
      <c r="I86">
        <f>F_Inputs!I85</f>
        <v>9.8889999999999993</v>
      </c>
      <c r="J86">
        <f>F_Inputs!J85</f>
        <v>9.8889999999999993</v>
      </c>
      <c r="K86">
        <f>F_Inputs!K85</f>
        <v>10.321</v>
      </c>
      <c r="L86">
        <f>F_Inputs!L85</f>
        <v>4.3010000000000002</v>
      </c>
      <c r="M86" t="str">
        <f>F_Inputs!M85</f>
        <v/>
      </c>
      <c r="O86" s="84" t="str">
        <f t="shared" si="21"/>
        <v>CWW3_0</v>
      </c>
      <c r="P86" s="32">
        <f t="shared" si="22"/>
        <v>0</v>
      </c>
      <c r="Q86" s="32">
        <f t="shared" si="23"/>
        <v>0</v>
      </c>
      <c r="R86" s="32">
        <f t="shared" si="15"/>
        <v>8.5990000000000002</v>
      </c>
      <c r="S86" s="32">
        <f t="shared" si="16"/>
        <v>9.8889999999999993</v>
      </c>
      <c r="T86" s="32">
        <f t="shared" si="17"/>
        <v>9.8889999999999993</v>
      </c>
      <c r="U86" s="32">
        <f t="shared" si="18"/>
        <v>10.321</v>
      </c>
      <c r="V86" s="32">
        <f t="shared" si="19"/>
        <v>4.3010000000000002</v>
      </c>
      <c r="W86" s="32" t="str">
        <f t="shared" si="20"/>
        <v/>
      </c>
    </row>
    <row r="87" spans="1:23">
      <c r="A87" t="str">
        <f>F_Inputs!A86</f>
        <v>SRN</v>
      </c>
      <c r="B87" t="str">
        <f>F_Inputs!B86</f>
        <v>CWW3_008TOT_PR24</v>
      </c>
      <c r="C87" t="str">
        <f>F_Inputs!C86</f>
        <v>EA/NRW environmental programme wastewater (WINEP/NEP) - Continuous river water quality monitoring (WINEP/NEP) wastewater opex - Total</v>
      </c>
      <c r="D87" t="str">
        <f>F_Inputs!D86</f>
        <v>£m</v>
      </c>
      <c r="E87" t="str">
        <f>F_Inputs!E86</f>
        <v>Price Review 2024</v>
      </c>
      <c r="F87">
        <f>F_Inputs!F86</f>
        <v>0</v>
      </c>
      <c r="G87">
        <f>F_Inputs!G86</f>
        <v>0</v>
      </c>
      <c r="H87">
        <f>F_Inputs!H86</f>
        <v>7.3999999999999996E-2</v>
      </c>
      <c r="I87">
        <f>F_Inputs!I86</f>
        <v>7.3999999999999996E-2</v>
      </c>
      <c r="J87">
        <f>F_Inputs!J86</f>
        <v>0</v>
      </c>
      <c r="K87">
        <f>F_Inputs!K86</f>
        <v>0</v>
      </c>
      <c r="L87">
        <f>F_Inputs!L86</f>
        <v>0</v>
      </c>
      <c r="M87" t="str">
        <f>F_Inputs!M86</f>
        <v/>
      </c>
      <c r="O87" s="84" t="str">
        <f t="shared" si="21"/>
        <v>CWW3_0</v>
      </c>
      <c r="P87" s="32">
        <f t="shared" si="22"/>
        <v>0</v>
      </c>
      <c r="Q87" s="32">
        <f t="shared" si="23"/>
        <v>0</v>
      </c>
      <c r="R87" s="32">
        <f t="shared" si="15"/>
        <v>7.3999999999999996E-2</v>
      </c>
      <c r="S87" s="32">
        <f t="shared" si="16"/>
        <v>7.3999999999999996E-2</v>
      </c>
      <c r="T87" s="32">
        <f t="shared" si="17"/>
        <v>0</v>
      </c>
      <c r="U87" s="32">
        <f t="shared" si="18"/>
        <v>0</v>
      </c>
      <c r="V87" s="32">
        <f t="shared" si="19"/>
        <v>0</v>
      </c>
      <c r="W87" s="32" t="str">
        <f t="shared" si="20"/>
        <v/>
      </c>
    </row>
    <row r="88" spans="1:23">
      <c r="A88" t="str">
        <f>F_Inputs!A87</f>
        <v>SRN</v>
      </c>
      <c r="B88" t="str">
        <f>F_Inputs!B87</f>
        <v>CWW3_009TOT_PR24</v>
      </c>
      <c r="C88" t="str">
        <f>F_Inputs!C87</f>
        <v>EA/NRW environmental programme wastewater (WINEP/NEP) - Continuous river water quality monitoring (WINEP/NEP) wastewater totex - Total</v>
      </c>
      <c r="D88" t="str">
        <f>F_Inputs!D87</f>
        <v>£m</v>
      </c>
      <c r="E88" t="str">
        <f>F_Inputs!E87</f>
        <v>Price Review 2024</v>
      </c>
      <c r="F88">
        <f>F_Inputs!F87</f>
        <v>0</v>
      </c>
      <c r="G88">
        <f>F_Inputs!G87</f>
        <v>0</v>
      </c>
      <c r="H88">
        <f>F_Inputs!H87</f>
        <v>8.6729999999999983</v>
      </c>
      <c r="I88">
        <f>F_Inputs!I87</f>
        <v>9.9629999999999992</v>
      </c>
      <c r="J88">
        <f>F_Inputs!J87</f>
        <v>9.8889999999999993</v>
      </c>
      <c r="K88">
        <f>F_Inputs!K87</f>
        <v>10.321</v>
      </c>
      <c r="L88">
        <f>F_Inputs!L87</f>
        <v>4.3010000000000002</v>
      </c>
      <c r="M88" t="str">
        <f>F_Inputs!M87</f>
        <v/>
      </c>
      <c r="O88" s="84" t="str">
        <f t="shared" si="21"/>
        <v>CWW3_0</v>
      </c>
      <c r="P88" s="32">
        <f t="shared" si="22"/>
        <v>0</v>
      </c>
      <c r="Q88" s="32">
        <f t="shared" si="23"/>
        <v>0</v>
      </c>
      <c r="R88" s="32">
        <f t="shared" si="15"/>
        <v>8.6729999999999983</v>
      </c>
      <c r="S88" s="32">
        <f t="shared" si="16"/>
        <v>9.9629999999999992</v>
      </c>
      <c r="T88" s="32">
        <f t="shared" si="17"/>
        <v>9.8889999999999993</v>
      </c>
      <c r="U88" s="32">
        <f t="shared" si="18"/>
        <v>10.321</v>
      </c>
      <c r="V88" s="32">
        <f t="shared" si="19"/>
        <v>4.3010000000000002</v>
      </c>
      <c r="W88" s="32" t="str">
        <f t="shared" si="20"/>
        <v/>
      </c>
    </row>
    <row r="89" spans="1:23">
      <c r="A89" t="str">
        <f>F_Inputs!A88</f>
        <v>SRN</v>
      </c>
      <c r="B89" t="str">
        <f>F_Inputs!B88</f>
        <v>CWW20_049_PR24</v>
      </c>
      <c r="C89" t="str">
        <f>F_Inputs!C88</f>
        <v>Network / Storm overflow data - Number of continuous water quality monitor installations</v>
      </c>
      <c r="D89" t="str">
        <f>F_Inputs!D88</f>
        <v>nr</v>
      </c>
      <c r="E89" t="str">
        <f>F_Inputs!E88</f>
        <v>Price Review 2024</v>
      </c>
      <c r="F89">
        <f>F_Inputs!F88</f>
        <v>0</v>
      </c>
      <c r="G89">
        <f>F_Inputs!G88</f>
        <v>0</v>
      </c>
      <c r="H89">
        <f>F_Inputs!H88</f>
        <v>0</v>
      </c>
      <c r="I89">
        <f>F_Inputs!I88</f>
        <v>0</v>
      </c>
      <c r="J89">
        <f>F_Inputs!J88</f>
        <v>0</v>
      </c>
      <c r="K89">
        <f>F_Inputs!K88</f>
        <v>0</v>
      </c>
      <c r="L89">
        <f>F_Inputs!L88</f>
        <v>304</v>
      </c>
      <c r="M89" t="str">
        <f>F_Inputs!M88</f>
        <v/>
      </c>
      <c r="O89" s="84" t="str">
        <f t="shared" si="21"/>
        <v>CWW20_</v>
      </c>
      <c r="P89" s="32">
        <f t="shared" si="22"/>
        <v>0</v>
      </c>
      <c r="Q89" s="32">
        <f t="shared" si="23"/>
        <v>0</v>
      </c>
      <c r="R89" s="32">
        <f t="shared" si="15"/>
        <v>0</v>
      </c>
      <c r="S89" s="32">
        <f t="shared" si="16"/>
        <v>0</v>
      </c>
      <c r="T89" s="32">
        <f t="shared" si="17"/>
        <v>0</v>
      </c>
      <c r="U89" s="32">
        <f t="shared" si="18"/>
        <v>0</v>
      </c>
      <c r="V89" s="32">
        <f t="shared" si="19"/>
        <v>304</v>
      </c>
      <c r="W89" s="32" t="str">
        <f t="shared" si="20"/>
        <v/>
      </c>
    </row>
    <row r="90" spans="1:23">
      <c r="A90" t="str">
        <f>F_Inputs!A89</f>
        <v>SRN</v>
      </c>
      <c r="B90" t="str">
        <f>F_Inputs!B89</f>
        <v>CWW1A_015TOT_PR24</v>
      </c>
      <c r="C90" t="str">
        <f>F_Inputs!C89</f>
        <v>Net totex - Total</v>
      </c>
      <c r="D90" t="str">
        <f>F_Inputs!D89</f>
        <v>£m</v>
      </c>
      <c r="E90" t="str">
        <f>F_Inputs!E89</f>
        <v>Price Review 2024</v>
      </c>
      <c r="F90">
        <f>F_Inputs!F89</f>
        <v>768.65200000000004</v>
      </c>
      <c r="G90">
        <f>F_Inputs!G89</f>
        <v>785.71600000000012</v>
      </c>
      <c r="H90">
        <f>F_Inputs!H89</f>
        <v>919.95056665257835</v>
      </c>
      <c r="I90">
        <f>F_Inputs!I89</f>
        <v>1259.3054253890721</v>
      </c>
      <c r="J90">
        <f>F_Inputs!J89</f>
        <v>1000.932312638522</v>
      </c>
      <c r="K90">
        <f>F_Inputs!K89</f>
        <v>1075.9677056653011</v>
      </c>
      <c r="L90">
        <f>F_Inputs!L89</f>
        <v>779.11368189552627</v>
      </c>
      <c r="M90" t="str">
        <f>F_Inputs!M89</f>
        <v/>
      </c>
      <c r="O90" s="84" t="str">
        <f t="shared" si="21"/>
        <v>CWW1A_</v>
      </c>
      <c r="P90" s="32">
        <f t="shared" si="22"/>
        <v>0</v>
      </c>
      <c r="Q90" s="32">
        <f t="shared" si="23"/>
        <v>0</v>
      </c>
      <c r="R90" s="32">
        <f t="shared" si="15"/>
        <v>919.95056665257835</v>
      </c>
      <c r="S90" s="32">
        <f t="shared" si="16"/>
        <v>1259.3054253890721</v>
      </c>
      <c r="T90" s="32">
        <f t="shared" si="17"/>
        <v>1000.932312638522</v>
      </c>
      <c r="U90" s="32">
        <f t="shared" si="18"/>
        <v>1075.9677056653011</v>
      </c>
      <c r="V90" s="32">
        <f t="shared" si="19"/>
        <v>779.11368189552627</v>
      </c>
      <c r="W90" s="32" t="str">
        <f t="shared" si="20"/>
        <v/>
      </c>
    </row>
    <row r="91" spans="1:23">
      <c r="A91" t="str">
        <f>F_Inputs!A90</f>
        <v>SRN</v>
      </c>
      <c r="B91" t="str">
        <f>F_Inputs!B90</f>
        <v>PR24_NETTOTEX_WASTE</v>
      </c>
      <c r="C91" t="str">
        <f>F_Inputs!C90</f>
        <v>PR24 BP Net totex - Total inc. accelerated &amp; transition costs</v>
      </c>
      <c r="D91" t="str">
        <f>F_Inputs!D90</f>
        <v>£m</v>
      </c>
      <c r="E91" t="str">
        <f>F_Inputs!E90</f>
        <v>Price Review 2024</v>
      </c>
      <c r="F91" t="str">
        <f>F_Inputs!F90</f>
        <v/>
      </c>
      <c r="G91" t="str">
        <f>F_Inputs!G90</f>
        <v/>
      </c>
      <c r="H91" t="str">
        <f>F_Inputs!H90</f>
        <v/>
      </c>
      <c r="I91" t="str">
        <f>F_Inputs!I90</f>
        <v/>
      </c>
      <c r="J91" t="str">
        <f>F_Inputs!J90</f>
        <v/>
      </c>
      <c r="K91" t="str">
        <f>F_Inputs!K90</f>
        <v/>
      </c>
      <c r="L91" t="str">
        <f>F_Inputs!L90</f>
        <v/>
      </c>
      <c r="M91">
        <f>F_Inputs!M90</f>
        <v>5114.195692241</v>
      </c>
      <c r="O91" s="84" t="str">
        <f t="shared" si="21"/>
        <v>PR24_N</v>
      </c>
      <c r="P91" s="32">
        <f t="shared" si="22"/>
        <v>0</v>
      </c>
      <c r="Q91" s="32">
        <f t="shared" si="23"/>
        <v>0</v>
      </c>
      <c r="R91" s="32" t="str">
        <f t="shared" si="15"/>
        <v/>
      </c>
      <c r="S91" s="32" t="str">
        <f t="shared" si="16"/>
        <v/>
      </c>
      <c r="T91" s="32" t="str">
        <f t="shared" si="17"/>
        <v/>
      </c>
      <c r="U91" s="32" t="str">
        <f t="shared" si="18"/>
        <v/>
      </c>
      <c r="V91" s="32" t="str">
        <f t="shared" si="19"/>
        <v/>
      </c>
      <c r="W91" s="32">
        <f t="shared" si="20"/>
        <v>5114.195692241</v>
      </c>
    </row>
    <row r="92" spans="1:23">
      <c r="A92" t="str">
        <f>F_Inputs!A91</f>
        <v>SRN</v>
      </c>
      <c r="B92" t="str">
        <f>F_Inputs!B91</f>
        <v>CWW12_007TOT_PR24</v>
      </c>
      <c r="C92" t="str">
        <f>F_Inputs!C91</f>
        <v>EA/NRW environmental programme wastewater (WINEP/NEP) - Continuous river water quality monitoring (WINEP/NEP) wastewater capex - Total</v>
      </c>
      <c r="D92" t="str">
        <f>F_Inputs!D91</f>
        <v>£m</v>
      </c>
      <c r="E92" t="str">
        <f>F_Inputs!E91</f>
        <v>Price Review 2024</v>
      </c>
      <c r="F92">
        <f>F_Inputs!F91</f>
        <v>0</v>
      </c>
      <c r="G92">
        <f>F_Inputs!G91</f>
        <v>0</v>
      </c>
      <c r="H92" t="str">
        <f>F_Inputs!H91</f>
        <v/>
      </c>
      <c r="I92" t="str">
        <f>F_Inputs!I91</f>
        <v/>
      </c>
      <c r="J92" t="str">
        <f>F_Inputs!J91</f>
        <v/>
      </c>
      <c r="K92" t="str">
        <f>F_Inputs!K91</f>
        <v/>
      </c>
      <c r="L92" t="str">
        <f>F_Inputs!L91</f>
        <v/>
      </c>
      <c r="M92" t="str">
        <f>F_Inputs!M91</f>
        <v/>
      </c>
      <c r="O92" s="84" t="str">
        <f t="shared" si="21"/>
        <v>CWW12_</v>
      </c>
      <c r="P92" s="32">
        <f t="shared" si="22"/>
        <v>0</v>
      </c>
      <c r="Q92" s="32">
        <f t="shared" si="23"/>
        <v>0</v>
      </c>
      <c r="R92" s="32">
        <f t="shared" si="15"/>
        <v>0</v>
      </c>
      <c r="S92" s="32">
        <f t="shared" si="16"/>
        <v>0</v>
      </c>
      <c r="T92" s="32">
        <f t="shared" si="17"/>
        <v>0</v>
      </c>
      <c r="U92" s="32">
        <f t="shared" si="18"/>
        <v>0</v>
      </c>
      <c r="V92" s="32">
        <f t="shared" si="19"/>
        <v>0</v>
      </c>
      <c r="W92" s="32">
        <f t="shared" si="20"/>
        <v>0</v>
      </c>
    </row>
    <row r="93" spans="1:23">
      <c r="A93" t="str">
        <f>F_Inputs!A92</f>
        <v>SRN</v>
      </c>
      <c r="B93" t="str">
        <f>F_Inputs!B92</f>
        <v>CWW12_008TOT_PR24</v>
      </c>
      <c r="C93" t="str">
        <f>F_Inputs!C92</f>
        <v>EA/NRW environmental programme wastewater (WINEP/NEP) - Continuous river water quality monitoring (WINEP/NEP) wastewater opex - Total</v>
      </c>
      <c r="D93" t="str">
        <f>F_Inputs!D92</f>
        <v>£m</v>
      </c>
      <c r="E93" t="str">
        <f>F_Inputs!E92</f>
        <v>Price Review 2024</v>
      </c>
      <c r="F93">
        <f>F_Inputs!F92</f>
        <v>0</v>
      </c>
      <c r="G93">
        <f>F_Inputs!G92</f>
        <v>0</v>
      </c>
      <c r="H93" t="str">
        <f>F_Inputs!H92</f>
        <v/>
      </c>
      <c r="I93" t="str">
        <f>F_Inputs!I92</f>
        <v/>
      </c>
      <c r="J93" t="str">
        <f>F_Inputs!J92</f>
        <v/>
      </c>
      <c r="K93" t="str">
        <f>F_Inputs!K92</f>
        <v/>
      </c>
      <c r="L93" t="str">
        <f>F_Inputs!L92</f>
        <v/>
      </c>
      <c r="M93" t="str">
        <f>F_Inputs!M92</f>
        <v/>
      </c>
      <c r="O93" s="84" t="str">
        <f t="shared" si="21"/>
        <v>CWW12_</v>
      </c>
      <c r="P93" s="32">
        <f t="shared" si="22"/>
        <v>0</v>
      </c>
      <c r="Q93" s="32">
        <f t="shared" si="23"/>
        <v>0</v>
      </c>
      <c r="R93" s="32">
        <f t="shared" si="15"/>
        <v>0</v>
      </c>
      <c r="S93" s="32">
        <f t="shared" si="16"/>
        <v>0</v>
      </c>
      <c r="T93" s="32">
        <f t="shared" si="17"/>
        <v>0</v>
      </c>
      <c r="U93" s="32">
        <f t="shared" si="18"/>
        <v>0</v>
      </c>
      <c r="V93" s="32">
        <f t="shared" si="19"/>
        <v>0</v>
      </c>
      <c r="W93" s="32">
        <f t="shared" si="20"/>
        <v>0</v>
      </c>
    </row>
    <row r="94" spans="1:23">
      <c r="A94" t="str">
        <f>F_Inputs!A93</f>
        <v>SRN</v>
      </c>
      <c r="B94" t="str">
        <f>F_Inputs!B93</f>
        <v>CWW12_009TOT_PR24</v>
      </c>
      <c r="C94" t="str">
        <f>F_Inputs!C93</f>
        <v>EA/NRW environmental programme wastewater (WINEP/NEP) - Continuous river water quality monitoring (WINEP/NEP) wastewater totex - Total</v>
      </c>
      <c r="D94" t="str">
        <f>F_Inputs!D93</f>
        <v>£m</v>
      </c>
      <c r="E94" t="str">
        <f>F_Inputs!E93</f>
        <v>Price Review 2024</v>
      </c>
      <c r="F94">
        <f>F_Inputs!F93</f>
        <v>0</v>
      </c>
      <c r="G94">
        <f>F_Inputs!G93</f>
        <v>0</v>
      </c>
      <c r="H94" t="str">
        <f>F_Inputs!H93</f>
        <v/>
      </c>
      <c r="I94" t="str">
        <f>F_Inputs!I93</f>
        <v/>
      </c>
      <c r="J94" t="str">
        <f>F_Inputs!J93</f>
        <v/>
      </c>
      <c r="K94" t="str">
        <f>F_Inputs!K93</f>
        <v/>
      </c>
      <c r="L94" t="str">
        <f>F_Inputs!L93</f>
        <v/>
      </c>
      <c r="M94" t="str">
        <f>F_Inputs!M93</f>
        <v/>
      </c>
      <c r="O94" s="84" t="str">
        <f t="shared" si="21"/>
        <v>CWW12_</v>
      </c>
      <c r="P94" s="32">
        <f t="shared" si="22"/>
        <v>0</v>
      </c>
      <c r="Q94" s="32">
        <f t="shared" si="23"/>
        <v>0</v>
      </c>
      <c r="R94" s="32">
        <f t="shared" si="15"/>
        <v>0</v>
      </c>
      <c r="S94" s="32">
        <f t="shared" si="16"/>
        <v>0</v>
      </c>
      <c r="T94" s="32">
        <f t="shared" si="17"/>
        <v>0</v>
      </c>
      <c r="U94" s="32">
        <f t="shared" si="18"/>
        <v>0</v>
      </c>
      <c r="V94" s="32">
        <f t="shared" si="19"/>
        <v>0</v>
      </c>
      <c r="W94" s="32">
        <f t="shared" si="20"/>
        <v>0</v>
      </c>
    </row>
    <row r="95" spans="1:23">
      <c r="A95" t="str">
        <f>F_Inputs!A94</f>
        <v>SRN</v>
      </c>
      <c r="B95" t="str">
        <f>F_Inputs!B94</f>
        <v>CWW17_007TOT_PR24</v>
      </c>
      <c r="C95" t="str">
        <f>F_Inputs!C94</f>
        <v>EA/NRW environmental programme wastewater (WINEP/NEP) - Continuous river water quality monitoring (WINEP/NEP) wastewater capex - Total</v>
      </c>
      <c r="D95" t="str">
        <f>F_Inputs!D94</f>
        <v>£m</v>
      </c>
      <c r="E95" t="str">
        <f>F_Inputs!E94</f>
        <v>Price Review 2024</v>
      </c>
      <c r="F95">
        <f>F_Inputs!F94</f>
        <v>0</v>
      </c>
      <c r="G95">
        <f>F_Inputs!G94</f>
        <v>0</v>
      </c>
      <c r="H95">
        <f>F_Inputs!H94</f>
        <v>0</v>
      </c>
      <c r="I95">
        <f>F_Inputs!I94</f>
        <v>0</v>
      </c>
      <c r="J95">
        <f>F_Inputs!J94</f>
        <v>0</v>
      </c>
      <c r="K95">
        <f>F_Inputs!K94</f>
        <v>0</v>
      </c>
      <c r="L95">
        <f>F_Inputs!L94</f>
        <v>0</v>
      </c>
      <c r="M95" t="str">
        <f>F_Inputs!M94</f>
        <v/>
      </c>
      <c r="O95" s="84" t="str">
        <f t="shared" si="21"/>
        <v>CWW17_</v>
      </c>
      <c r="P95" s="32">
        <f t="shared" si="22"/>
        <v>0</v>
      </c>
      <c r="Q95" s="32">
        <f t="shared" si="23"/>
        <v>0</v>
      </c>
      <c r="R95" s="32">
        <f t="shared" si="15"/>
        <v>0</v>
      </c>
      <c r="S95" s="32">
        <f t="shared" si="16"/>
        <v>0</v>
      </c>
      <c r="T95" s="32">
        <f t="shared" si="17"/>
        <v>0</v>
      </c>
      <c r="U95" s="32">
        <f t="shared" si="18"/>
        <v>0</v>
      </c>
      <c r="V95" s="32">
        <f t="shared" si="19"/>
        <v>0</v>
      </c>
      <c r="W95" s="32">
        <f t="shared" si="20"/>
        <v>0</v>
      </c>
    </row>
    <row r="96" spans="1:23">
      <c r="A96" t="str">
        <f>F_Inputs!A95</f>
        <v>SRN</v>
      </c>
      <c r="B96" t="str">
        <f>F_Inputs!B95</f>
        <v>CWW17_008TOT_PR24</v>
      </c>
      <c r="C96" t="str">
        <f>F_Inputs!C95</f>
        <v>EA/NRW environmental programme wastewater (WINEP/NEP) - Continuous river water quality monitoring (WINEP/NEP) wastewater opex - Total</v>
      </c>
      <c r="D96" t="str">
        <f>F_Inputs!D95</f>
        <v>£m</v>
      </c>
      <c r="E96" t="str">
        <f>F_Inputs!E95</f>
        <v>Price Review 2024</v>
      </c>
      <c r="F96">
        <f>F_Inputs!F95</f>
        <v>0</v>
      </c>
      <c r="G96">
        <f>F_Inputs!G95</f>
        <v>0</v>
      </c>
      <c r="H96">
        <f>F_Inputs!H95</f>
        <v>0</v>
      </c>
      <c r="I96">
        <f>F_Inputs!I95</f>
        <v>0</v>
      </c>
      <c r="J96">
        <f>F_Inputs!J95</f>
        <v>0</v>
      </c>
      <c r="K96">
        <f>F_Inputs!K95</f>
        <v>0</v>
      </c>
      <c r="L96">
        <f>F_Inputs!L95</f>
        <v>0</v>
      </c>
      <c r="M96" t="str">
        <f>F_Inputs!M95</f>
        <v/>
      </c>
      <c r="O96" s="84" t="str">
        <f t="shared" si="21"/>
        <v>CWW17_</v>
      </c>
      <c r="P96" s="32">
        <f t="shared" si="22"/>
        <v>0</v>
      </c>
      <c r="Q96" s="32">
        <f t="shared" si="23"/>
        <v>0</v>
      </c>
      <c r="R96" s="32">
        <f t="shared" si="15"/>
        <v>0</v>
      </c>
      <c r="S96" s="32">
        <f t="shared" si="16"/>
        <v>0</v>
      </c>
      <c r="T96" s="32">
        <f t="shared" si="17"/>
        <v>0</v>
      </c>
      <c r="U96" s="32">
        <f t="shared" si="18"/>
        <v>0</v>
      </c>
      <c r="V96" s="32">
        <f t="shared" si="19"/>
        <v>0</v>
      </c>
      <c r="W96" s="32">
        <f t="shared" si="20"/>
        <v>0</v>
      </c>
    </row>
    <row r="97" spans="1:23">
      <c r="A97" t="str">
        <f>F_Inputs!A96</f>
        <v>SRN</v>
      </c>
      <c r="B97" t="str">
        <f>F_Inputs!B96</f>
        <v>CWW17_009TOT_PR24</v>
      </c>
      <c r="C97" t="str">
        <f>F_Inputs!C96</f>
        <v>EA/NRW environmental programme wastewater (WINEP/NEP) - Continuous river water quality monitoring (WINEP/NEP) wastewater totex - Total</v>
      </c>
      <c r="D97" t="str">
        <f>F_Inputs!D96</f>
        <v>£m</v>
      </c>
      <c r="E97" t="str">
        <f>F_Inputs!E96</f>
        <v>Price Review 2024</v>
      </c>
      <c r="F97">
        <f>F_Inputs!F96</f>
        <v>0</v>
      </c>
      <c r="G97">
        <f>F_Inputs!G96</f>
        <v>0</v>
      </c>
      <c r="H97">
        <f>F_Inputs!H96</f>
        <v>0</v>
      </c>
      <c r="I97">
        <f>F_Inputs!I96</f>
        <v>0</v>
      </c>
      <c r="J97">
        <f>F_Inputs!J96</f>
        <v>0</v>
      </c>
      <c r="K97">
        <f>F_Inputs!K96</f>
        <v>0</v>
      </c>
      <c r="L97">
        <f>F_Inputs!L96</f>
        <v>0</v>
      </c>
      <c r="M97" t="str">
        <f>F_Inputs!M96</f>
        <v/>
      </c>
      <c r="O97" s="84" t="str">
        <f t="shared" si="21"/>
        <v>CWW17_</v>
      </c>
      <c r="P97" s="32">
        <f t="shared" si="22"/>
        <v>0</v>
      </c>
      <c r="Q97" s="32">
        <f t="shared" si="23"/>
        <v>0</v>
      </c>
      <c r="R97" s="32">
        <f t="shared" si="15"/>
        <v>0</v>
      </c>
      <c r="S97" s="32">
        <f t="shared" si="16"/>
        <v>0</v>
      </c>
      <c r="T97" s="32">
        <f t="shared" si="17"/>
        <v>0</v>
      </c>
      <c r="U97" s="32">
        <f t="shared" si="18"/>
        <v>0</v>
      </c>
      <c r="V97" s="32">
        <f t="shared" si="19"/>
        <v>0</v>
      </c>
      <c r="W97" s="32">
        <f t="shared" si="20"/>
        <v>0</v>
      </c>
    </row>
    <row r="98" spans="1:23">
      <c r="A98" t="str">
        <f>F_Inputs!A97</f>
        <v>SRN</v>
      </c>
      <c r="B98" t="str">
        <f>F_Inputs!B97</f>
        <v>CWW20A_049_PR24</v>
      </c>
      <c r="C98" t="str">
        <f>F_Inputs!C97</f>
        <v>Network / Storm overflow data - Number of continuous water quality monitor installations</v>
      </c>
      <c r="D98" t="str">
        <f>F_Inputs!D97</f>
        <v>nr</v>
      </c>
      <c r="E98" t="str">
        <f>F_Inputs!E97</f>
        <v>Price Review 2024</v>
      </c>
      <c r="F98" t="str">
        <f>F_Inputs!F97</f>
        <v/>
      </c>
      <c r="G98" t="str">
        <f>F_Inputs!G97</f>
        <v/>
      </c>
      <c r="H98" t="str">
        <f>F_Inputs!H97</f>
        <v/>
      </c>
      <c r="I98" t="str">
        <f>F_Inputs!I97</f>
        <v/>
      </c>
      <c r="J98" t="str">
        <f>F_Inputs!J97</f>
        <v/>
      </c>
      <c r="K98" t="str">
        <f>F_Inputs!K97</f>
        <v/>
      </c>
      <c r="L98" t="str">
        <f>F_Inputs!L97</f>
        <v/>
      </c>
      <c r="M98" t="str">
        <f>F_Inputs!M97</f>
        <v/>
      </c>
      <c r="O98" s="84" t="str">
        <f t="shared" si="21"/>
        <v>CWW20A</v>
      </c>
      <c r="P98" s="32" t="str">
        <f t="shared" si="22"/>
        <v/>
      </c>
      <c r="Q98" s="32" t="str">
        <f t="shared" si="23"/>
        <v/>
      </c>
      <c r="R98" s="32">
        <f t="shared" si="15"/>
        <v>0</v>
      </c>
      <c r="S98" s="32">
        <f t="shared" si="16"/>
        <v>0</v>
      </c>
      <c r="T98" s="32">
        <f t="shared" si="17"/>
        <v>0</v>
      </c>
      <c r="U98" s="32">
        <f t="shared" si="18"/>
        <v>0</v>
      </c>
      <c r="V98" s="32">
        <f t="shared" si="19"/>
        <v>0</v>
      </c>
      <c r="W98" s="32">
        <f t="shared" si="20"/>
        <v>0</v>
      </c>
    </row>
    <row r="99" spans="1:23">
      <c r="A99" t="str">
        <f>F_Inputs!A98</f>
        <v>TMS</v>
      </c>
      <c r="B99" t="str">
        <f>F_Inputs!B98</f>
        <v>CWW3_007TOT_PR24</v>
      </c>
      <c r="C99" t="str">
        <f>F_Inputs!C98</f>
        <v>EA/NRW environmental programme wastewater (WINEP/NEP) - Continuous river water quality monitoring (WINEP/NEP) wastewater capex - Total</v>
      </c>
      <c r="D99" t="str">
        <f>F_Inputs!D98</f>
        <v>£m</v>
      </c>
      <c r="E99" t="str">
        <f>F_Inputs!E98</f>
        <v>Price Review 2024</v>
      </c>
      <c r="F99">
        <f>F_Inputs!F98</f>
        <v>0</v>
      </c>
      <c r="G99">
        <f>F_Inputs!G98</f>
        <v>0</v>
      </c>
      <c r="H99">
        <f>F_Inputs!H98</f>
        <v>16.802</v>
      </c>
      <c r="I99">
        <f>F_Inputs!I98</f>
        <v>18.073</v>
      </c>
      <c r="J99">
        <f>F_Inputs!J98</f>
        <v>4.2389999999999999</v>
      </c>
      <c r="K99">
        <f>F_Inputs!K98</f>
        <v>2.129</v>
      </c>
      <c r="L99">
        <f>F_Inputs!L98</f>
        <v>2.1379999999999999</v>
      </c>
      <c r="M99" t="str">
        <f>F_Inputs!M98</f>
        <v/>
      </c>
      <c r="O99" s="84" t="str">
        <f t="shared" si="21"/>
        <v>CWW3_0</v>
      </c>
      <c r="P99" s="32">
        <f t="shared" si="22"/>
        <v>0</v>
      </c>
      <c r="Q99" s="32">
        <f t="shared" si="23"/>
        <v>0</v>
      </c>
      <c r="R99" s="32">
        <f t="shared" si="15"/>
        <v>16.802</v>
      </c>
      <c r="S99" s="32">
        <f t="shared" si="16"/>
        <v>18.073</v>
      </c>
      <c r="T99" s="32">
        <f t="shared" si="17"/>
        <v>4.2389999999999999</v>
      </c>
      <c r="U99" s="32">
        <f t="shared" si="18"/>
        <v>2.129</v>
      </c>
      <c r="V99" s="32">
        <f t="shared" si="19"/>
        <v>2.1379999999999999</v>
      </c>
      <c r="W99" s="32" t="str">
        <f t="shared" si="20"/>
        <v/>
      </c>
    </row>
    <row r="100" spans="1:23">
      <c r="A100" t="str">
        <f>F_Inputs!A99</f>
        <v>TMS</v>
      </c>
      <c r="B100" t="str">
        <f>F_Inputs!B99</f>
        <v>CWW3_008TOT_PR24</v>
      </c>
      <c r="C100" t="str">
        <f>F_Inputs!C99</f>
        <v>EA/NRW environmental programme wastewater (WINEP/NEP) - Continuous river water quality monitoring (WINEP/NEP) wastewater opex - Total</v>
      </c>
      <c r="D100" t="str">
        <f>F_Inputs!D99</f>
        <v>£m</v>
      </c>
      <c r="E100" t="str">
        <f>F_Inputs!E99</f>
        <v>Price Review 2024</v>
      </c>
      <c r="F100">
        <f>F_Inputs!F99</f>
        <v>0</v>
      </c>
      <c r="G100">
        <f>F_Inputs!G99</f>
        <v>0</v>
      </c>
      <c r="H100">
        <f>F_Inputs!H99</f>
        <v>0</v>
      </c>
      <c r="I100">
        <f>F_Inputs!I99</f>
        <v>1.6E-2</v>
      </c>
      <c r="J100">
        <f>F_Inputs!J99</f>
        <v>1.829</v>
      </c>
      <c r="K100">
        <f>F_Inputs!K99</f>
        <v>3.641</v>
      </c>
      <c r="L100">
        <f>F_Inputs!L99</f>
        <v>4.1189999999999998</v>
      </c>
      <c r="M100" t="str">
        <f>F_Inputs!M99</f>
        <v/>
      </c>
      <c r="O100" s="84" t="str">
        <f t="shared" si="21"/>
        <v>CWW3_0</v>
      </c>
      <c r="P100" s="32">
        <f t="shared" si="22"/>
        <v>0</v>
      </c>
      <c r="Q100" s="32">
        <f t="shared" si="23"/>
        <v>0</v>
      </c>
      <c r="R100" s="32">
        <f t="shared" si="15"/>
        <v>0</v>
      </c>
      <c r="S100" s="32">
        <f t="shared" si="16"/>
        <v>1.6E-2</v>
      </c>
      <c r="T100" s="32">
        <f t="shared" si="17"/>
        <v>1.829</v>
      </c>
      <c r="U100" s="32">
        <f t="shared" si="18"/>
        <v>3.641</v>
      </c>
      <c r="V100" s="32">
        <f t="shared" si="19"/>
        <v>4.1189999999999998</v>
      </c>
      <c r="W100" s="32" t="str">
        <f t="shared" si="20"/>
        <v/>
      </c>
    </row>
    <row r="101" spans="1:23">
      <c r="A101" t="str">
        <f>F_Inputs!A100</f>
        <v>TMS</v>
      </c>
      <c r="B101" t="str">
        <f>F_Inputs!B100</f>
        <v>CWW3_009TOT_PR24</v>
      </c>
      <c r="C101" t="str">
        <f>F_Inputs!C100</f>
        <v>EA/NRW environmental programme wastewater (WINEP/NEP) - Continuous river water quality monitoring (WINEP/NEP) wastewater totex - Total</v>
      </c>
      <c r="D101" t="str">
        <f>F_Inputs!D100</f>
        <v>£m</v>
      </c>
      <c r="E101" t="str">
        <f>F_Inputs!E100</f>
        <v>Price Review 2024</v>
      </c>
      <c r="F101">
        <f>F_Inputs!F100</f>
        <v>0</v>
      </c>
      <c r="G101">
        <f>F_Inputs!G100</f>
        <v>0</v>
      </c>
      <c r="H101">
        <f>F_Inputs!H100</f>
        <v>16.802</v>
      </c>
      <c r="I101">
        <f>F_Inputs!I100</f>
        <v>18.088999999999999</v>
      </c>
      <c r="J101">
        <f>F_Inputs!J100</f>
        <v>6.0679999999999996</v>
      </c>
      <c r="K101">
        <f>F_Inputs!K100</f>
        <v>5.77</v>
      </c>
      <c r="L101">
        <f>F_Inputs!L100</f>
        <v>6.2569999999999997</v>
      </c>
      <c r="M101" t="str">
        <f>F_Inputs!M100</f>
        <v/>
      </c>
      <c r="O101" s="84" t="str">
        <f t="shared" si="21"/>
        <v>CWW3_0</v>
      </c>
      <c r="P101" s="32">
        <f t="shared" si="22"/>
        <v>0</v>
      </c>
      <c r="Q101" s="32">
        <f t="shared" si="23"/>
        <v>0</v>
      </c>
      <c r="R101" s="32">
        <f t="shared" si="15"/>
        <v>16.802</v>
      </c>
      <c r="S101" s="32">
        <f t="shared" si="16"/>
        <v>18.088999999999999</v>
      </c>
      <c r="T101" s="32">
        <f t="shared" si="17"/>
        <v>6.0679999999999996</v>
      </c>
      <c r="U101" s="32">
        <f t="shared" si="18"/>
        <v>5.77</v>
      </c>
      <c r="V101" s="32">
        <f t="shared" si="19"/>
        <v>6.2569999999999997</v>
      </c>
      <c r="W101" s="32" t="str">
        <f t="shared" si="20"/>
        <v/>
      </c>
    </row>
    <row r="102" spans="1:23">
      <c r="A102" t="str">
        <f>F_Inputs!A101</f>
        <v>TMS</v>
      </c>
      <c r="B102" t="str">
        <f>F_Inputs!B101</f>
        <v>CWW20_049_PR24</v>
      </c>
      <c r="C102" t="str">
        <f>F_Inputs!C101</f>
        <v>Network / Storm overflow data - Number of continuous water quality monitor installations</v>
      </c>
      <c r="D102" t="str">
        <f>F_Inputs!D101</f>
        <v>nr</v>
      </c>
      <c r="E102" t="str">
        <f>F_Inputs!E101</f>
        <v>Price Review 2024</v>
      </c>
      <c r="F102">
        <f>F_Inputs!F101</f>
        <v>0</v>
      </c>
      <c r="G102">
        <f>F_Inputs!G101</f>
        <v>0</v>
      </c>
      <c r="H102">
        <f>F_Inputs!H101</f>
        <v>63</v>
      </c>
      <c r="I102">
        <f>F_Inputs!I101</f>
        <v>63</v>
      </c>
      <c r="J102">
        <f>F_Inputs!J101</f>
        <v>63</v>
      </c>
      <c r="K102">
        <f>F_Inputs!K101</f>
        <v>63</v>
      </c>
      <c r="L102">
        <f>F_Inputs!L101</f>
        <v>62</v>
      </c>
      <c r="M102" t="str">
        <f>F_Inputs!M101</f>
        <v/>
      </c>
      <c r="O102" s="84" t="str">
        <f t="shared" si="21"/>
        <v>CWW20_</v>
      </c>
      <c r="P102" s="32">
        <f t="shared" si="22"/>
        <v>0</v>
      </c>
      <c r="Q102" s="32">
        <f t="shared" si="23"/>
        <v>0</v>
      </c>
      <c r="R102" s="32">
        <f t="shared" si="15"/>
        <v>63</v>
      </c>
      <c r="S102" s="32">
        <f t="shared" si="16"/>
        <v>63</v>
      </c>
      <c r="T102" s="32">
        <f t="shared" si="17"/>
        <v>63</v>
      </c>
      <c r="U102" s="32">
        <f t="shared" si="18"/>
        <v>63</v>
      </c>
      <c r="V102" s="32">
        <f t="shared" si="19"/>
        <v>62</v>
      </c>
      <c r="W102" s="32" t="str">
        <f t="shared" si="20"/>
        <v/>
      </c>
    </row>
    <row r="103" spans="1:23">
      <c r="A103" t="str">
        <f>F_Inputs!A102</f>
        <v>TMS</v>
      </c>
      <c r="B103" t="str">
        <f>F_Inputs!B102</f>
        <v>CWW1A_015TOT_PR24</v>
      </c>
      <c r="C103" t="str">
        <f>F_Inputs!C102</f>
        <v>Net totex - Total</v>
      </c>
      <c r="D103" t="str">
        <f>F_Inputs!D102</f>
        <v>£m</v>
      </c>
      <c r="E103" t="str">
        <f>F_Inputs!E102</f>
        <v>Price Review 2024</v>
      </c>
      <c r="F103">
        <f>F_Inputs!F102</f>
        <v>1425.7782618595811</v>
      </c>
      <c r="G103">
        <f>F_Inputs!G102</f>
        <v>1440.7370000000001</v>
      </c>
      <c r="H103">
        <f>F_Inputs!H102</f>
        <v>2156.088348550431</v>
      </c>
      <c r="I103">
        <f>F_Inputs!I102</f>
        <v>2269.5018217217062</v>
      </c>
      <c r="J103">
        <f>F_Inputs!J102</f>
        <v>2162.2729400750991</v>
      </c>
      <c r="K103">
        <f>F_Inputs!K102</f>
        <v>2632.1222877084529</v>
      </c>
      <c r="L103">
        <f>F_Inputs!L102</f>
        <v>3555.488399766793</v>
      </c>
      <c r="M103" t="str">
        <f>F_Inputs!M102</f>
        <v/>
      </c>
      <c r="O103" s="84" t="str">
        <f t="shared" si="21"/>
        <v>CWW1A_</v>
      </c>
      <c r="P103" s="32">
        <f t="shared" si="22"/>
        <v>0</v>
      </c>
      <c r="Q103" s="32">
        <f t="shared" si="23"/>
        <v>0</v>
      </c>
      <c r="R103" s="32">
        <f t="shared" si="15"/>
        <v>2156.088348550431</v>
      </c>
      <c r="S103" s="32">
        <f t="shared" si="16"/>
        <v>2269.5018217217062</v>
      </c>
      <c r="T103" s="32">
        <f t="shared" si="17"/>
        <v>2162.2729400750991</v>
      </c>
      <c r="U103" s="32">
        <f t="shared" si="18"/>
        <v>2632.1222877084529</v>
      </c>
      <c r="V103" s="32">
        <f t="shared" si="19"/>
        <v>3555.488399766793</v>
      </c>
      <c r="W103" s="32" t="str">
        <f t="shared" si="20"/>
        <v/>
      </c>
    </row>
    <row r="104" spans="1:23">
      <c r="A104" t="str">
        <f>F_Inputs!A103</f>
        <v>TMS</v>
      </c>
      <c r="B104" t="str">
        <f>F_Inputs!B103</f>
        <v>PR24_NETTOTEX_WASTE</v>
      </c>
      <c r="C104" t="str">
        <f>F_Inputs!C103</f>
        <v>PR24 BP Net totex - Total inc. accelerated &amp; transition costs</v>
      </c>
      <c r="D104" t="str">
        <f>F_Inputs!D103</f>
        <v>£m</v>
      </c>
      <c r="E104" t="str">
        <f>F_Inputs!E103</f>
        <v>Price Review 2024</v>
      </c>
      <c r="F104" t="str">
        <f>F_Inputs!F103</f>
        <v/>
      </c>
      <c r="G104" t="str">
        <f>F_Inputs!G103</f>
        <v/>
      </c>
      <c r="H104" t="str">
        <f>F_Inputs!H103</f>
        <v/>
      </c>
      <c r="I104" t="str">
        <f>F_Inputs!I103</f>
        <v/>
      </c>
      <c r="J104" t="str">
        <f>F_Inputs!J103</f>
        <v/>
      </c>
      <c r="K104" t="str">
        <f>F_Inputs!K103</f>
        <v/>
      </c>
      <c r="L104" t="str">
        <f>F_Inputs!L103</f>
        <v/>
      </c>
      <c r="M104">
        <f>F_Inputs!M103</f>
        <v>12775.473797822482</v>
      </c>
      <c r="O104" s="84" t="str">
        <f t="shared" si="21"/>
        <v>PR24_N</v>
      </c>
      <c r="P104" s="32">
        <f t="shared" si="22"/>
        <v>0</v>
      </c>
      <c r="Q104" s="32">
        <f t="shared" si="23"/>
        <v>0</v>
      </c>
      <c r="R104" s="32" t="str">
        <f t="shared" ref="R104:R135" si="24">IF(OR($O104="CWW3_0",$O104="CWW3_1", $O104= "CWW20_",$O104="CWW1A_",$O104="PR24_N"),H104,0)</f>
        <v/>
      </c>
      <c r="S104" s="32" t="str">
        <f t="shared" ref="S104:S135" si="25">IF(OR($O104="CWW3_0",$O104="CWW3_1", $O104= "CWW20_",$O104="CWW1A_",$O104="PR24_N"),I104,0)</f>
        <v/>
      </c>
      <c r="T104" s="32" t="str">
        <f t="shared" ref="T104:T135" si="26">IF(OR($O104="CWW3_0",$O104="CWW3_1", $O104= "CWW20_",$O104="CWW1A_",$O104="PR24_N"),J104,0)</f>
        <v/>
      </c>
      <c r="U104" s="32" t="str">
        <f t="shared" ref="U104:U135" si="27">IF(OR($O104="CWW3_0",$O104="CWW3_1", $O104= "CWW20_",$O104="CWW1A_",$O104="PR24_N"),K104,0)</f>
        <v/>
      </c>
      <c r="V104" s="32" t="str">
        <f t="shared" ref="V104:V135" si="28">IF(OR($O104="CWW3_0",$O104="CWW3_1", $O104= "CWW20_",$O104="CWW1A_",$O104="PR24_N"),L104,0)</f>
        <v/>
      </c>
      <c r="W104" s="32">
        <f t="shared" ref="W104:W135" si="29">IF(OR($O104="CWW3_0",$O104="CWW3_1", $O104= "CWW20_",$O104="CWW1A_",$O104="PR24_N"),M104,0)</f>
        <v>12775.473797822482</v>
      </c>
    </row>
    <row r="105" spans="1:23">
      <c r="A105" t="str">
        <f>F_Inputs!A104</f>
        <v>TMS</v>
      </c>
      <c r="B105" t="str">
        <f>F_Inputs!B104</f>
        <v>CWW12_007TOT_PR24</v>
      </c>
      <c r="C105" t="str">
        <f>F_Inputs!C104</f>
        <v>EA/NRW environmental programme wastewater (WINEP/NEP) - Continuous river water quality monitoring (WINEP/NEP) wastewater capex - Total</v>
      </c>
      <c r="D105" t="str">
        <f>F_Inputs!D104</f>
        <v>£m</v>
      </c>
      <c r="E105" t="str">
        <f>F_Inputs!E104</f>
        <v>Price Review 2024</v>
      </c>
      <c r="F105">
        <f>F_Inputs!F104</f>
        <v>0</v>
      </c>
      <c r="G105">
        <f>F_Inputs!G104</f>
        <v>0</v>
      </c>
      <c r="H105" t="str">
        <f>F_Inputs!H104</f>
        <v/>
      </c>
      <c r="I105" t="str">
        <f>F_Inputs!I104</f>
        <v/>
      </c>
      <c r="J105" t="str">
        <f>F_Inputs!J104</f>
        <v/>
      </c>
      <c r="K105" t="str">
        <f>F_Inputs!K104</f>
        <v/>
      </c>
      <c r="L105" t="str">
        <f>F_Inputs!L104</f>
        <v/>
      </c>
      <c r="M105" t="str">
        <f>F_Inputs!M104</f>
        <v/>
      </c>
      <c r="O105" s="84" t="str">
        <f t="shared" si="21"/>
        <v>CWW12_</v>
      </c>
      <c r="P105" s="32">
        <f t="shared" si="22"/>
        <v>0</v>
      </c>
      <c r="Q105" s="32">
        <f t="shared" si="23"/>
        <v>0</v>
      </c>
      <c r="R105" s="32">
        <f t="shared" si="24"/>
        <v>0</v>
      </c>
      <c r="S105" s="32">
        <f t="shared" si="25"/>
        <v>0</v>
      </c>
      <c r="T105" s="32">
        <f t="shared" si="26"/>
        <v>0</v>
      </c>
      <c r="U105" s="32">
        <f t="shared" si="27"/>
        <v>0</v>
      </c>
      <c r="V105" s="32">
        <f t="shared" si="28"/>
        <v>0</v>
      </c>
      <c r="W105" s="32">
        <f t="shared" si="29"/>
        <v>0</v>
      </c>
    </row>
    <row r="106" spans="1:23">
      <c r="A106" t="str">
        <f>F_Inputs!A105</f>
        <v>TMS</v>
      </c>
      <c r="B106" t="str">
        <f>F_Inputs!B105</f>
        <v>CWW12_008TOT_PR24</v>
      </c>
      <c r="C106" t="str">
        <f>F_Inputs!C105</f>
        <v>EA/NRW environmental programme wastewater (WINEP/NEP) - Continuous river water quality monitoring (WINEP/NEP) wastewater opex - Total</v>
      </c>
      <c r="D106" t="str">
        <f>F_Inputs!D105</f>
        <v>£m</v>
      </c>
      <c r="E106" t="str">
        <f>F_Inputs!E105</f>
        <v>Price Review 2024</v>
      </c>
      <c r="F106">
        <f>F_Inputs!F105</f>
        <v>0</v>
      </c>
      <c r="G106">
        <f>F_Inputs!G105</f>
        <v>0</v>
      </c>
      <c r="H106" t="str">
        <f>F_Inputs!H105</f>
        <v/>
      </c>
      <c r="I106" t="str">
        <f>F_Inputs!I105</f>
        <v/>
      </c>
      <c r="J106" t="str">
        <f>F_Inputs!J105</f>
        <v/>
      </c>
      <c r="K106" t="str">
        <f>F_Inputs!K105</f>
        <v/>
      </c>
      <c r="L106" t="str">
        <f>F_Inputs!L105</f>
        <v/>
      </c>
      <c r="M106" t="str">
        <f>F_Inputs!M105</f>
        <v/>
      </c>
      <c r="O106" s="84" t="str">
        <f t="shared" si="21"/>
        <v>CWW12_</v>
      </c>
      <c r="P106" s="32">
        <f t="shared" si="22"/>
        <v>0</v>
      </c>
      <c r="Q106" s="32">
        <f t="shared" si="23"/>
        <v>0</v>
      </c>
      <c r="R106" s="32">
        <f t="shared" si="24"/>
        <v>0</v>
      </c>
      <c r="S106" s="32">
        <f t="shared" si="25"/>
        <v>0</v>
      </c>
      <c r="T106" s="32">
        <f t="shared" si="26"/>
        <v>0</v>
      </c>
      <c r="U106" s="32">
        <f t="shared" si="27"/>
        <v>0</v>
      </c>
      <c r="V106" s="32">
        <f t="shared" si="28"/>
        <v>0</v>
      </c>
      <c r="W106" s="32">
        <f t="shared" si="29"/>
        <v>0</v>
      </c>
    </row>
    <row r="107" spans="1:23">
      <c r="A107" t="str">
        <f>F_Inputs!A106</f>
        <v>TMS</v>
      </c>
      <c r="B107" t="str">
        <f>F_Inputs!B106</f>
        <v>CWW12_009TOT_PR24</v>
      </c>
      <c r="C107" t="str">
        <f>F_Inputs!C106</f>
        <v>EA/NRW environmental programme wastewater (WINEP/NEP) - Continuous river water quality monitoring (WINEP/NEP) wastewater totex - Total</v>
      </c>
      <c r="D107" t="str">
        <f>F_Inputs!D106</f>
        <v>£m</v>
      </c>
      <c r="E107" t="str">
        <f>F_Inputs!E106</f>
        <v>Price Review 2024</v>
      </c>
      <c r="F107">
        <f>F_Inputs!F106</f>
        <v>0</v>
      </c>
      <c r="G107">
        <f>F_Inputs!G106</f>
        <v>0</v>
      </c>
      <c r="H107" t="str">
        <f>F_Inputs!H106</f>
        <v/>
      </c>
      <c r="I107" t="str">
        <f>F_Inputs!I106</f>
        <v/>
      </c>
      <c r="J107" t="str">
        <f>F_Inputs!J106</f>
        <v/>
      </c>
      <c r="K107" t="str">
        <f>F_Inputs!K106</f>
        <v/>
      </c>
      <c r="L107" t="str">
        <f>F_Inputs!L106</f>
        <v/>
      </c>
      <c r="M107" t="str">
        <f>F_Inputs!M106</f>
        <v/>
      </c>
      <c r="O107" s="84" t="str">
        <f t="shared" si="21"/>
        <v>CWW12_</v>
      </c>
      <c r="P107" s="32">
        <f t="shared" si="22"/>
        <v>0</v>
      </c>
      <c r="Q107" s="32">
        <f t="shared" si="23"/>
        <v>0</v>
      </c>
      <c r="R107" s="32">
        <f t="shared" si="24"/>
        <v>0</v>
      </c>
      <c r="S107" s="32">
        <f t="shared" si="25"/>
        <v>0</v>
      </c>
      <c r="T107" s="32">
        <f t="shared" si="26"/>
        <v>0</v>
      </c>
      <c r="U107" s="32">
        <f t="shared" si="27"/>
        <v>0</v>
      </c>
      <c r="V107" s="32">
        <f t="shared" si="28"/>
        <v>0</v>
      </c>
      <c r="W107" s="32">
        <f t="shared" si="29"/>
        <v>0</v>
      </c>
    </row>
    <row r="108" spans="1:23">
      <c r="A108" t="str">
        <f>F_Inputs!A107</f>
        <v>TMS</v>
      </c>
      <c r="B108" t="str">
        <f>F_Inputs!B107</f>
        <v>CWW17_007TOT_PR24</v>
      </c>
      <c r="C108" t="str">
        <f>F_Inputs!C107</f>
        <v>EA/NRW environmental programme wastewater (WINEP/NEP) - Continuous river water quality monitoring (WINEP/NEP) wastewater capex - Total</v>
      </c>
      <c r="D108" t="str">
        <f>F_Inputs!D107</f>
        <v>£m</v>
      </c>
      <c r="E108" t="str">
        <f>F_Inputs!E107</f>
        <v>Price Review 2024</v>
      </c>
      <c r="F108">
        <f>F_Inputs!F107</f>
        <v>0</v>
      </c>
      <c r="G108">
        <f>F_Inputs!G107</f>
        <v>0</v>
      </c>
      <c r="H108">
        <f>F_Inputs!H107</f>
        <v>0</v>
      </c>
      <c r="I108">
        <f>F_Inputs!I107</f>
        <v>0</v>
      </c>
      <c r="J108">
        <f>F_Inputs!J107</f>
        <v>0</v>
      </c>
      <c r="K108">
        <f>F_Inputs!K107</f>
        <v>0</v>
      </c>
      <c r="L108">
        <f>F_Inputs!L107</f>
        <v>0</v>
      </c>
      <c r="M108" t="str">
        <f>F_Inputs!M107</f>
        <v/>
      </c>
      <c r="O108" s="84" t="str">
        <f t="shared" si="21"/>
        <v>CWW17_</v>
      </c>
      <c r="P108" s="32">
        <f t="shared" si="22"/>
        <v>0</v>
      </c>
      <c r="Q108" s="32">
        <f t="shared" si="23"/>
        <v>0</v>
      </c>
      <c r="R108" s="32">
        <f t="shared" si="24"/>
        <v>0</v>
      </c>
      <c r="S108" s="32">
        <f t="shared" si="25"/>
        <v>0</v>
      </c>
      <c r="T108" s="32">
        <f t="shared" si="26"/>
        <v>0</v>
      </c>
      <c r="U108" s="32">
        <f t="shared" si="27"/>
        <v>0</v>
      </c>
      <c r="V108" s="32">
        <f t="shared" si="28"/>
        <v>0</v>
      </c>
      <c r="W108" s="32">
        <f t="shared" si="29"/>
        <v>0</v>
      </c>
    </row>
    <row r="109" spans="1:23">
      <c r="A109" t="str">
        <f>F_Inputs!A108</f>
        <v>TMS</v>
      </c>
      <c r="B109" t="str">
        <f>F_Inputs!B108</f>
        <v>CWW17_008TOT_PR24</v>
      </c>
      <c r="C109" t="str">
        <f>F_Inputs!C108</f>
        <v>EA/NRW environmental programme wastewater (WINEP/NEP) - Continuous river water quality monitoring (WINEP/NEP) wastewater opex - Total</v>
      </c>
      <c r="D109" t="str">
        <f>F_Inputs!D108</f>
        <v>£m</v>
      </c>
      <c r="E109" t="str">
        <f>F_Inputs!E108</f>
        <v>Price Review 2024</v>
      </c>
      <c r="F109">
        <f>F_Inputs!F108</f>
        <v>0</v>
      </c>
      <c r="G109">
        <f>F_Inputs!G108</f>
        <v>0</v>
      </c>
      <c r="H109">
        <f>F_Inputs!H108</f>
        <v>0</v>
      </c>
      <c r="I109">
        <f>F_Inputs!I108</f>
        <v>0</v>
      </c>
      <c r="J109">
        <f>F_Inputs!J108</f>
        <v>0</v>
      </c>
      <c r="K109">
        <f>F_Inputs!K108</f>
        <v>0</v>
      </c>
      <c r="L109">
        <f>F_Inputs!L108</f>
        <v>0</v>
      </c>
      <c r="M109" t="str">
        <f>F_Inputs!M108</f>
        <v/>
      </c>
      <c r="O109" s="84" t="str">
        <f t="shared" si="21"/>
        <v>CWW17_</v>
      </c>
      <c r="P109" s="32">
        <f t="shared" si="22"/>
        <v>0</v>
      </c>
      <c r="Q109" s="32">
        <f t="shared" si="23"/>
        <v>0</v>
      </c>
      <c r="R109" s="32">
        <f t="shared" si="24"/>
        <v>0</v>
      </c>
      <c r="S109" s="32">
        <f t="shared" si="25"/>
        <v>0</v>
      </c>
      <c r="T109" s="32">
        <f t="shared" si="26"/>
        <v>0</v>
      </c>
      <c r="U109" s="32">
        <f t="shared" si="27"/>
        <v>0</v>
      </c>
      <c r="V109" s="32">
        <f t="shared" si="28"/>
        <v>0</v>
      </c>
      <c r="W109" s="32">
        <f t="shared" si="29"/>
        <v>0</v>
      </c>
    </row>
    <row r="110" spans="1:23">
      <c r="A110" t="str">
        <f>F_Inputs!A109</f>
        <v>TMS</v>
      </c>
      <c r="B110" t="str">
        <f>F_Inputs!B109</f>
        <v>CWW17_009TOT_PR24</v>
      </c>
      <c r="C110" t="str">
        <f>F_Inputs!C109</f>
        <v>EA/NRW environmental programme wastewater (WINEP/NEP) - Continuous river water quality monitoring (WINEP/NEP) wastewater totex - Total</v>
      </c>
      <c r="D110" t="str">
        <f>F_Inputs!D109</f>
        <v>£m</v>
      </c>
      <c r="E110" t="str">
        <f>F_Inputs!E109</f>
        <v>Price Review 2024</v>
      </c>
      <c r="F110">
        <f>F_Inputs!F109</f>
        <v>0</v>
      </c>
      <c r="G110">
        <f>F_Inputs!G109</f>
        <v>0</v>
      </c>
      <c r="H110">
        <f>F_Inputs!H109</f>
        <v>0</v>
      </c>
      <c r="I110">
        <f>F_Inputs!I109</f>
        <v>0</v>
      </c>
      <c r="J110">
        <f>F_Inputs!J109</f>
        <v>0</v>
      </c>
      <c r="K110">
        <f>F_Inputs!K109</f>
        <v>0</v>
      </c>
      <c r="L110">
        <f>F_Inputs!L109</f>
        <v>0</v>
      </c>
      <c r="M110" t="str">
        <f>F_Inputs!M109</f>
        <v/>
      </c>
      <c r="O110" s="84" t="str">
        <f t="shared" si="21"/>
        <v>CWW17_</v>
      </c>
      <c r="P110" s="32">
        <f t="shared" si="22"/>
        <v>0</v>
      </c>
      <c r="Q110" s="32">
        <f t="shared" si="23"/>
        <v>0</v>
      </c>
      <c r="R110" s="32">
        <f t="shared" si="24"/>
        <v>0</v>
      </c>
      <c r="S110" s="32">
        <f t="shared" si="25"/>
        <v>0</v>
      </c>
      <c r="T110" s="32">
        <f t="shared" si="26"/>
        <v>0</v>
      </c>
      <c r="U110" s="32">
        <f t="shared" si="27"/>
        <v>0</v>
      </c>
      <c r="V110" s="32">
        <f t="shared" si="28"/>
        <v>0</v>
      </c>
      <c r="W110" s="32">
        <f t="shared" si="29"/>
        <v>0</v>
      </c>
    </row>
    <row r="111" spans="1:23">
      <c r="A111" t="str">
        <f>F_Inputs!A110</f>
        <v>TMS</v>
      </c>
      <c r="B111" t="str">
        <f>F_Inputs!B110</f>
        <v>CWW20A_049_PR24</v>
      </c>
      <c r="C111" t="str">
        <f>F_Inputs!C110</f>
        <v>Network / Storm overflow data - Number of continuous water quality monitor installations</v>
      </c>
      <c r="D111" t="str">
        <f>F_Inputs!D110</f>
        <v>nr</v>
      </c>
      <c r="E111" t="str">
        <f>F_Inputs!E110</f>
        <v>Price Review 2024</v>
      </c>
      <c r="F111" t="str">
        <f>F_Inputs!F110</f>
        <v/>
      </c>
      <c r="G111" t="str">
        <f>F_Inputs!G110</f>
        <v/>
      </c>
      <c r="H111" t="str">
        <f>F_Inputs!H110</f>
        <v/>
      </c>
      <c r="I111" t="str">
        <f>F_Inputs!I110</f>
        <v/>
      </c>
      <c r="J111" t="str">
        <f>F_Inputs!J110</f>
        <v/>
      </c>
      <c r="K111" t="str">
        <f>F_Inputs!K110</f>
        <v/>
      </c>
      <c r="L111" t="str">
        <f>F_Inputs!L110</f>
        <v/>
      </c>
      <c r="M111" t="str">
        <f>F_Inputs!M110</f>
        <v/>
      </c>
      <c r="O111" s="84" t="str">
        <f t="shared" si="21"/>
        <v>CWW20A</v>
      </c>
      <c r="P111" s="32" t="str">
        <f t="shared" si="22"/>
        <v/>
      </c>
      <c r="Q111" s="32" t="str">
        <f t="shared" si="23"/>
        <v/>
      </c>
      <c r="R111" s="32">
        <f t="shared" si="24"/>
        <v>0</v>
      </c>
      <c r="S111" s="32">
        <f t="shared" si="25"/>
        <v>0</v>
      </c>
      <c r="T111" s="32">
        <f t="shared" si="26"/>
        <v>0</v>
      </c>
      <c r="U111" s="32">
        <f t="shared" si="27"/>
        <v>0</v>
      </c>
      <c r="V111" s="32">
        <f t="shared" si="28"/>
        <v>0</v>
      </c>
      <c r="W111" s="32">
        <f t="shared" si="29"/>
        <v>0</v>
      </c>
    </row>
    <row r="112" spans="1:23">
      <c r="A112" t="str">
        <f>F_Inputs!A111</f>
        <v>NWT</v>
      </c>
      <c r="B112" t="str">
        <f>F_Inputs!B111</f>
        <v>CWW3_007TOT_PR24</v>
      </c>
      <c r="C112" t="str">
        <f>F_Inputs!C111</f>
        <v>EA/NRW environmental programme wastewater (WINEP/NEP) - Continuous river water quality monitoring (WINEP/NEP) wastewater capex - Total</v>
      </c>
      <c r="D112" t="str">
        <f>F_Inputs!D111</f>
        <v>£m</v>
      </c>
      <c r="E112" t="str">
        <f>F_Inputs!E111</f>
        <v>Price Review 2024</v>
      </c>
      <c r="F112">
        <f>F_Inputs!F111</f>
        <v>5.3045270647081554E-3</v>
      </c>
      <c r="G112">
        <f>F_Inputs!G111</f>
        <v>6.8595941985444431E-3</v>
      </c>
      <c r="H112">
        <f>F_Inputs!H111</f>
        <v>15.435637619025091</v>
      </c>
      <c r="I112">
        <f>F_Inputs!I111</f>
        <v>15.70148092064675</v>
      </c>
      <c r="J112">
        <f>F_Inputs!J111</f>
        <v>15.58367351202409</v>
      </c>
      <c r="K112">
        <f>F_Inputs!K111</f>
        <v>15.826570619297771</v>
      </c>
      <c r="L112">
        <f>F_Inputs!L111</f>
        <v>15.777759122782401</v>
      </c>
      <c r="M112" t="str">
        <f>F_Inputs!M111</f>
        <v/>
      </c>
      <c r="O112" s="84" t="str">
        <f t="shared" si="21"/>
        <v>CWW3_0</v>
      </c>
      <c r="P112" s="32">
        <f t="shared" si="22"/>
        <v>0</v>
      </c>
      <c r="Q112" s="32">
        <f t="shared" si="23"/>
        <v>0</v>
      </c>
      <c r="R112" s="32">
        <f t="shared" si="24"/>
        <v>15.435637619025091</v>
      </c>
      <c r="S112" s="32">
        <f t="shared" si="25"/>
        <v>15.70148092064675</v>
      </c>
      <c r="T112" s="32">
        <f t="shared" si="26"/>
        <v>15.58367351202409</v>
      </c>
      <c r="U112" s="32">
        <f t="shared" si="27"/>
        <v>15.826570619297771</v>
      </c>
      <c r="V112" s="32">
        <f t="shared" si="28"/>
        <v>15.777759122782401</v>
      </c>
      <c r="W112" s="32" t="str">
        <f t="shared" si="29"/>
        <v/>
      </c>
    </row>
    <row r="113" spans="1:23">
      <c r="A113" t="str">
        <f>F_Inputs!A112</f>
        <v>NWT</v>
      </c>
      <c r="B113" t="str">
        <f>F_Inputs!B112</f>
        <v>CWW3_008TOT_PR24</v>
      </c>
      <c r="C113" t="str">
        <f>F_Inputs!C112</f>
        <v>EA/NRW environmental programme wastewater (WINEP/NEP) - Continuous river water quality monitoring (WINEP/NEP) wastewater opex - Total</v>
      </c>
      <c r="D113" t="str">
        <f>F_Inputs!D112</f>
        <v>£m</v>
      </c>
      <c r="E113" t="str">
        <f>F_Inputs!E112</f>
        <v>Price Review 2024</v>
      </c>
      <c r="F113">
        <f>F_Inputs!F112</f>
        <v>0</v>
      </c>
      <c r="G113">
        <f>F_Inputs!G112</f>
        <v>0</v>
      </c>
      <c r="H113">
        <f>F_Inputs!H112</f>
        <v>0</v>
      </c>
      <c r="I113">
        <f>F_Inputs!I112</f>
        <v>0.64911110014635798</v>
      </c>
      <c r="J113">
        <f>F_Inputs!J112</f>
        <v>1.288481705494434</v>
      </c>
      <c r="K113">
        <f>F_Inputs!K112</f>
        <v>1.962847208773969</v>
      </c>
      <c r="L113">
        <f>F_Inputs!L112</f>
        <v>2.6090579949223458</v>
      </c>
      <c r="M113" t="str">
        <f>F_Inputs!M112</f>
        <v/>
      </c>
      <c r="O113" s="84" t="str">
        <f t="shared" si="21"/>
        <v>CWW3_0</v>
      </c>
      <c r="P113" s="32">
        <f t="shared" si="22"/>
        <v>0</v>
      </c>
      <c r="Q113" s="32">
        <f t="shared" si="23"/>
        <v>0</v>
      </c>
      <c r="R113" s="32">
        <f t="shared" si="24"/>
        <v>0</v>
      </c>
      <c r="S113" s="32">
        <f t="shared" si="25"/>
        <v>0.64911110014635798</v>
      </c>
      <c r="T113" s="32">
        <f t="shared" si="26"/>
        <v>1.288481705494434</v>
      </c>
      <c r="U113" s="32">
        <f t="shared" si="27"/>
        <v>1.962847208773969</v>
      </c>
      <c r="V113" s="32">
        <f t="shared" si="28"/>
        <v>2.6090579949223458</v>
      </c>
      <c r="W113" s="32" t="str">
        <f t="shared" si="29"/>
        <v/>
      </c>
    </row>
    <row r="114" spans="1:23">
      <c r="A114" t="str">
        <f>F_Inputs!A113</f>
        <v>NWT</v>
      </c>
      <c r="B114" t="str">
        <f>F_Inputs!B113</f>
        <v>CWW3_009TOT_PR24</v>
      </c>
      <c r="C114" t="str">
        <f>F_Inputs!C113</f>
        <v>EA/NRW environmental programme wastewater (WINEP/NEP) - Continuous river water quality monitoring (WINEP/NEP) wastewater totex - Total</v>
      </c>
      <c r="D114" t="str">
        <f>F_Inputs!D113</f>
        <v>£m</v>
      </c>
      <c r="E114" t="str">
        <f>F_Inputs!E113</f>
        <v>Price Review 2024</v>
      </c>
      <c r="F114">
        <f>F_Inputs!F113</f>
        <v>5.3045270647081554E-3</v>
      </c>
      <c r="G114">
        <f>F_Inputs!G113</f>
        <v>6.8595941985444431E-3</v>
      </c>
      <c r="H114">
        <f>F_Inputs!H113</f>
        <v>15.435637619025091</v>
      </c>
      <c r="I114">
        <f>F_Inputs!I113</f>
        <v>16.350592020793108</v>
      </c>
      <c r="J114">
        <f>F_Inputs!J113</f>
        <v>16.872155217518529</v>
      </c>
      <c r="K114">
        <f>F_Inputs!K113</f>
        <v>17.789417828071741</v>
      </c>
      <c r="L114">
        <f>F_Inputs!L113</f>
        <v>18.386817117704751</v>
      </c>
      <c r="M114" t="str">
        <f>F_Inputs!M113</f>
        <v/>
      </c>
      <c r="O114" s="84" t="str">
        <f t="shared" si="21"/>
        <v>CWW3_0</v>
      </c>
      <c r="P114" s="32">
        <f t="shared" si="22"/>
        <v>0</v>
      </c>
      <c r="Q114" s="32">
        <f t="shared" si="23"/>
        <v>0</v>
      </c>
      <c r="R114" s="32">
        <f t="shared" si="24"/>
        <v>15.435637619025091</v>
      </c>
      <c r="S114" s="32">
        <f t="shared" si="25"/>
        <v>16.350592020793108</v>
      </c>
      <c r="T114" s="32">
        <f t="shared" si="26"/>
        <v>16.872155217518529</v>
      </c>
      <c r="U114" s="32">
        <f t="shared" si="27"/>
        <v>17.789417828071741</v>
      </c>
      <c r="V114" s="32">
        <f t="shared" si="28"/>
        <v>18.386817117704751</v>
      </c>
      <c r="W114" s="32" t="str">
        <f t="shared" si="29"/>
        <v/>
      </c>
    </row>
    <row r="115" spans="1:23">
      <c r="A115" t="str">
        <f>F_Inputs!A114</f>
        <v>NWT</v>
      </c>
      <c r="B115" t="str">
        <f>F_Inputs!B114</f>
        <v>CWW20_049_PR24</v>
      </c>
      <c r="C115" t="str">
        <f>F_Inputs!C114</f>
        <v>Network / Storm overflow data - Number of continuous water quality monitor installations</v>
      </c>
      <c r="D115" t="str">
        <f>F_Inputs!D114</f>
        <v>nr</v>
      </c>
      <c r="E115" t="str">
        <f>F_Inputs!E114</f>
        <v>Price Review 2024</v>
      </c>
      <c r="F115">
        <f>F_Inputs!F114</f>
        <v>0</v>
      </c>
      <c r="G115">
        <f>F_Inputs!G114</f>
        <v>0</v>
      </c>
      <c r="H115">
        <f>F_Inputs!H114</f>
        <v>120</v>
      </c>
      <c r="I115">
        <f>F_Inputs!I114</f>
        <v>120</v>
      </c>
      <c r="J115">
        <f>F_Inputs!J114</f>
        <v>120</v>
      </c>
      <c r="K115">
        <f>F_Inputs!K114</f>
        <v>120</v>
      </c>
      <c r="L115">
        <f>F_Inputs!L114</f>
        <v>153</v>
      </c>
      <c r="M115" t="str">
        <f>F_Inputs!M114</f>
        <v/>
      </c>
      <c r="O115" s="84" t="str">
        <f t="shared" si="21"/>
        <v>CWW20_</v>
      </c>
      <c r="P115" s="32">
        <f t="shared" si="22"/>
        <v>0</v>
      </c>
      <c r="Q115" s="32">
        <f t="shared" si="23"/>
        <v>0</v>
      </c>
      <c r="R115" s="32">
        <f t="shared" si="24"/>
        <v>120</v>
      </c>
      <c r="S115" s="32">
        <f t="shared" si="25"/>
        <v>120</v>
      </c>
      <c r="T115" s="32">
        <f t="shared" si="26"/>
        <v>120</v>
      </c>
      <c r="U115" s="32">
        <f t="shared" si="27"/>
        <v>120</v>
      </c>
      <c r="V115" s="32">
        <f t="shared" si="28"/>
        <v>153</v>
      </c>
      <c r="W115" s="32" t="str">
        <f t="shared" si="29"/>
        <v/>
      </c>
    </row>
    <row r="116" spans="1:23">
      <c r="A116" t="str">
        <f>F_Inputs!A115</f>
        <v>NWT</v>
      </c>
      <c r="B116" t="str">
        <f>F_Inputs!B115</f>
        <v>CWW1A_015TOT_PR24</v>
      </c>
      <c r="C116" t="str">
        <f>F_Inputs!C115</f>
        <v>Net totex - Total</v>
      </c>
      <c r="D116" t="str">
        <f>F_Inputs!D115</f>
        <v>£m</v>
      </c>
      <c r="E116" t="str">
        <f>F_Inputs!E115</f>
        <v>Price Review 2024</v>
      </c>
      <c r="F116">
        <f>F_Inputs!F115</f>
        <v>887.4940110413653</v>
      </c>
      <c r="G116">
        <f>F_Inputs!G115</f>
        <v>1120.5426626367141</v>
      </c>
      <c r="H116">
        <f>F_Inputs!H115</f>
        <v>1569.795902040561</v>
      </c>
      <c r="I116">
        <f>F_Inputs!I115</f>
        <v>1881.302270640045</v>
      </c>
      <c r="J116">
        <f>F_Inputs!J115</f>
        <v>2189.086577264356</v>
      </c>
      <c r="K116">
        <f>F_Inputs!K115</f>
        <v>1888.0217791000509</v>
      </c>
      <c r="L116">
        <f>F_Inputs!L115</f>
        <v>1139.8668159399281</v>
      </c>
      <c r="M116" t="str">
        <f>F_Inputs!M115</f>
        <v/>
      </c>
      <c r="O116" s="84" t="str">
        <f t="shared" si="21"/>
        <v>CWW1A_</v>
      </c>
      <c r="P116" s="32">
        <f t="shared" si="22"/>
        <v>0</v>
      </c>
      <c r="Q116" s="32">
        <f t="shared" si="23"/>
        <v>0</v>
      </c>
      <c r="R116" s="32">
        <f t="shared" si="24"/>
        <v>1569.795902040561</v>
      </c>
      <c r="S116" s="32">
        <f t="shared" si="25"/>
        <v>1881.302270640045</v>
      </c>
      <c r="T116" s="32">
        <f t="shared" si="26"/>
        <v>2189.086577264356</v>
      </c>
      <c r="U116" s="32">
        <f t="shared" si="27"/>
        <v>1888.0217791000509</v>
      </c>
      <c r="V116" s="32">
        <f t="shared" si="28"/>
        <v>1139.8668159399281</v>
      </c>
      <c r="W116" s="32" t="str">
        <f t="shared" si="29"/>
        <v/>
      </c>
    </row>
    <row r="117" spans="1:23">
      <c r="A117" t="str">
        <f>F_Inputs!A116</f>
        <v>NWT</v>
      </c>
      <c r="B117" t="str">
        <f>F_Inputs!B116</f>
        <v>PR24_NETTOTEX_WASTE</v>
      </c>
      <c r="C117" t="str">
        <f>F_Inputs!C116</f>
        <v>PR24 BP Net totex - Total inc. accelerated &amp; transition costs</v>
      </c>
      <c r="D117" t="str">
        <f>F_Inputs!D116</f>
        <v>£m</v>
      </c>
      <c r="E117" t="str">
        <f>F_Inputs!E116</f>
        <v>Price Review 2024</v>
      </c>
      <c r="F117" t="str">
        <f>F_Inputs!F116</f>
        <v/>
      </c>
      <c r="G117" t="str">
        <f>F_Inputs!G116</f>
        <v/>
      </c>
      <c r="H117" t="str">
        <f>F_Inputs!H116</f>
        <v/>
      </c>
      <c r="I117" t="str">
        <f>F_Inputs!I116</f>
        <v/>
      </c>
      <c r="J117" t="str">
        <f>F_Inputs!J116</f>
        <v/>
      </c>
      <c r="K117" t="str">
        <f>F_Inputs!K116</f>
        <v/>
      </c>
      <c r="L117" t="str">
        <f>F_Inputs!L116</f>
        <v/>
      </c>
      <c r="M117">
        <f>F_Inputs!M116</f>
        <v>8993.1795747355063</v>
      </c>
      <c r="O117" s="84" t="str">
        <f t="shared" si="21"/>
        <v>PR24_N</v>
      </c>
      <c r="P117" s="32">
        <f t="shared" si="22"/>
        <v>0</v>
      </c>
      <c r="Q117" s="32">
        <f t="shared" si="23"/>
        <v>0</v>
      </c>
      <c r="R117" s="32" t="str">
        <f t="shared" si="24"/>
        <v/>
      </c>
      <c r="S117" s="32" t="str">
        <f t="shared" si="25"/>
        <v/>
      </c>
      <c r="T117" s="32" t="str">
        <f t="shared" si="26"/>
        <v/>
      </c>
      <c r="U117" s="32" t="str">
        <f t="shared" si="27"/>
        <v/>
      </c>
      <c r="V117" s="32" t="str">
        <f t="shared" si="28"/>
        <v/>
      </c>
      <c r="W117" s="32">
        <f t="shared" si="29"/>
        <v>8993.1795747355063</v>
      </c>
    </row>
    <row r="118" spans="1:23">
      <c r="A118" t="str">
        <f>F_Inputs!A117</f>
        <v>NWT</v>
      </c>
      <c r="B118" t="str">
        <f>F_Inputs!B117</f>
        <v>CWW12_007TOT_PR24</v>
      </c>
      <c r="C118" t="str">
        <f>F_Inputs!C117</f>
        <v>EA/NRW environmental programme wastewater (WINEP/NEP) - Continuous river water quality monitoring (WINEP/NEP) wastewater capex - Total</v>
      </c>
      <c r="D118" t="str">
        <f>F_Inputs!D117</f>
        <v>£m</v>
      </c>
      <c r="E118" t="str">
        <f>F_Inputs!E117</f>
        <v>Price Review 2024</v>
      </c>
      <c r="F118">
        <f>F_Inputs!F117</f>
        <v>0</v>
      </c>
      <c r="G118">
        <f>F_Inputs!G117</f>
        <v>0</v>
      </c>
      <c r="H118" t="str">
        <f>F_Inputs!H117</f>
        <v/>
      </c>
      <c r="I118" t="str">
        <f>F_Inputs!I117</f>
        <v/>
      </c>
      <c r="J118" t="str">
        <f>F_Inputs!J117</f>
        <v/>
      </c>
      <c r="K118" t="str">
        <f>F_Inputs!K117</f>
        <v/>
      </c>
      <c r="L118" t="str">
        <f>F_Inputs!L117</f>
        <v/>
      </c>
      <c r="M118" t="str">
        <f>F_Inputs!M117</f>
        <v/>
      </c>
      <c r="O118" s="84" t="str">
        <f t="shared" si="21"/>
        <v>CWW12_</v>
      </c>
      <c r="P118" s="32">
        <f t="shared" si="22"/>
        <v>0</v>
      </c>
      <c r="Q118" s="32">
        <f t="shared" si="23"/>
        <v>0</v>
      </c>
      <c r="R118" s="32">
        <f t="shared" si="24"/>
        <v>0</v>
      </c>
      <c r="S118" s="32">
        <f t="shared" si="25"/>
        <v>0</v>
      </c>
      <c r="T118" s="32">
        <f t="shared" si="26"/>
        <v>0</v>
      </c>
      <c r="U118" s="32">
        <f t="shared" si="27"/>
        <v>0</v>
      </c>
      <c r="V118" s="32">
        <f t="shared" si="28"/>
        <v>0</v>
      </c>
      <c r="W118" s="32">
        <f t="shared" si="29"/>
        <v>0</v>
      </c>
    </row>
    <row r="119" spans="1:23">
      <c r="A119" t="str">
        <f>F_Inputs!A118</f>
        <v>NWT</v>
      </c>
      <c r="B119" t="str">
        <f>F_Inputs!B118</f>
        <v>CWW12_008TOT_PR24</v>
      </c>
      <c r="C119" t="str">
        <f>F_Inputs!C118</f>
        <v>EA/NRW environmental programme wastewater (WINEP/NEP) - Continuous river water quality monitoring (WINEP/NEP) wastewater opex - Total</v>
      </c>
      <c r="D119" t="str">
        <f>F_Inputs!D118</f>
        <v>£m</v>
      </c>
      <c r="E119" t="str">
        <f>F_Inputs!E118</f>
        <v>Price Review 2024</v>
      </c>
      <c r="F119">
        <f>F_Inputs!F118</f>
        <v>0</v>
      </c>
      <c r="G119">
        <f>F_Inputs!G118</f>
        <v>0</v>
      </c>
      <c r="H119" t="str">
        <f>F_Inputs!H118</f>
        <v/>
      </c>
      <c r="I119" t="str">
        <f>F_Inputs!I118</f>
        <v/>
      </c>
      <c r="J119" t="str">
        <f>F_Inputs!J118</f>
        <v/>
      </c>
      <c r="K119" t="str">
        <f>F_Inputs!K118</f>
        <v/>
      </c>
      <c r="L119" t="str">
        <f>F_Inputs!L118</f>
        <v/>
      </c>
      <c r="M119" t="str">
        <f>F_Inputs!M118</f>
        <v/>
      </c>
      <c r="O119" s="84" t="str">
        <f t="shared" si="21"/>
        <v>CWW12_</v>
      </c>
      <c r="P119" s="32">
        <f t="shared" si="22"/>
        <v>0</v>
      </c>
      <c r="Q119" s="32">
        <f t="shared" si="23"/>
        <v>0</v>
      </c>
      <c r="R119" s="32">
        <f t="shared" si="24"/>
        <v>0</v>
      </c>
      <c r="S119" s="32">
        <f t="shared" si="25"/>
        <v>0</v>
      </c>
      <c r="T119" s="32">
        <f t="shared" si="26"/>
        <v>0</v>
      </c>
      <c r="U119" s="32">
        <f t="shared" si="27"/>
        <v>0</v>
      </c>
      <c r="V119" s="32">
        <f t="shared" si="28"/>
        <v>0</v>
      </c>
      <c r="W119" s="32">
        <f t="shared" si="29"/>
        <v>0</v>
      </c>
    </row>
    <row r="120" spans="1:23">
      <c r="A120" t="str">
        <f>F_Inputs!A119</f>
        <v>NWT</v>
      </c>
      <c r="B120" t="str">
        <f>F_Inputs!B119</f>
        <v>CWW12_009TOT_PR24</v>
      </c>
      <c r="C120" t="str">
        <f>F_Inputs!C119</f>
        <v>EA/NRW environmental programme wastewater (WINEP/NEP) - Continuous river water quality monitoring (WINEP/NEP) wastewater totex - Total</v>
      </c>
      <c r="D120" t="str">
        <f>F_Inputs!D119</f>
        <v>£m</v>
      </c>
      <c r="E120" t="str">
        <f>F_Inputs!E119</f>
        <v>Price Review 2024</v>
      </c>
      <c r="F120">
        <f>F_Inputs!F119</f>
        <v>0</v>
      </c>
      <c r="G120">
        <f>F_Inputs!G119</f>
        <v>0</v>
      </c>
      <c r="H120" t="str">
        <f>F_Inputs!H119</f>
        <v/>
      </c>
      <c r="I120" t="str">
        <f>F_Inputs!I119</f>
        <v/>
      </c>
      <c r="J120" t="str">
        <f>F_Inputs!J119</f>
        <v/>
      </c>
      <c r="K120" t="str">
        <f>F_Inputs!K119</f>
        <v/>
      </c>
      <c r="L120" t="str">
        <f>F_Inputs!L119</f>
        <v/>
      </c>
      <c r="M120" t="str">
        <f>F_Inputs!M119</f>
        <v/>
      </c>
      <c r="O120" s="84" t="str">
        <f t="shared" si="21"/>
        <v>CWW12_</v>
      </c>
      <c r="P120" s="32">
        <f t="shared" si="22"/>
        <v>0</v>
      </c>
      <c r="Q120" s="32">
        <f t="shared" si="23"/>
        <v>0</v>
      </c>
      <c r="R120" s="32">
        <f t="shared" si="24"/>
        <v>0</v>
      </c>
      <c r="S120" s="32">
        <f t="shared" si="25"/>
        <v>0</v>
      </c>
      <c r="T120" s="32">
        <f t="shared" si="26"/>
        <v>0</v>
      </c>
      <c r="U120" s="32">
        <f t="shared" si="27"/>
        <v>0</v>
      </c>
      <c r="V120" s="32">
        <f t="shared" si="28"/>
        <v>0</v>
      </c>
      <c r="W120" s="32">
        <f t="shared" si="29"/>
        <v>0</v>
      </c>
    </row>
    <row r="121" spans="1:23">
      <c r="A121" t="str">
        <f>F_Inputs!A120</f>
        <v>NWT</v>
      </c>
      <c r="B121" t="str">
        <f>F_Inputs!B120</f>
        <v>CWW17_007TOT_PR24</v>
      </c>
      <c r="C121" t="str">
        <f>F_Inputs!C120</f>
        <v>EA/NRW environmental programme wastewater (WINEP/NEP) - Continuous river water quality monitoring (WINEP/NEP) wastewater capex - Total</v>
      </c>
      <c r="D121" t="str">
        <f>F_Inputs!D120</f>
        <v>£m</v>
      </c>
      <c r="E121" t="str">
        <f>F_Inputs!E120</f>
        <v>Price Review 2024</v>
      </c>
      <c r="F121">
        <f>F_Inputs!F120</f>
        <v>0</v>
      </c>
      <c r="G121">
        <f>F_Inputs!G120</f>
        <v>0</v>
      </c>
      <c r="H121">
        <f>F_Inputs!H120</f>
        <v>0</v>
      </c>
      <c r="I121">
        <f>F_Inputs!I120</f>
        <v>0</v>
      </c>
      <c r="J121">
        <f>F_Inputs!J120</f>
        <v>0</v>
      </c>
      <c r="K121">
        <f>F_Inputs!K120</f>
        <v>0</v>
      </c>
      <c r="L121">
        <f>F_Inputs!L120</f>
        <v>0</v>
      </c>
      <c r="M121" t="str">
        <f>F_Inputs!M120</f>
        <v/>
      </c>
      <c r="O121" s="84" t="str">
        <f t="shared" si="21"/>
        <v>CWW17_</v>
      </c>
      <c r="P121" s="32">
        <f t="shared" si="22"/>
        <v>0</v>
      </c>
      <c r="Q121" s="32">
        <f t="shared" si="23"/>
        <v>0</v>
      </c>
      <c r="R121" s="32">
        <f t="shared" si="24"/>
        <v>0</v>
      </c>
      <c r="S121" s="32">
        <f t="shared" si="25"/>
        <v>0</v>
      </c>
      <c r="T121" s="32">
        <f t="shared" si="26"/>
        <v>0</v>
      </c>
      <c r="U121" s="32">
        <f t="shared" si="27"/>
        <v>0</v>
      </c>
      <c r="V121" s="32">
        <f t="shared" si="28"/>
        <v>0</v>
      </c>
      <c r="W121" s="32">
        <f t="shared" si="29"/>
        <v>0</v>
      </c>
    </row>
    <row r="122" spans="1:23">
      <c r="A122" t="str">
        <f>F_Inputs!A121</f>
        <v>NWT</v>
      </c>
      <c r="B122" t="str">
        <f>F_Inputs!B121</f>
        <v>CWW17_008TOT_PR24</v>
      </c>
      <c r="C122" t="str">
        <f>F_Inputs!C121</f>
        <v>EA/NRW environmental programme wastewater (WINEP/NEP) - Continuous river water quality monitoring (WINEP/NEP) wastewater opex - Total</v>
      </c>
      <c r="D122" t="str">
        <f>F_Inputs!D121</f>
        <v>£m</v>
      </c>
      <c r="E122" t="str">
        <f>F_Inputs!E121</f>
        <v>Price Review 2024</v>
      </c>
      <c r="F122">
        <f>F_Inputs!F121</f>
        <v>0</v>
      </c>
      <c r="G122">
        <f>F_Inputs!G121</f>
        <v>0</v>
      </c>
      <c r="H122">
        <f>F_Inputs!H121</f>
        <v>0</v>
      </c>
      <c r="I122">
        <f>F_Inputs!I121</f>
        <v>0</v>
      </c>
      <c r="J122">
        <f>F_Inputs!J121</f>
        <v>0</v>
      </c>
      <c r="K122">
        <f>F_Inputs!K121</f>
        <v>0</v>
      </c>
      <c r="L122">
        <f>F_Inputs!L121</f>
        <v>0</v>
      </c>
      <c r="M122" t="str">
        <f>F_Inputs!M121</f>
        <v/>
      </c>
      <c r="O122" s="84" t="str">
        <f t="shared" si="21"/>
        <v>CWW17_</v>
      </c>
      <c r="P122" s="32">
        <f t="shared" si="22"/>
        <v>0</v>
      </c>
      <c r="Q122" s="32">
        <f t="shared" si="23"/>
        <v>0</v>
      </c>
      <c r="R122" s="32">
        <f t="shared" si="24"/>
        <v>0</v>
      </c>
      <c r="S122" s="32">
        <f t="shared" si="25"/>
        <v>0</v>
      </c>
      <c r="T122" s="32">
        <f t="shared" si="26"/>
        <v>0</v>
      </c>
      <c r="U122" s="32">
        <f t="shared" si="27"/>
        <v>0</v>
      </c>
      <c r="V122" s="32">
        <f t="shared" si="28"/>
        <v>0</v>
      </c>
      <c r="W122" s="32">
        <f t="shared" si="29"/>
        <v>0</v>
      </c>
    </row>
    <row r="123" spans="1:23">
      <c r="A123" t="str">
        <f>F_Inputs!A122</f>
        <v>NWT</v>
      </c>
      <c r="B123" t="str">
        <f>F_Inputs!B122</f>
        <v>CWW17_009TOT_PR24</v>
      </c>
      <c r="C123" t="str">
        <f>F_Inputs!C122</f>
        <v>EA/NRW environmental programme wastewater (WINEP/NEP) - Continuous river water quality monitoring (WINEP/NEP) wastewater totex - Total</v>
      </c>
      <c r="D123" t="str">
        <f>F_Inputs!D122</f>
        <v>£m</v>
      </c>
      <c r="E123" t="str">
        <f>F_Inputs!E122</f>
        <v>Price Review 2024</v>
      </c>
      <c r="F123">
        <f>F_Inputs!F122</f>
        <v>0</v>
      </c>
      <c r="G123">
        <f>F_Inputs!G122</f>
        <v>0</v>
      </c>
      <c r="H123">
        <f>F_Inputs!H122</f>
        <v>0</v>
      </c>
      <c r="I123">
        <f>F_Inputs!I122</f>
        <v>0</v>
      </c>
      <c r="J123">
        <f>F_Inputs!J122</f>
        <v>0</v>
      </c>
      <c r="K123">
        <f>F_Inputs!K122</f>
        <v>0</v>
      </c>
      <c r="L123">
        <f>F_Inputs!L122</f>
        <v>0</v>
      </c>
      <c r="M123" t="str">
        <f>F_Inputs!M122</f>
        <v/>
      </c>
      <c r="O123" s="84" t="str">
        <f t="shared" si="21"/>
        <v>CWW17_</v>
      </c>
      <c r="P123" s="32">
        <f t="shared" si="22"/>
        <v>0</v>
      </c>
      <c r="Q123" s="32">
        <f t="shared" si="23"/>
        <v>0</v>
      </c>
      <c r="R123" s="32">
        <f t="shared" si="24"/>
        <v>0</v>
      </c>
      <c r="S123" s="32">
        <f t="shared" si="25"/>
        <v>0</v>
      </c>
      <c r="T123" s="32">
        <f t="shared" si="26"/>
        <v>0</v>
      </c>
      <c r="U123" s="32">
        <f t="shared" si="27"/>
        <v>0</v>
      </c>
      <c r="V123" s="32">
        <f t="shared" si="28"/>
        <v>0</v>
      </c>
      <c r="W123" s="32">
        <f t="shared" si="29"/>
        <v>0</v>
      </c>
    </row>
    <row r="124" spans="1:23">
      <c r="A124" t="str">
        <f>F_Inputs!A123</f>
        <v>NWT</v>
      </c>
      <c r="B124" t="str">
        <f>F_Inputs!B123</f>
        <v>CWW20A_049_PR24</v>
      </c>
      <c r="C124" t="str">
        <f>F_Inputs!C123</f>
        <v>Network / Storm overflow data - Number of continuous water quality monitor installations</v>
      </c>
      <c r="D124" t="str">
        <f>F_Inputs!D123</f>
        <v>nr</v>
      </c>
      <c r="E124" t="str">
        <f>F_Inputs!E123</f>
        <v>Price Review 2024</v>
      </c>
      <c r="F124">
        <f>F_Inputs!F123</f>
        <v>0</v>
      </c>
      <c r="G124">
        <f>F_Inputs!G123</f>
        <v>0</v>
      </c>
      <c r="H124" t="str">
        <f>F_Inputs!H123</f>
        <v/>
      </c>
      <c r="I124" t="str">
        <f>F_Inputs!I123</f>
        <v/>
      </c>
      <c r="J124" t="str">
        <f>F_Inputs!J123</f>
        <v/>
      </c>
      <c r="K124" t="str">
        <f>F_Inputs!K123</f>
        <v/>
      </c>
      <c r="L124" t="str">
        <f>F_Inputs!L123</f>
        <v/>
      </c>
      <c r="M124" t="str">
        <f>F_Inputs!M123</f>
        <v/>
      </c>
      <c r="O124" s="84" t="str">
        <f t="shared" si="21"/>
        <v>CWW20A</v>
      </c>
      <c r="P124" s="32">
        <f t="shared" si="22"/>
        <v>0</v>
      </c>
      <c r="Q124" s="32">
        <f t="shared" si="23"/>
        <v>0</v>
      </c>
      <c r="R124" s="32">
        <f t="shared" si="24"/>
        <v>0</v>
      </c>
      <c r="S124" s="32">
        <f t="shared" si="25"/>
        <v>0</v>
      </c>
      <c r="T124" s="32">
        <f t="shared" si="26"/>
        <v>0</v>
      </c>
      <c r="U124" s="32">
        <f t="shared" si="27"/>
        <v>0</v>
      </c>
      <c r="V124" s="32">
        <f t="shared" si="28"/>
        <v>0</v>
      </c>
      <c r="W124" s="32">
        <f t="shared" si="29"/>
        <v>0</v>
      </c>
    </row>
    <row r="125" spans="1:23">
      <c r="A125" t="str">
        <f>F_Inputs!A124</f>
        <v>WSX</v>
      </c>
      <c r="B125" t="str">
        <f>F_Inputs!B124</f>
        <v>CWW3_007TOT_PR24</v>
      </c>
      <c r="C125" t="str">
        <f>F_Inputs!C124</f>
        <v>EA/NRW environmental programme wastewater (WINEP/NEP) - Continuous river water quality monitoring (WINEP/NEP) wastewater capex - Total</v>
      </c>
      <c r="D125" t="str">
        <f>F_Inputs!D124</f>
        <v>£m</v>
      </c>
      <c r="E125" t="str">
        <f>F_Inputs!E124</f>
        <v>Price Review 2024</v>
      </c>
      <c r="F125">
        <f>F_Inputs!F124</f>
        <v>0.17294799999999999</v>
      </c>
      <c r="G125">
        <f>F_Inputs!G124</f>
        <v>1.662501</v>
      </c>
      <c r="H125">
        <f>F_Inputs!H124</f>
        <v>9.0309339999999985</v>
      </c>
      <c r="I125">
        <f>F_Inputs!I124</f>
        <v>9.3488150000000001</v>
      </c>
      <c r="J125">
        <f>F_Inputs!J124</f>
        <v>10.235889999999999</v>
      </c>
      <c r="K125">
        <f>F_Inputs!K124</f>
        <v>9.5546430000000004</v>
      </c>
      <c r="L125">
        <f>F_Inputs!L124</f>
        <v>11.518822</v>
      </c>
      <c r="M125" t="str">
        <f>F_Inputs!M124</f>
        <v/>
      </c>
      <c r="O125" s="84" t="str">
        <f t="shared" si="21"/>
        <v>CWW3_0</v>
      </c>
      <c r="P125" s="32">
        <f t="shared" si="22"/>
        <v>0</v>
      </c>
      <c r="Q125" s="32">
        <f t="shared" si="23"/>
        <v>0</v>
      </c>
      <c r="R125" s="32">
        <f t="shared" si="24"/>
        <v>9.0309339999999985</v>
      </c>
      <c r="S125" s="32">
        <f t="shared" si="25"/>
        <v>9.3488150000000001</v>
      </c>
      <c r="T125" s="32">
        <f t="shared" si="26"/>
        <v>10.235889999999999</v>
      </c>
      <c r="U125" s="32">
        <f t="shared" si="27"/>
        <v>9.5546430000000004</v>
      </c>
      <c r="V125" s="32">
        <f t="shared" si="28"/>
        <v>11.518822</v>
      </c>
      <c r="W125" s="32" t="str">
        <f t="shared" si="29"/>
        <v/>
      </c>
    </row>
    <row r="126" spans="1:23">
      <c r="A126" t="str">
        <f>F_Inputs!A125</f>
        <v>WSX</v>
      </c>
      <c r="B126" t="str">
        <f>F_Inputs!B125</f>
        <v>CWW3_008TOT_PR24</v>
      </c>
      <c r="C126" t="str">
        <f>F_Inputs!C125</f>
        <v>EA/NRW environmental programme wastewater (WINEP/NEP) - Continuous river water quality monitoring (WINEP/NEP) wastewater opex - Total</v>
      </c>
      <c r="D126" t="str">
        <f>F_Inputs!D125</f>
        <v>£m</v>
      </c>
      <c r="E126" t="str">
        <f>F_Inputs!E125</f>
        <v>Price Review 2024</v>
      </c>
      <c r="F126">
        <f>F_Inputs!F125</f>
        <v>0</v>
      </c>
      <c r="G126">
        <f>F_Inputs!G125</f>
        <v>0.12524299999999999</v>
      </c>
      <c r="H126">
        <f>F_Inputs!H125</f>
        <v>0.98157799999999995</v>
      </c>
      <c r="I126">
        <f>F_Inputs!I125</f>
        <v>2.3942929999999998</v>
      </c>
      <c r="J126">
        <f>F_Inputs!J125</f>
        <v>2.3160430000000001</v>
      </c>
      <c r="K126">
        <f>F_Inputs!K125</f>
        <v>2.2070690000000002</v>
      </c>
      <c r="L126">
        <f>F_Inputs!L125</f>
        <v>3.0465270000000002</v>
      </c>
      <c r="M126" t="str">
        <f>F_Inputs!M125</f>
        <v/>
      </c>
      <c r="O126" s="84" t="str">
        <f t="shared" si="21"/>
        <v>CWW3_0</v>
      </c>
      <c r="P126" s="32">
        <f t="shared" si="22"/>
        <v>0</v>
      </c>
      <c r="Q126" s="32">
        <f t="shared" si="23"/>
        <v>0</v>
      </c>
      <c r="R126" s="32">
        <f t="shared" si="24"/>
        <v>0.98157799999999995</v>
      </c>
      <c r="S126" s="32">
        <f t="shared" si="25"/>
        <v>2.3942929999999998</v>
      </c>
      <c r="T126" s="32">
        <f t="shared" si="26"/>
        <v>2.3160430000000001</v>
      </c>
      <c r="U126" s="32">
        <f t="shared" si="27"/>
        <v>2.2070690000000002</v>
      </c>
      <c r="V126" s="32">
        <f t="shared" si="28"/>
        <v>3.0465270000000002</v>
      </c>
      <c r="W126" s="32" t="str">
        <f t="shared" si="29"/>
        <v/>
      </c>
    </row>
    <row r="127" spans="1:23">
      <c r="A127" t="str">
        <f>F_Inputs!A126</f>
        <v>WSX</v>
      </c>
      <c r="B127" t="str">
        <f>F_Inputs!B126</f>
        <v>CWW3_009TOT_PR24</v>
      </c>
      <c r="C127" t="str">
        <f>F_Inputs!C126</f>
        <v>EA/NRW environmental programme wastewater (WINEP/NEP) - Continuous river water quality monitoring (WINEP/NEP) wastewater totex - Total</v>
      </c>
      <c r="D127" t="str">
        <f>F_Inputs!D126</f>
        <v>£m</v>
      </c>
      <c r="E127" t="str">
        <f>F_Inputs!E126</f>
        <v>Price Review 2024</v>
      </c>
      <c r="F127">
        <f>F_Inputs!F126</f>
        <v>0.17294799999999999</v>
      </c>
      <c r="G127">
        <f>F_Inputs!G126</f>
        <v>1.787744</v>
      </c>
      <c r="H127">
        <f>F_Inputs!H126</f>
        <v>10.012511999999999</v>
      </c>
      <c r="I127">
        <f>F_Inputs!I126</f>
        <v>11.743107999999999</v>
      </c>
      <c r="J127">
        <f>F_Inputs!J126</f>
        <v>12.551933</v>
      </c>
      <c r="K127">
        <f>F_Inputs!K126</f>
        <v>11.761711999999999</v>
      </c>
      <c r="L127">
        <f>F_Inputs!L126</f>
        <v>14.565348999999999</v>
      </c>
      <c r="M127" t="str">
        <f>F_Inputs!M126</f>
        <v/>
      </c>
      <c r="O127" s="84" t="str">
        <f t="shared" si="21"/>
        <v>CWW3_0</v>
      </c>
      <c r="P127" s="32">
        <f t="shared" si="22"/>
        <v>0</v>
      </c>
      <c r="Q127" s="32">
        <f t="shared" si="23"/>
        <v>0</v>
      </c>
      <c r="R127" s="32">
        <f t="shared" si="24"/>
        <v>10.012511999999999</v>
      </c>
      <c r="S127" s="32">
        <f t="shared" si="25"/>
        <v>11.743107999999999</v>
      </c>
      <c r="T127" s="32">
        <f t="shared" si="26"/>
        <v>12.551933</v>
      </c>
      <c r="U127" s="32">
        <f t="shared" si="27"/>
        <v>11.761711999999999</v>
      </c>
      <c r="V127" s="32">
        <f t="shared" si="28"/>
        <v>14.565348999999999</v>
      </c>
      <c r="W127" s="32" t="str">
        <f t="shared" si="29"/>
        <v/>
      </c>
    </row>
    <row r="128" spans="1:23">
      <c r="A128" t="str">
        <f>F_Inputs!A127</f>
        <v>WSX</v>
      </c>
      <c r="B128" t="str">
        <f>F_Inputs!B127</f>
        <v>CWW20_049_PR24</v>
      </c>
      <c r="C128" t="str">
        <f>F_Inputs!C127</f>
        <v>Network / Storm overflow data - Number of continuous water quality monitor installations</v>
      </c>
      <c r="D128" t="str">
        <f>F_Inputs!D127</f>
        <v>nr</v>
      </c>
      <c r="E128" t="str">
        <f>F_Inputs!E127</f>
        <v>Price Review 2024</v>
      </c>
      <c r="F128">
        <f>F_Inputs!F127</f>
        <v>0</v>
      </c>
      <c r="G128">
        <f>F_Inputs!G127</f>
        <v>0</v>
      </c>
      <c r="H128">
        <f>F_Inputs!H127</f>
        <v>10</v>
      </c>
      <c r="I128">
        <f>F_Inputs!I127</f>
        <v>100</v>
      </c>
      <c r="J128">
        <f>F_Inputs!J127</f>
        <v>100</v>
      </c>
      <c r="K128">
        <f>F_Inputs!K127</f>
        <v>120</v>
      </c>
      <c r="L128">
        <f>F_Inputs!L127</f>
        <v>140</v>
      </c>
      <c r="M128" t="str">
        <f>F_Inputs!M127</f>
        <v/>
      </c>
      <c r="O128" s="84" t="str">
        <f t="shared" si="21"/>
        <v>CWW20_</v>
      </c>
      <c r="P128" s="32">
        <f t="shared" si="22"/>
        <v>0</v>
      </c>
      <c r="Q128" s="32">
        <f t="shared" si="23"/>
        <v>0</v>
      </c>
      <c r="R128" s="32">
        <f t="shared" si="24"/>
        <v>10</v>
      </c>
      <c r="S128" s="32">
        <f t="shared" si="25"/>
        <v>100</v>
      </c>
      <c r="T128" s="32">
        <f t="shared" si="26"/>
        <v>100</v>
      </c>
      <c r="U128" s="32">
        <f t="shared" si="27"/>
        <v>120</v>
      </c>
      <c r="V128" s="32">
        <f t="shared" si="28"/>
        <v>140</v>
      </c>
      <c r="W128" s="32" t="str">
        <f t="shared" si="29"/>
        <v/>
      </c>
    </row>
    <row r="129" spans="1:23">
      <c r="A129" t="str">
        <f>F_Inputs!A128</f>
        <v>WSX</v>
      </c>
      <c r="B129" t="str">
        <f>F_Inputs!B128</f>
        <v>CWW1A_015TOT_PR24</v>
      </c>
      <c r="C129" t="str">
        <f>F_Inputs!C128</f>
        <v>Net totex - Total</v>
      </c>
      <c r="D129" t="str">
        <f>F_Inputs!D128</f>
        <v>£m</v>
      </c>
      <c r="E129" t="str">
        <f>F_Inputs!E128</f>
        <v>Price Review 2024</v>
      </c>
      <c r="F129">
        <f>F_Inputs!F128</f>
        <v>425.01453217148838</v>
      </c>
      <c r="G129">
        <f>F_Inputs!G128</f>
        <v>477.18136481827088</v>
      </c>
      <c r="H129">
        <f>F_Inputs!H128</f>
        <v>526.33093822919</v>
      </c>
      <c r="I129">
        <f>F_Inputs!I128</f>
        <v>558.80413455846633</v>
      </c>
      <c r="J129">
        <f>F_Inputs!J128</f>
        <v>575.36301598312627</v>
      </c>
      <c r="K129">
        <f>F_Inputs!K128</f>
        <v>837.08372922394676</v>
      </c>
      <c r="L129">
        <f>F_Inputs!L128</f>
        <v>1152.392571151533</v>
      </c>
      <c r="M129" t="str">
        <f>F_Inputs!M128</f>
        <v/>
      </c>
      <c r="O129" s="84" t="str">
        <f t="shared" si="21"/>
        <v>CWW1A_</v>
      </c>
      <c r="P129" s="32">
        <f t="shared" si="22"/>
        <v>0</v>
      </c>
      <c r="Q129" s="32">
        <f t="shared" si="23"/>
        <v>0</v>
      </c>
      <c r="R129" s="32">
        <f t="shared" si="24"/>
        <v>526.33093822919</v>
      </c>
      <c r="S129" s="32">
        <f t="shared" si="25"/>
        <v>558.80413455846633</v>
      </c>
      <c r="T129" s="32">
        <f t="shared" si="26"/>
        <v>575.36301598312627</v>
      </c>
      <c r="U129" s="32">
        <f t="shared" si="27"/>
        <v>837.08372922394676</v>
      </c>
      <c r="V129" s="32">
        <f t="shared" si="28"/>
        <v>1152.392571151533</v>
      </c>
      <c r="W129" s="32" t="str">
        <f t="shared" si="29"/>
        <v/>
      </c>
    </row>
    <row r="130" spans="1:23">
      <c r="A130" t="str">
        <f>F_Inputs!A129</f>
        <v>WSX</v>
      </c>
      <c r="B130" t="str">
        <f>F_Inputs!B129</f>
        <v>PR24_NETTOTEX_WASTE</v>
      </c>
      <c r="C130" t="str">
        <f>F_Inputs!C129</f>
        <v>PR24 BP Net totex - Total inc. accelerated &amp; transition costs</v>
      </c>
      <c r="D130" t="str">
        <f>F_Inputs!D129</f>
        <v>£m</v>
      </c>
      <c r="E130" t="str">
        <f>F_Inputs!E129</f>
        <v>Price Review 2024</v>
      </c>
      <c r="F130" t="str">
        <f>F_Inputs!F129</f>
        <v/>
      </c>
      <c r="G130" t="str">
        <f>F_Inputs!G129</f>
        <v/>
      </c>
      <c r="H130" t="str">
        <f>F_Inputs!H129</f>
        <v/>
      </c>
      <c r="I130" t="str">
        <f>F_Inputs!I129</f>
        <v/>
      </c>
      <c r="J130" t="str">
        <f>F_Inputs!J129</f>
        <v/>
      </c>
      <c r="K130" t="str">
        <f>F_Inputs!K129</f>
        <v/>
      </c>
      <c r="L130" t="str">
        <f>F_Inputs!L129</f>
        <v/>
      </c>
      <c r="M130">
        <f>F_Inputs!M129</f>
        <v>3717.8809591462623</v>
      </c>
      <c r="O130" s="84" t="str">
        <f t="shared" si="21"/>
        <v>PR24_N</v>
      </c>
      <c r="P130" s="32">
        <f t="shared" si="22"/>
        <v>0</v>
      </c>
      <c r="Q130" s="32">
        <f t="shared" si="23"/>
        <v>0</v>
      </c>
      <c r="R130" s="32" t="str">
        <f t="shared" si="24"/>
        <v/>
      </c>
      <c r="S130" s="32" t="str">
        <f t="shared" si="25"/>
        <v/>
      </c>
      <c r="T130" s="32" t="str">
        <f t="shared" si="26"/>
        <v/>
      </c>
      <c r="U130" s="32" t="str">
        <f t="shared" si="27"/>
        <v/>
      </c>
      <c r="V130" s="32" t="str">
        <f t="shared" si="28"/>
        <v/>
      </c>
      <c r="W130" s="32">
        <f t="shared" si="29"/>
        <v>3717.8809591462623</v>
      </c>
    </row>
    <row r="131" spans="1:23">
      <c r="A131" t="str">
        <f>F_Inputs!A130</f>
        <v>WSX</v>
      </c>
      <c r="B131" t="str">
        <f>F_Inputs!B130</f>
        <v>CWW12_007TOT_PR24</v>
      </c>
      <c r="C131" t="str">
        <f>F_Inputs!C130</f>
        <v>EA/NRW environmental programme wastewater (WINEP/NEP) - Continuous river water quality monitoring (WINEP/NEP) wastewater capex - Total</v>
      </c>
      <c r="D131" t="str">
        <f>F_Inputs!D130</f>
        <v>£m</v>
      </c>
      <c r="E131" t="str">
        <f>F_Inputs!E130</f>
        <v>Price Review 2024</v>
      </c>
      <c r="F131">
        <f>F_Inputs!F130</f>
        <v>0.17294799999999999</v>
      </c>
      <c r="G131">
        <f>F_Inputs!G130</f>
        <v>1.662501</v>
      </c>
      <c r="H131" t="str">
        <f>F_Inputs!H130</f>
        <v/>
      </c>
      <c r="I131" t="str">
        <f>F_Inputs!I130</f>
        <v/>
      </c>
      <c r="J131" t="str">
        <f>F_Inputs!J130</f>
        <v/>
      </c>
      <c r="K131" t="str">
        <f>F_Inputs!K130</f>
        <v/>
      </c>
      <c r="L131" t="str">
        <f>F_Inputs!L130</f>
        <v/>
      </c>
      <c r="M131" t="str">
        <f>F_Inputs!M130</f>
        <v/>
      </c>
      <c r="O131" s="84" t="str">
        <f t="shared" si="21"/>
        <v>CWW12_</v>
      </c>
      <c r="P131" s="32">
        <f t="shared" si="22"/>
        <v>0.17294799999999999</v>
      </c>
      <c r="Q131" s="32">
        <f t="shared" si="23"/>
        <v>1.662501</v>
      </c>
      <c r="R131" s="32">
        <f t="shared" si="24"/>
        <v>0</v>
      </c>
      <c r="S131" s="32">
        <f t="shared" si="25"/>
        <v>0</v>
      </c>
      <c r="T131" s="32">
        <f t="shared" si="26"/>
        <v>0</v>
      </c>
      <c r="U131" s="32">
        <f t="shared" si="27"/>
        <v>0</v>
      </c>
      <c r="V131" s="32">
        <f t="shared" si="28"/>
        <v>0</v>
      </c>
      <c r="W131" s="32">
        <f t="shared" si="29"/>
        <v>0</v>
      </c>
    </row>
    <row r="132" spans="1:23">
      <c r="A132" t="str">
        <f>F_Inputs!A131</f>
        <v>WSX</v>
      </c>
      <c r="B132" t="str">
        <f>F_Inputs!B131</f>
        <v>CWW12_008TOT_PR24</v>
      </c>
      <c r="C132" t="str">
        <f>F_Inputs!C131</f>
        <v>EA/NRW environmental programme wastewater (WINEP/NEP) - Continuous river water quality monitoring (WINEP/NEP) wastewater opex - Total</v>
      </c>
      <c r="D132" t="str">
        <f>F_Inputs!D131</f>
        <v>£m</v>
      </c>
      <c r="E132" t="str">
        <f>F_Inputs!E131</f>
        <v>Price Review 2024</v>
      </c>
      <c r="F132">
        <f>F_Inputs!F131</f>
        <v>0</v>
      </c>
      <c r="G132">
        <f>F_Inputs!G131</f>
        <v>0.12524299999999999</v>
      </c>
      <c r="H132" t="str">
        <f>F_Inputs!H131</f>
        <v/>
      </c>
      <c r="I132" t="str">
        <f>F_Inputs!I131</f>
        <v/>
      </c>
      <c r="J132" t="str">
        <f>F_Inputs!J131</f>
        <v/>
      </c>
      <c r="K132" t="str">
        <f>F_Inputs!K131</f>
        <v/>
      </c>
      <c r="L132" t="str">
        <f>F_Inputs!L131</f>
        <v/>
      </c>
      <c r="M132" t="str">
        <f>F_Inputs!M131</f>
        <v/>
      </c>
      <c r="O132" s="84" t="str">
        <f t="shared" si="21"/>
        <v>CWW12_</v>
      </c>
      <c r="P132" s="32">
        <f t="shared" si="22"/>
        <v>0</v>
      </c>
      <c r="Q132" s="32">
        <f t="shared" si="23"/>
        <v>0.12524299999999999</v>
      </c>
      <c r="R132" s="32">
        <f t="shared" si="24"/>
        <v>0</v>
      </c>
      <c r="S132" s="32">
        <f t="shared" si="25"/>
        <v>0</v>
      </c>
      <c r="T132" s="32">
        <f t="shared" si="26"/>
        <v>0</v>
      </c>
      <c r="U132" s="32">
        <f t="shared" si="27"/>
        <v>0</v>
      </c>
      <c r="V132" s="32">
        <f t="shared" si="28"/>
        <v>0</v>
      </c>
      <c r="W132" s="32">
        <f t="shared" si="29"/>
        <v>0</v>
      </c>
    </row>
    <row r="133" spans="1:23">
      <c r="A133" t="str">
        <f>F_Inputs!A132</f>
        <v>WSX</v>
      </c>
      <c r="B133" t="str">
        <f>F_Inputs!B132</f>
        <v>CWW12_009TOT_PR24</v>
      </c>
      <c r="C133" t="str">
        <f>F_Inputs!C132</f>
        <v>EA/NRW environmental programme wastewater (WINEP/NEP) - Continuous river water quality monitoring (WINEP/NEP) wastewater totex - Total</v>
      </c>
      <c r="D133" t="str">
        <f>F_Inputs!D132</f>
        <v>£m</v>
      </c>
      <c r="E133" t="str">
        <f>F_Inputs!E132</f>
        <v>Price Review 2024</v>
      </c>
      <c r="F133">
        <f>F_Inputs!F132</f>
        <v>0.17294799999999999</v>
      </c>
      <c r="G133">
        <f>F_Inputs!G132</f>
        <v>1.787744</v>
      </c>
      <c r="H133" t="str">
        <f>F_Inputs!H132</f>
        <v/>
      </c>
      <c r="I133" t="str">
        <f>F_Inputs!I132</f>
        <v/>
      </c>
      <c r="J133" t="str">
        <f>F_Inputs!J132</f>
        <v/>
      </c>
      <c r="K133" t="str">
        <f>F_Inputs!K132</f>
        <v/>
      </c>
      <c r="L133" t="str">
        <f>F_Inputs!L132</f>
        <v/>
      </c>
      <c r="M133" t="str">
        <f>F_Inputs!M132</f>
        <v/>
      </c>
      <c r="O133" s="84" t="str">
        <f t="shared" si="21"/>
        <v>CWW12_</v>
      </c>
      <c r="P133" s="32">
        <f t="shared" si="22"/>
        <v>0.17294799999999999</v>
      </c>
      <c r="Q133" s="32">
        <f t="shared" si="23"/>
        <v>1.787744</v>
      </c>
      <c r="R133" s="32">
        <f t="shared" si="24"/>
        <v>0</v>
      </c>
      <c r="S133" s="32">
        <f t="shared" si="25"/>
        <v>0</v>
      </c>
      <c r="T133" s="32">
        <f t="shared" si="26"/>
        <v>0</v>
      </c>
      <c r="U133" s="32">
        <f t="shared" si="27"/>
        <v>0</v>
      </c>
      <c r="V133" s="32">
        <f t="shared" si="28"/>
        <v>0</v>
      </c>
      <c r="W133" s="32">
        <f t="shared" si="29"/>
        <v>0</v>
      </c>
    </row>
    <row r="134" spans="1:23">
      <c r="A134" t="str">
        <f>F_Inputs!A133</f>
        <v>WSX</v>
      </c>
      <c r="B134" t="str">
        <f>F_Inputs!B133</f>
        <v>CWW17_007TOT_PR24</v>
      </c>
      <c r="C134" t="str">
        <f>F_Inputs!C133</f>
        <v>EA/NRW environmental programme wastewater (WINEP/NEP) - Continuous river water quality monitoring (WINEP/NEP) wastewater capex - Total</v>
      </c>
      <c r="D134" t="str">
        <f>F_Inputs!D133</f>
        <v>£m</v>
      </c>
      <c r="E134" t="str">
        <f>F_Inputs!E133</f>
        <v>Price Review 2024</v>
      </c>
      <c r="F134">
        <f>F_Inputs!F133</f>
        <v>0</v>
      </c>
      <c r="G134">
        <f>F_Inputs!G133</f>
        <v>0</v>
      </c>
      <c r="H134">
        <f>F_Inputs!H133</f>
        <v>0</v>
      </c>
      <c r="I134">
        <f>F_Inputs!I133</f>
        <v>0</v>
      </c>
      <c r="J134">
        <f>F_Inputs!J133</f>
        <v>0</v>
      </c>
      <c r="K134">
        <f>F_Inputs!K133</f>
        <v>0</v>
      </c>
      <c r="L134">
        <f>F_Inputs!L133</f>
        <v>0</v>
      </c>
      <c r="M134" t="str">
        <f>F_Inputs!M133</f>
        <v/>
      </c>
      <c r="O134" s="84" t="str">
        <f t="shared" si="21"/>
        <v>CWW17_</v>
      </c>
      <c r="P134" s="32">
        <f t="shared" si="22"/>
        <v>0</v>
      </c>
      <c r="Q134" s="32">
        <f t="shared" si="23"/>
        <v>0</v>
      </c>
      <c r="R134" s="32">
        <f t="shared" si="24"/>
        <v>0</v>
      </c>
      <c r="S134" s="32">
        <f t="shared" si="25"/>
        <v>0</v>
      </c>
      <c r="T134" s="32">
        <f t="shared" si="26"/>
        <v>0</v>
      </c>
      <c r="U134" s="32">
        <f t="shared" si="27"/>
        <v>0</v>
      </c>
      <c r="V134" s="32">
        <f t="shared" si="28"/>
        <v>0</v>
      </c>
      <c r="W134" s="32">
        <f t="shared" si="29"/>
        <v>0</v>
      </c>
    </row>
    <row r="135" spans="1:23">
      <c r="A135" t="str">
        <f>F_Inputs!A134</f>
        <v>WSX</v>
      </c>
      <c r="B135" t="str">
        <f>F_Inputs!B134</f>
        <v>CWW17_008TOT_PR24</v>
      </c>
      <c r="C135" t="str">
        <f>F_Inputs!C134</f>
        <v>EA/NRW environmental programme wastewater (WINEP/NEP) - Continuous river water quality monitoring (WINEP/NEP) wastewater opex - Total</v>
      </c>
      <c r="D135" t="str">
        <f>F_Inputs!D134</f>
        <v>£m</v>
      </c>
      <c r="E135" t="str">
        <f>F_Inputs!E134</f>
        <v>Price Review 2024</v>
      </c>
      <c r="F135">
        <f>F_Inputs!F134</f>
        <v>0</v>
      </c>
      <c r="G135">
        <f>F_Inputs!G134</f>
        <v>0</v>
      </c>
      <c r="H135">
        <f>F_Inputs!H134</f>
        <v>0</v>
      </c>
      <c r="I135">
        <f>F_Inputs!I134</f>
        <v>0</v>
      </c>
      <c r="J135">
        <f>F_Inputs!J134</f>
        <v>0</v>
      </c>
      <c r="K135">
        <f>F_Inputs!K134</f>
        <v>0</v>
      </c>
      <c r="L135">
        <f>F_Inputs!L134</f>
        <v>0</v>
      </c>
      <c r="M135" t="str">
        <f>F_Inputs!M134</f>
        <v/>
      </c>
      <c r="O135" s="84" t="str">
        <f t="shared" si="21"/>
        <v>CWW17_</v>
      </c>
      <c r="P135" s="32">
        <f t="shared" si="22"/>
        <v>0</v>
      </c>
      <c r="Q135" s="32">
        <f t="shared" si="23"/>
        <v>0</v>
      </c>
      <c r="R135" s="32">
        <f t="shared" si="24"/>
        <v>0</v>
      </c>
      <c r="S135" s="32">
        <f t="shared" si="25"/>
        <v>0</v>
      </c>
      <c r="T135" s="32">
        <f t="shared" si="26"/>
        <v>0</v>
      </c>
      <c r="U135" s="32">
        <f t="shared" si="27"/>
        <v>0</v>
      </c>
      <c r="V135" s="32">
        <f t="shared" si="28"/>
        <v>0</v>
      </c>
      <c r="W135" s="32">
        <f t="shared" si="29"/>
        <v>0</v>
      </c>
    </row>
    <row r="136" spans="1:23">
      <c r="A136" t="str">
        <f>F_Inputs!A135</f>
        <v>WSX</v>
      </c>
      <c r="B136" t="str">
        <f>F_Inputs!B135</f>
        <v>CWW17_009TOT_PR24</v>
      </c>
      <c r="C136" t="str">
        <f>F_Inputs!C135</f>
        <v>EA/NRW environmental programme wastewater (WINEP/NEP) - Continuous river water quality monitoring (WINEP/NEP) wastewater totex - Total</v>
      </c>
      <c r="D136" t="str">
        <f>F_Inputs!D135</f>
        <v>£m</v>
      </c>
      <c r="E136" t="str">
        <f>F_Inputs!E135</f>
        <v>Price Review 2024</v>
      </c>
      <c r="F136">
        <f>F_Inputs!F135</f>
        <v>0</v>
      </c>
      <c r="G136">
        <f>F_Inputs!G135</f>
        <v>0</v>
      </c>
      <c r="H136">
        <f>F_Inputs!H135</f>
        <v>0</v>
      </c>
      <c r="I136">
        <f>F_Inputs!I135</f>
        <v>0</v>
      </c>
      <c r="J136">
        <f>F_Inputs!J135</f>
        <v>0</v>
      </c>
      <c r="K136">
        <f>F_Inputs!K135</f>
        <v>0</v>
      </c>
      <c r="L136">
        <f>F_Inputs!L135</f>
        <v>0</v>
      </c>
      <c r="M136" t="str">
        <f>F_Inputs!M135</f>
        <v/>
      </c>
      <c r="O136" s="84" t="str">
        <f t="shared" si="21"/>
        <v>CWW17_</v>
      </c>
      <c r="P136" s="32">
        <f t="shared" si="22"/>
        <v>0</v>
      </c>
      <c r="Q136" s="32">
        <f t="shared" si="23"/>
        <v>0</v>
      </c>
      <c r="R136" s="32">
        <f t="shared" ref="R136:R149" si="30">IF(OR($O136="CWW3_0",$O136="CWW3_1", $O136= "CWW20_",$O136="CWW1A_",$O136="PR24_N"),H136,0)</f>
        <v>0</v>
      </c>
      <c r="S136" s="32">
        <f t="shared" ref="S136:S149" si="31">IF(OR($O136="CWW3_0",$O136="CWW3_1", $O136= "CWW20_",$O136="CWW1A_",$O136="PR24_N"),I136,0)</f>
        <v>0</v>
      </c>
      <c r="T136" s="32">
        <f t="shared" ref="T136:T149" si="32">IF(OR($O136="CWW3_0",$O136="CWW3_1", $O136= "CWW20_",$O136="CWW1A_",$O136="PR24_N"),J136,0)</f>
        <v>0</v>
      </c>
      <c r="U136" s="32">
        <f t="shared" ref="U136:U149" si="33">IF(OR($O136="CWW3_0",$O136="CWW3_1", $O136= "CWW20_",$O136="CWW1A_",$O136="PR24_N"),K136,0)</f>
        <v>0</v>
      </c>
      <c r="V136" s="32">
        <f t="shared" ref="V136:V149" si="34">IF(OR($O136="CWW3_0",$O136="CWW3_1", $O136= "CWW20_",$O136="CWW1A_",$O136="PR24_N"),L136,0)</f>
        <v>0</v>
      </c>
      <c r="W136" s="32">
        <f t="shared" ref="W136:W149" si="35">IF(OR($O136="CWW3_0",$O136="CWW3_1", $O136= "CWW20_",$O136="CWW1A_",$O136="PR24_N"),M136,0)</f>
        <v>0</v>
      </c>
    </row>
    <row r="137" spans="1:23">
      <c r="A137" t="str">
        <f>F_Inputs!A136</f>
        <v>WSX</v>
      </c>
      <c r="B137" t="str">
        <f>F_Inputs!B136</f>
        <v>CWW20A_049_PR24</v>
      </c>
      <c r="C137" t="str">
        <f>F_Inputs!C136</f>
        <v>Network / Storm overflow data - Number of continuous water quality monitor installations</v>
      </c>
      <c r="D137" t="str">
        <f>F_Inputs!D136</f>
        <v>nr</v>
      </c>
      <c r="E137" t="str">
        <f>F_Inputs!E136</f>
        <v>Price Review 2024</v>
      </c>
      <c r="F137" t="str">
        <f>F_Inputs!F136</f>
        <v/>
      </c>
      <c r="G137" t="str">
        <f>F_Inputs!G136</f>
        <v/>
      </c>
      <c r="H137" t="str">
        <f>F_Inputs!H136</f>
        <v/>
      </c>
      <c r="I137" t="str">
        <f>F_Inputs!I136</f>
        <v/>
      </c>
      <c r="J137" t="str">
        <f>F_Inputs!J136</f>
        <v/>
      </c>
      <c r="K137" t="str">
        <f>F_Inputs!K136</f>
        <v/>
      </c>
      <c r="L137" t="str">
        <f>F_Inputs!L136</f>
        <v/>
      </c>
      <c r="M137" t="str">
        <f>F_Inputs!M136</f>
        <v/>
      </c>
      <c r="O137" s="84" t="str">
        <f t="shared" ref="O137:O151" si="36">LEFT(B137,6)</f>
        <v>CWW20A</v>
      </c>
      <c r="P137" s="32" t="str">
        <f t="shared" ref="P137:P150" si="37">IF(OR($O137="CWW12_",$O137= "CWW17_",$O137= "CWW20A"),F137,0)</f>
        <v/>
      </c>
      <c r="Q137" s="32" t="str">
        <f t="shared" ref="Q137:Q150" si="38">IF(OR($O137="CWW12_",$O137= "CWW17_",$O137= "CWW20A"),G137,0)</f>
        <v/>
      </c>
      <c r="R137" s="32">
        <f t="shared" si="30"/>
        <v>0</v>
      </c>
      <c r="S137" s="32">
        <f t="shared" si="31"/>
        <v>0</v>
      </c>
      <c r="T137" s="32">
        <f t="shared" si="32"/>
        <v>0</v>
      </c>
      <c r="U137" s="32">
        <f t="shared" si="33"/>
        <v>0</v>
      </c>
      <c r="V137" s="32">
        <f t="shared" si="34"/>
        <v>0</v>
      </c>
      <c r="W137" s="32">
        <f t="shared" si="35"/>
        <v>0</v>
      </c>
    </row>
    <row r="138" spans="1:23">
      <c r="A138" t="str">
        <f>F_Inputs!A137</f>
        <v>YKY</v>
      </c>
      <c r="B138" t="str">
        <f>F_Inputs!B137</f>
        <v>CWW3_007TOT_PR24</v>
      </c>
      <c r="C138" t="str">
        <f>F_Inputs!C137</f>
        <v>EA/NRW environmental programme wastewater (WINEP/NEP) - Continuous river water quality monitoring (WINEP/NEP) wastewater capex - Total</v>
      </c>
      <c r="D138" t="str">
        <f>F_Inputs!D137</f>
        <v>£m</v>
      </c>
      <c r="E138" t="str">
        <f>F_Inputs!E137</f>
        <v>Price Review 2024</v>
      </c>
      <c r="F138">
        <f>F_Inputs!F137</f>
        <v>0</v>
      </c>
      <c r="G138">
        <f>F_Inputs!G137</f>
        <v>0</v>
      </c>
      <c r="H138">
        <f>F_Inputs!H137</f>
        <v>2.1726719999999999</v>
      </c>
      <c r="I138">
        <f>F_Inputs!I137</f>
        <v>4.050376</v>
      </c>
      <c r="J138">
        <f>F_Inputs!J137</f>
        <v>14.1244672</v>
      </c>
      <c r="K138">
        <f>F_Inputs!K137</f>
        <v>26.174924799999999</v>
      </c>
      <c r="L138">
        <f>F_Inputs!L137</f>
        <v>26.174924799999999</v>
      </c>
      <c r="M138" t="str">
        <f>F_Inputs!M137</f>
        <v/>
      </c>
      <c r="O138" s="84" t="str">
        <f t="shared" si="36"/>
        <v>CWW3_0</v>
      </c>
      <c r="P138" s="32">
        <f t="shared" si="37"/>
        <v>0</v>
      </c>
      <c r="Q138" s="32">
        <f t="shared" si="38"/>
        <v>0</v>
      </c>
      <c r="R138" s="32">
        <f t="shared" si="30"/>
        <v>2.1726719999999999</v>
      </c>
      <c r="S138" s="32">
        <f t="shared" si="31"/>
        <v>4.050376</v>
      </c>
      <c r="T138" s="32">
        <f t="shared" si="32"/>
        <v>14.1244672</v>
      </c>
      <c r="U138" s="32">
        <f t="shared" si="33"/>
        <v>26.174924799999999</v>
      </c>
      <c r="V138" s="32">
        <f t="shared" si="34"/>
        <v>26.174924799999999</v>
      </c>
      <c r="W138" s="32" t="str">
        <f t="shared" si="35"/>
        <v/>
      </c>
    </row>
    <row r="139" spans="1:23">
      <c r="A139" t="str">
        <f>F_Inputs!A138</f>
        <v>YKY</v>
      </c>
      <c r="B139" t="str">
        <f>F_Inputs!B138</f>
        <v>CWW3_008TOT_PR24</v>
      </c>
      <c r="C139" t="str">
        <f>F_Inputs!C138</f>
        <v>EA/NRW environmental programme wastewater (WINEP/NEP) - Continuous river water quality monitoring (WINEP/NEP) wastewater opex - Total</v>
      </c>
      <c r="D139" t="str">
        <f>F_Inputs!D138</f>
        <v>£m</v>
      </c>
      <c r="E139" t="str">
        <f>F_Inputs!E138</f>
        <v>Price Review 2024</v>
      </c>
      <c r="F139">
        <f>F_Inputs!F138</f>
        <v>0</v>
      </c>
      <c r="G139">
        <f>F_Inputs!G138</f>
        <v>0</v>
      </c>
      <c r="H139">
        <f>F_Inputs!H138</f>
        <v>2.624000000000001</v>
      </c>
      <c r="I139">
        <f>F_Inputs!I138</f>
        <v>2.6823055999999998</v>
      </c>
      <c r="J139">
        <f>F_Inputs!J138</f>
        <v>1.6594176</v>
      </c>
      <c r="K139">
        <f>F_Inputs!K138</f>
        <v>5.4253824000000002</v>
      </c>
      <c r="L139">
        <f>F_Inputs!L138</f>
        <v>12.4052224</v>
      </c>
      <c r="M139" t="str">
        <f>F_Inputs!M138</f>
        <v/>
      </c>
      <c r="O139" s="84" t="str">
        <f t="shared" si="36"/>
        <v>CWW3_0</v>
      </c>
      <c r="P139" s="32">
        <f t="shared" si="37"/>
        <v>0</v>
      </c>
      <c r="Q139" s="32">
        <f t="shared" si="38"/>
        <v>0</v>
      </c>
      <c r="R139" s="32">
        <f t="shared" si="30"/>
        <v>2.624000000000001</v>
      </c>
      <c r="S139" s="32">
        <f t="shared" si="31"/>
        <v>2.6823055999999998</v>
      </c>
      <c r="T139" s="32">
        <f t="shared" si="32"/>
        <v>1.6594176</v>
      </c>
      <c r="U139" s="32">
        <f t="shared" si="33"/>
        <v>5.4253824000000002</v>
      </c>
      <c r="V139" s="32">
        <f t="shared" si="34"/>
        <v>12.4052224</v>
      </c>
      <c r="W139" s="32" t="str">
        <f t="shared" si="35"/>
        <v/>
      </c>
    </row>
    <row r="140" spans="1:23">
      <c r="A140" t="str">
        <f>F_Inputs!A139</f>
        <v>YKY</v>
      </c>
      <c r="B140" t="str">
        <f>F_Inputs!B139</f>
        <v>CWW3_009TOT_PR24</v>
      </c>
      <c r="C140" t="str">
        <f>F_Inputs!C139</f>
        <v>EA/NRW environmental programme wastewater (WINEP/NEP) - Continuous river water quality monitoring (WINEP/NEP) wastewater totex - Total</v>
      </c>
      <c r="D140" t="str">
        <f>F_Inputs!D139</f>
        <v>£m</v>
      </c>
      <c r="E140" t="str">
        <f>F_Inputs!E139</f>
        <v>Price Review 2024</v>
      </c>
      <c r="F140">
        <f>F_Inputs!F139</f>
        <v>0</v>
      </c>
      <c r="G140">
        <f>F_Inputs!G139</f>
        <v>0</v>
      </c>
      <c r="H140">
        <f>F_Inputs!H139</f>
        <v>4.796672</v>
      </c>
      <c r="I140">
        <f>F_Inputs!I139</f>
        <v>6.7326816000000003</v>
      </c>
      <c r="J140">
        <f>F_Inputs!J139</f>
        <v>15.783884799999999</v>
      </c>
      <c r="K140">
        <f>F_Inputs!K139</f>
        <v>31.6003072</v>
      </c>
      <c r="L140">
        <f>F_Inputs!L139</f>
        <v>38.580147199999999</v>
      </c>
      <c r="M140" t="str">
        <f>F_Inputs!M139</f>
        <v/>
      </c>
      <c r="O140" s="84" t="str">
        <f t="shared" si="36"/>
        <v>CWW3_0</v>
      </c>
      <c r="P140" s="32">
        <f t="shared" si="37"/>
        <v>0</v>
      </c>
      <c r="Q140" s="32">
        <f t="shared" si="38"/>
        <v>0</v>
      </c>
      <c r="R140" s="32">
        <f t="shared" si="30"/>
        <v>4.796672</v>
      </c>
      <c r="S140" s="32">
        <f t="shared" si="31"/>
        <v>6.7326816000000003</v>
      </c>
      <c r="T140" s="32">
        <f t="shared" si="32"/>
        <v>15.783884799999999</v>
      </c>
      <c r="U140" s="32">
        <f t="shared" si="33"/>
        <v>31.6003072</v>
      </c>
      <c r="V140" s="32">
        <f t="shared" si="34"/>
        <v>38.580147199999999</v>
      </c>
      <c r="W140" s="32" t="str">
        <f t="shared" si="35"/>
        <v/>
      </c>
    </row>
    <row r="141" spans="1:23">
      <c r="A141" t="str">
        <f>F_Inputs!A140</f>
        <v>YKY</v>
      </c>
      <c r="B141" t="str">
        <f>F_Inputs!B140</f>
        <v>CWW20_049_PR24</v>
      </c>
      <c r="C141" t="str">
        <f>F_Inputs!C140</f>
        <v>Network / Storm overflow data - Number of continuous water quality monitor installations</v>
      </c>
      <c r="D141" t="str">
        <f>F_Inputs!D140</f>
        <v>nr</v>
      </c>
      <c r="E141" t="str">
        <f>F_Inputs!E140</f>
        <v>Price Review 2024</v>
      </c>
      <c r="F141">
        <f>F_Inputs!F140</f>
        <v>0</v>
      </c>
      <c r="G141">
        <f>F_Inputs!G140</f>
        <v>0</v>
      </c>
      <c r="H141">
        <f>F_Inputs!H140</f>
        <v>22</v>
      </c>
      <c r="I141">
        <f>F_Inputs!I140</f>
        <v>41</v>
      </c>
      <c r="J141">
        <f>F_Inputs!J140</f>
        <v>143</v>
      </c>
      <c r="K141">
        <f>F_Inputs!K140</f>
        <v>265</v>
      </c>
      <c r="L141">
        <f>F_Inputs!L140</f>
        <v>265</v>
      </c>
      <c r="M141" t="str">
        <f>F_Inputs!M140</f>
        <v/>
      </c>
      <c r="O141" s="84" t="str">
        <f t="shared" si="36"/>
        <v>CWW20_</v>
      </c>
      <c r="P141" s="32">
        <f t="shared" si="37"/>
        <v>0</v>
      </c>
      <c r="Q141" s="32">
        <f t="shared" si="38"/>
        <v>0</v>
      </c>
      <c r="R141" s="32">
        <f t="shared" si="30"/>
        <v>22</v>
      </c>
      <c r="S141" s="32">
        <f t="shared" si="31"/>
        <v>41</v>
      </c>
      <c r="T141" s="32">
        <f t="shared" si="32"/>
        <v>143</v>
      </c>
      <c r="U141" s="32">
        <f t="shared" si="33"/>
        <v>265</v>
      </c>
      <c r="V141" s="32">
        <f t="shared" si="34"/>
        <v>265</v>
      </c>
      <c r="W141" s="32" t="str">
        <f t="shared" si="35"/>
        <v/>
      </c>
    </row>
    <row r="142" spans="1:23">
      <c r="A142" t="str">
        <f>F_Inputs!A141</f>
        <v>YKY</v>
      </c>
      <c r="B142" t="str">
        <f>F_Inputs!B141</f>
        <v>CWW1A_015TOT_PR24</v>
      </c>
      <c r="C142" t="str">
        <f>F_Inputs!C141</f>
        <v>Net totex - Total</v>
      </c>
      <c r="D142" t="str">
        <f>F_Inputs!D141</f>
        <v>£m</v>
      </c>
      <c r="E142" t="str">
        <f>F_Inputs!E141</f>
        <v>Price Review 2024</v>
      </c>
      <c r="F142">
        <f>F_Inputs!F141</f>
        <v>693.74750999218065</v>
      </c>
      <c r="G142">
        <f>F_Inputs!G141</f>
        <v>850.50580882322231</v>
      </c>
      <c r="H142">
        <f>F_Inputs!H141</f>
        <v>862.90684243736268</v>
      </c>
      <c r="I142">
        <f>F_Inputs!I141</f>
        <v>1023.836972489322</v>
      </c>
      <c r="J142">
        <f>F_Inputs!J141</f>
        <v>974.11492033814147</v>
      </c>
      <c r="K142">
        <f>F_Inputs!K141</f>
        <v>886.57950053133004</v>
      </c>
      <c r="L142">
        <f>F_Inputs!L141</f>
        <v>783.01520971339971</v>
      </c>
      <c r="M142" t="str">
        <f>F_Inputs!M141</f>
        <v/>
      </c>
      <c r="O142" s="84" t="str">
        <f t="shared" si="36"/>
        <v>CWW1A_</v>
      </c>
      <c r="P142" s="32">
        <f t="shared" si="37"/>
        <v>0</v>
      </c>
      <c r="Q142" s="32">
        <f t="shared" si="38"/>
        <v>0</v>
      </c>
      <c r="R142" s="32">
        <f t="shared" si="30"/>
        <v>862.90684243736268</v>
      </c>
      <c r="S142" s="32">
        <f t="shared" si="31"/>
        <v>1023.836972489322</v>
      </c>
      <c r="T142" s="32">
        <f t="shared" si="32"/>
        <v>974.11492033814147</v>
      </c>
      <c r="U142" s="32">
        <f t="shared" si="33"/>
        <v>886.57950053133004</v>
      </c>
      <c r="V142" s="32">
        <f t="shared" si="34"/>
        <v>783.01520971339971</v>
      </c>
      <c r="W142" s="32" t="str">
        <f t="shared" si="35"/>
        <v/>
      </c>
    </row>
    <row r="143" spans="1:23">
      <c r="A143" t="str">
        <f>F_Inputs!A142</f>
        <v>YKY</v>
      </c>
      <c r="B143" t="str">
        <f>F_Inputs!B142</f>
        <v>PR24_NETTOTEX_WASTE</v>
      </c>
      <c r="C143" t="str">
        <f>F_Inputs!C142</f>
        <v>PR24 BP Net totex - Total inc. accelerated &amp; transition costs</v>
      </c>
      <c r="D143" t="str">
        <f>F_Inputs!D142</f>
        <v>£m</v>
      </c>
      <c r="E143" t="str">
        <f>F_Inputs!E142</f>
        <v>Price Review 2024</v>
      </c>
      <c r="F143" t="str">
        <f>F_Inputs!F142</f>
        <v/>
      </c>
      <c r="G143" t="str">
        <f>F_Inputs!G142</f>
        <v/>
      </c>
      <c r="H143" t="str">
        <f>F_Inputs!H142</f>
        <v/>
      </c>
      <c r="I143" t="str">
        <f>F_Inputs!I142</f>
        <v/>
      </c>
      <c r="J143" t="str">
        <f>F_Inputs!J142</f>
        <v/>
      </c>
      <c r="K143" t="str">
        <f>F_Inputs!K142</f>
        <v/>
      </c>
      <c r="L143" t="str">
        <f>F_Inputs!L142</f>
        <v/>
      </c>
      <c r="M143">
        <f>F_Inputs!M142</f>
        <v>4605.5684455095561</v>
      </c>
      <c r="O143" s="84" t="str">
        <f t="shared" si="36"/>
        <v>PR24_N</v>
      </c>
      <c r="P143" s="32">
        <f t="shared" si="37"/>
        <v>0</v>
      </c>
      <c r="Q143" s="32">
        <f t="shared" si="38"/>
        <v>0</v>
      </c>
      <c r="R143" s="32" t="str">
        <f t="shared" si="30"/>
        <v/>
      </c>
      <c r="S143" s="32" t="str">
        <f t="shared" si="31"/>
        <v/>
      </c>
      <c r="T143" s="32" t="str">
        <f t="shared" si="32"/>
        <v/>
      </c>
      <c r="U143" s="32" t="str">
        <f t="shared" si="33"/>
        <v/>
      </c>
      <c r="V143" s="32" t="str">
        <f t="shared" si="34"/>
        <v/>
      </c>
      <c r="W143" s="32">
        <f t="shared" si="35"/>
        <v>4605.5684455095561</v>
      </c>
    </row>
    <row r="144" spans="1:23">
      <c r="A144" t="str">
        <f>F_Inputs!A143</f>
        <v>YKY</v>
      </c>
      <c r="B144" t="str">
        <f>F_Inputs!B143</f>
        <v>CWW12_007TOT_PR24</v>
      </c>
      <c r="C144" t="str">
        <f>F_Inputs!C143</f>
        <v>EA/NRW environmental programme wastewater (WINEP/NEP) - Continuous river water quality monitoring (WINEP/NEP) wastewater capex - Total</v>
      </c>
      <c r="D144" t="str">
        <f>F_Inputs!D143</f>
        <v>£m</v>
      </c>
      <c r="E144" t="str">
        <f>F_Inputs!E143</f>
        <v>Price Review 2024</v>
      </c>
      <c r="F144">
        <f>F_Inputs!F143</f>
        <v>0</v>
      </c>
      <c r="G144">
        <f>F_Inputs!G143</f>
        <v>0</v>
      </c>
      <c r="H144" t="str">
        <f>F_Inputs!H143</f>
        <v/>
      </c>
      <c r="I144" t="str">
        <f>F_Inputs!I143</f>
        <v/>
      </c>
      <c r="J144" t="str">
        <f>F_Inputs!J143</f>
        <v/>
      </c>
      <c r="K144" t="str">
        <f>F_Inputs!K143</f>
        <v/>
      </c>
      <c r="L144" t="str">
        <f>F_Inputs!L143</f>
        <v/>
      </c>
      <c r="M144" t="str">
        <f>F_Inputs!M143</f>
        <v/>
      </c>
      <c r="O144" s="84" t="str">
        <f t="shared" si="36"/>
        <v>CWW12_</v>
      </c>
      <c r="P144" s="32">
        <f t="shared" si="37"/>
        <v>0</v>
      </c>
      <c r="Q144" s="32">
        <f t="shared" si="38"/>
        <v>0</v>
      </c>
      <c r="R144" s="32">
        <f t="shared" si="30"/>
        <v>0</v>
      </c>
      <c r="S144" s="32">
        <f t="shared" si="31"/>
        <v>0</v>
      </c>
      <c r="T144" s="32">
        <f t="shared" si="32"/>
        <v>0</v>
      </c>
      <c r="U144" s="32">
        <f t="shared" si="33"/>
        <v>0</v>
      </c>
      <c r="V144" s="32">
        <f t="shared" si="34"/>
        <v>0</v>
      </c>
      <c r="W144" s="32">
        <f t="shared" si="35"/>
        <v>0</v>
      </c>
    </row>
    <row r="145" spans="1:23">
      <c r="A145" t="str">
        <f>F_Inputs!A144</f>
        <v>YKY</v>
      </c>
      <c r="B145" t="str">
        <f>F_Inputs!B144</f>
        <v>CWW12_008TOT_PR24</v>
      </c>
      <c r="C145" t="str">
        <f>F_Inputs!C144</f>
        <v>EA/NRW environmental programme wastewater (WINEP/NEP) - Continuous river water quality monitoring (WINEP/NEP) wastewater opex - Total</v>
      </c>
      <c r="D145" t="str">
        <f>F_Inputs!D144</f>
        <v>£m</v>
      </c>
      <c r="E145" t="str">
        <f>F_Inputs!E144</f>
        <v>Price Review 2024</v>
      </c>
      <c r="F145">
        <f>F_Inputs!F144</f>
        <v>0</v>
      </c>
      <c r="G145">
        <f>F_Inputs!G144</f>
        <v>0</v>
      </c>
      <c r="H145" t="str">
        <f>F_Inputs!H144</f>
        <v/>
      </c>
      <c r="I145" t="str">
        <f>F_Inputs!I144</f>
        <v/>
      </c>
      <c r="J145" t="str">
        <f>F_Inputs!J144</f>
        <v/>
      </c>
      <c r="K145" t="str">
        <f>F_Inputs!K144</f>
        <v/>
      </c>
      <c r="L145" t="str">
        <f>F_Inputs!L144</f>
        <v/>
      </c>
      <c r="M145" t="str">
        <f>F_Inputs!M144</f>
        <v/>
      </c>
      <c r="O145" s="84" t="str">
        <f t="shared" si="36"/>
        <v>CWW12_</v>
      </c>
      <c r="P145" s="32">
        <f t="shared" si="37"/>
        <v>0</v>
      </c>
      <c r="Q145" s="32">
        <f t="shared" si="38"/>
        <v>0</v>
      </c>
      <c r="R145" s="32">
        <f t="shared" si="30"/>
        <v>0</v>
      </c>
      <c r="S145" s="32">
        <f t="shared" si="31"/>
        <v>0</v>
      </c>
      <c r="T145" s="32">
        <f t="shared" si="32"/>
        <v>0</v>
      </c>
      <c r="U145" s="32">
        <f t="shared" si="33"/>
        <v>0</v>
      </c>
      <c r="V145" s="32">
        <f t="shared" si="34"/>
        <v>0</v>
      </c>
      <c r="W145" s="32">
        <f t="shared" si="35"/>
        <v>0</v>
      </c>
    </row>
    <row r="146" spans="1:23">
      <c r="A146" t="str">
        <f>F_Inputs!A145</f>
        <v>YKY</v>
      </c>
      <c r="B146" t="str">
        <f>F_Inputs!B145</f>
        <v>CWW12_009TOT_PR24</v>
      </c>
      <c r="C146" t="str">
        <f>F_Inputs!C145</f>
        <v>EA/NRW environmental programme wastewater (WINEP/NEP) - Continuous river water quality monitoring (WINEP/NEP) wastewater totex - Total</v>
      </c>
      <c r="D146" t="str">
        <f>F_Inputs!D145</f>
        <v>£m</v>
      </c>
      <c r="E146" t="str">
        <f>F_Inputs!E145</f>
        <v>Price Review 2024</v>
      </c>
      <c r="F146">
        <f>F_Inputs!F145</f>
        <v>0</v>
      </c>
      <c r="G146">
        <f>F_Inputs!G145</f>
        <v>0</v>
      </c>
      <c r="H146" t="str">
        <f>F_Inputs!H145</f>
        <v/>
      </c>
      <c r="I146" t="str">
        <f>F_Inputs!I145</f>
        <v/>
      </c>
      <c r="J146" t="str">
        <f>F_Inputs!J145</f>
        <v/>
      </c>
      <c r="K146" t="str">
        <f>F_Inputs!K145</f>
        <v/>
      </c>
      <c r="L146" t="str">
        <f>F_Inputs!L145</f>
        <v/>
      </c>
      <c r="M146" t="str">
        <f>F_Inputs!M145</f>
        <v/>
      </c>
      <c r="O146" s="84" t="str">
        <f t="shared" si="36"/>
        <v>CWW12_</v>
      </c>
      <c r="P146" s="32">
        <f t="shared" si="37"/>
        <v>0</v>
      </c>
      <c r="Q146" s="32">
        <f t="shared" si="38"/>
        <v>0</v>
      </c>
      <c r="R146" s="32">
        <f t="shared" si="30"/>
        <v>0</v>
      </c>
      <c r="S146" s="32">
        <f t="shared" si="31"/>
        <v>0</v>
      </c>
      <c r="T146" s="32">
        <f t="shared" si="32"/>
        <v>0</v>
      </c>
      <c r="U146" s="32">
        <f t="shared" si="33"/>
        <v>0</v>
      </c>
      <c r="V146" s="32">
        <f t="shared" si="34"/>
        <v>0</v>
      </c>
      <c r="W146" s="32">
        <f t="shared" si="35"/>
        <v>0</v>
      </c>
    </row>
    <row r="147" spans="1:23">
      <c r="A147" t="str">
        <f>F_Inputs!A146</f>
        <v>YKY</v>
      </c>
      <c r="B147" t="str">
        <f>F_Inputs!B146</f>
        <v>CWW17_007TOT_PR24</v>
      </c>
      <c r="C147" t="str">
        <f>F_Inputs!C146</f>
        <v>EA/NRW environmental programme wastewater (WINEP/NEP) - Continuous river water quality monitoring (WINEP/NEP) wastewater capex - Total</v>
      </c>
      <c r="D147" t="str">
        <f>F_Inputs!D146</f>
        <v>£m</v>
      </c>
      <c r="E147" t="str">
        <f>F_Inputs!E146</f>
        <v>Price Review 2024</v>
      </c>
      <c r="F147">
        <f>F_Inputs!F146</f>
        <v>0</v>
      </c>
      <c r="G147">
        <f>F_Inputs!G146</f>
        <v>0</v>
      </c>
      <c r="H147">
        <f>F_Inputs!H146</f>
        <v>0</v>
      </c>
      <c r="I147">
        <f>F_Inputs!I146</f>
        <v>0</v>
      </c>
      <c r="J147">
        <f>F_Inputs!J146</f>
        <v>0</v>
      </c>
      <c r="K147">
        <f>F_Inputs!K146</f>
        <v>0</v>
      </c>
      <c r="L147">
        <f>F_Inputs!L146</f>
        <v>0</v>
      </c>
      <c r="M147" t="str">
        <f>F_Inputs!M146</f>
        <v/>
      </c>
      <c r="O147" s="84" t="str">
        <f t="shared" si="36"/>
        <v>CWW17_</v>
      </c>
      <c r="P147" s="32">
        <f t="shared" si="37"/>
        <v>0</v>
      </c>
      <c r="Q147" s="32">
        <f t="shared" si="38"/>
        <v>0</v>
      </c>
      <c r="R147" s="32">
        <f t="shared" si="30"/>
        <v>0</v>
      </c>
      <c r="S147" s="32">
        <f t="shared" si="31"/>
        <v>0</v>
      </c>
      <c r="T147" s="32">
        <f t="shared" si="32"/>
        <v>0</v>
      </c>
      <c r="U147" s="32">
        <f t="shared" si="33"/>
        <v>0</v>
      </c>
      <c r="V147" s="32">
        <f t="shared" si="34"/>
        <v>0</v>
      </c>
      <c r="W147" s="32">
        <f t="shared" si="35"/>
        <v>0</v>
      </c>
    </row>
    <row r="148" spans="1:23">
      <c r="A148" t="str">
        <f>F_Inputs!A147</f>
        <v>YKY</v>
      </c>
      <c r="B148" t="str">
        <f>F_Inputs!B147</f>
        <v>CWW17_008TOT_PR24</v>
      </c>
      <c r="C148" t="str">
        <f>F_Inputs!C147</f>
        <v>EA/NRW environmental programme wastewater (WINEP/NEP) - Continuous river water quality monitoring (WINEP/NEP) wastewater opex - Total</v>
      </c>
      <c r="D148" t="str">
        <f>F_Inputs!D147</f>
        <v>£m</v>
      </c>
      <c r="E148" t="str">
        <f>F_Inputs!E147</f>
        <v>Price Review 2024</v>
      </c>
      <c r="F148">
        <f>F_Inputs!F147</f>
        <v>0</v>
      </c>
      <c r="G148">
        <f>F_Inputs!G147</f>
        <v>0</v>
      </c>
      <c r="H148">
        <f>F_Inputs!H147</f>
        <v>0</v>
      </c>
      <c r="I148">
        <f>F_Inputs!I147</f>
        <v>0</v>
      </c>
      <c r="J148">
        <f>F_Inputs!J147</f>
        <v>0</v>
      </c>
      <c r="K148">
        <f>F_Inputs!K147</f>
        <v>0</v>
      </c>
      <c r="L148">
        <f>F_Inputs!L147</f>
        <v>0</v>
      </c>
      <c r="M148" t="str">
        <f>F_Inputs!M147</f>
        <v/>
      </c>
      <c r="O148" s="84" t="str">
        <f t="shared" si="36"/>
        <v>CWW17_</v>
      </c>
      <c r="P148" s="32">
        <f t="shared" si="37"/>
        <v>0</v>
      </c>
      <c r="Q148" s="32">
        <f t="shared" si="38"/>
        <v>0</v>
      </c>
      <c r="R148" s="32">
        <f t="shared" si="30"/>
        <v>0</v>
      </c>
      <c r="S148" s="32">
        <f t="shared" si="31"/>
        <v>0</v>
      </c>
      <c r="T148" s="32">
        <f t="shared" si="32"/>
        <v>0</v>
      </c>
      <c r="U148" s="32">
        <f t="shared" si="33"/>
        <v>0</v>
      </c>
      <c r="V148" s="32">
        <f t="shared" si="34"/>
        <v>0</v>
      </c>
      <c r="W148" s="32">
        <f t="shared" si="35"/>
        <v>0</v>
      </c>
    </row>
    <row r="149" spans="1:23">
      <c r="A149" t="str">
        <f>F_Inputs!A148</f>
        <v>YKY</v>
      </c>
      <c r="B149" t="str">
        <f>F_Inputs!B148</f>
        <v>CWW17_009TOT_PR24</v>
      </c>
      <c r="C149" t="str">
        <f>F_Inputs!C148</f>
        <v>EA/NRW environmental programme wastewater (WINEP/NEP) - Continuous river water quality monitoring (WINEP/NEP) wastewater totex - Total</v>
      </c>
      <c r="D149" t="str">
        <f>F_Inputs!D148</f>
        <v>£m</v>
      </c>
      <c r="E149" t="str">
        <f>F_Inputs!E148</f>
        <v>Price Review 2024</v>
      </c>
      <c r="F149">
        <f>F_Inputs!F148</f>
        <v>0</v>
      </c>
      <c r="G149">
        <f>F_Inputs!G148</f>
        <v>0</v>
      </c>
      <c r="H149">
        <f>F_Inputs!H148</f>
        <v>0</v>
      </c>
      <c r="I149">
        <f>F_Inputs!I148</f>
        <v>0</v>
      </c>
      <c r="J149">
        <f>F_Inputs!J148</f>
        <v>0</v>
      </c>
      <c r="K149">
        <f>F_Inputs!K148</f>
        <v>0</v>
      </c>
      <c r="L149">
        <f>F_Inputs!L148</f>
        <v>0</v>
      </c>
      <c r="M149" t="str">
        <f>F_Inputs!M148</f>
        <v/>
      </c>
      <c r="O149" s="84" t="str">
        <f t="shared" si="36"/>
        <v>CWW17_</v>
      </c>
      <c r="P149" s="32">
        <f t="shared" si="37"/>
        <v>0</v>
      </c>
      <c r="Q149" s="32">
        <f t="shared" si="38"/>
        <v>0</v>
      </c>
      <c r="R149" s="32">
        <f t="shared" si="30"/>
        <v>0</v>
      </c>
      <c r="S149" s="32">
        <f t="shared" si="31"/>
        <v>0</v>
      </c>
      <c r="T149" s="32">
        <f t="shared" si="32"/>
        <v>0</v>
      </c>
      <c r="U149" s="32">
        <f t="shared" si="33"/>
        <v>0</v>
      </c>
      <c r="V149" s="32">
        <f t="shared" si="34"/>
        <v>0</v>
      </c>
      <c r="W149" s="32">
        <f t="shared" si="35"/>
        <v>0</v>
      </c>
    </row>
    <row r="150" spans="1:23">
      <c r="A150" t="str">
        <f>F_Inputs!A149</f>
        <v>YKY</v>
      </c>
      <c r="B150" t="str">
        <f>F_Inputs!B149</f>
        <v>CWW20A_049_PR24</v>
      </c>
      <c r="C150" t="str">
        <f>F_Inputs!C149</f>
        <v>Network / Storm overflow data - Number of continuous water quality monitor installations</v>
      </c>
      <c r="D150" t="str">
        <f>F_Inputs!D149</f>
        <v>nr</v>
      </c>
      <c r="E150" t="str">
        <f>F_Inputs!E149</f>
        <v>Price Review 2024</v>
      </c>
      <c r="F150" t="str">
        <f>F_Inputs!F149</f>
        <v/>
      </c>
      <c r="G150" t="str">
        <f>F_Inputs!G149</f>
        <v/>
      </c>
      <c r="H150" t="str">
        <f>F_Inputs!H149</f>
        <v/>
      </c>
      <c r="I150" t="str">
        <f>F_Inputs!I149</f>
        <v/>
      </c>
      <c r="J150" t="str">
        <f>F_Inputs!J149</f>
        <v/>
      </c>
      <c r="K150" t="str">
        <f>F_Inputs!K149</f>
        <v/>
      </c>
      <c r="L150" t="str">
        <f>F_Inputs!L149</f>
        <v/>
      </c>
      <c r="M150" t="str">
        <f>F_Inputs!M149</f>
        <v/>
      </c>
      <c r="O150" s="84" t="str">
        <f t="shared" si="36"/>
        <v>CWW20A</v>
      </c>
      <c r="P150" s="32" t="str">
        <f t="shared" si="37"/>
        <v/>
      </c>
      <c r="Q150" s="32" t="str">
        <f t="shared" si="38"/>
        <v/>
      </c>
      <c r="R150" s="32"/>
      <c r="S150" s="32"/>
      <c r="T150" s="32"/>
      <c r="U150" s="32"/>
      <c r="V150" s="32"/>
      <c r="W150" s="182" t="str">
        <f t="shared" ref="W150" si="39">M150</f>
        <v/>
      </c>
    </row>
    <row r="151" spans="1:23">
      <c r="O151" s="84" t="str">
        <f t="shared" si="36"/>
        <v/>
      </c>
      <c r="P151" s="32"/>
      <c r="Q151" s="32"/>
      <c r="R151" s="32"/>
      <c r="S151" s="32"/>
      <c r="T151" s="32"/>
      <c r="U151" s="32"/>
      <c r="V151" s="3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C3B5E-ADD0-4DD4-B7AB-551560881C7E}">
  <sheetPr codeName="Sheet14">
    <tabColor rgb="FFFFDB8E"/>
  </sheetPr>
  <dimension ref="A1:N147"/>
  <sheetViews>
    <sheetView showGridLines="0" zoomScale="80" zoomScaleNormal="80" workbookViewId="0"/>
  </sheetViews>
  <sheetFormatPr defaultRowHeight="12.75"/>
  <cols>
    <col min="1" max="1" width="10.7109375" customWidth="1"/>
    <col min="2" max="2" width="23.28515625" bestFit="1" customWidth="1"/>
    <col min="3" max="3" width="102.42578125" customWidth="1"/>
    <col min="5" max="5" width="22" customWidth="1"/>
    <col min="6" max="6" width="9.140625" customWidth="1"/>
    <col min="13" max="13" width="10.7109375" customWidth="1"/>
  </cols>
  <sheetData>
    <row r="1" spans="1:14" ht="31.5">
      <c r="A1" s="1" t="str">
        <f ca="1" xml:space="preserve"> RIGHT(CELL("filename", $A$1), LEN(CELL("filename", $A$1)) - SEARCH("]", CELL("filename", $A$1)))</f>
        <v>Consolidated Input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4" spans="1:14">
      <c r="A4" s="86" t="s">
        <v>59</v>
      </c>
      <c r="B4" s="86" t="s">
        <v>109</v>
      </c>
      <c r="C4" s="86" t="s">
        <v>110</v>
      </c>
      <c r="D4" s="86" t="s">
        <v>62</v>
      </c>
      <c r="E4" s="86" t="s">
        <v>63</v>
      </c>
      <c r="F4" s="86" t="s">
        <v>64</v>
      </c>
      <c r="G4" s="86" t="s">
        <v>65</v>
      </c>
      <c r="H4" s="86" t="s">
        <v>66</v>
      </c>
      <c r="I4" s="86" t="s">
        <v>67</v>
      </c>
      <c r="J4" s="86" t="s">
        <v>68</v>
      </c>
      <c r="K4" s="86" t="s">
        <v>69</v>
      </c>
      <c r="L4" s="86" t="s">
        <v>70</v>
      </c>
      <c r="M4" s="86" t="s">
        <v>71</v>
      </c>
      <c r="N4" s="86" t="s">
        <v>111</v>
      </c>
    </row>
    <row r="5" spans="1:14">
      <c r="A5" s="203" t="str">
        <f>F_Inputs!A7</f>
        <v>ANH</v>
      </c>
      <c r="B5" s="203" t="str">
        <f>F_Inputs!B7</f>
        <v>CWW3_007TOT_PR24</v>
      </c>
      <c r="C5" s="203" t="str">
        <f>F_Inputs!C7</f>
        <v>EA/NRW environmental programme wastewater (WINEP/NEP) - Continuous river water quality monitoring (WINEP/NEP) wastewater capex - Total</v>
      </c>
      <c r="D5" s="203" t="str">
        <f>F_Inputs!D7</f>
        <v>£m</v>
      </c>
      <c r="E5" s="203" t="str">
        <f>F_Inputs!E7</f>
        <v>Price Review 2024</v>
      </c>
      <c r="F5" s="185">
        <f ca="1">SUMIFS(F_Inputs_adjusted!P:P,F_Inputs_adjusted!$A:$A,$A5,F_Inputs_adjusted!$B:$B,$B5)</f>
        <v>0</v>
      </c>
      <c r="G5" s="185">
        <f ca="1">SUMIFS(F_Inputs_adjusted!Q:Q,F_Inputs_adjusted!$A:$A,$A5,F_Inputs_adjusted!$B:$B,$B5)</f>
        <v>0</v>
      </c>
      <c r="H5" s="185">
        <f ca="1">SUMIFS(F_Inputs_adjusted!R:R,F_Inputs_adjusted!$A:$A,$A5,F_Inputs_adjusted!$B:$B,$B5)</f>
        <v>0.86799999999999999</v>
      </c>
      <c r="I5" s="185">
        <f ca="1">SUMIFS(F_Inputs_adjusted!S:S,F_Inputs_adjusted!$A:$A,$A5,F_Inputs_adjusted!$B:$B,$B5)</f>
        <v>17.236000000000001</v>
      </c>
      <c r="J5" s="185">
        <f ca="1">SUMIFS(F_Inputs_adjusted!T:T,F_Inputs_adjusted!$A:$A,$A5,F_Inputs_adjusted!$B:$B,$B5)</f>
        <v>18.103999999999999</v>
      </c>
      <c r="K5" s="185">
        <f ca="1">SUMIFS(F_Inputs_adjusted!U:U,F_Inputs_adjusted!$A:$A,$A5,F_Inputs_adjusted!$B:$B,$B5)</f>
        <v>18.103999999999999</v>
      </c>
      <c r="L5" s="185">
        <f ca="1">SUMIFS(F_Inputs_adjusted!V:V,F_Inputs_adjusted!$A:$A,$A5,F_Inputs_adjusted!$B:$B,$B5)</f>
        <v>18.103999999999999</v>
      </c>
      <c r="M5" s="185">
        <f ca="1">SUMIFS(F_Inputs_adjusted!M:M,F_Inputs_adjusted!$A:$A,$A5,F_Inputs_adjusted!$B:$B,$B5)</f>
        <v>0</v>
      </c>
      <c r="N5" s="185">
        <f ca="1">SUM(Table1[[#This Row],[2023-24]:[2029-30]])</f>
        <v>72.415999999999997</v>
      </c>
    </row>
    <row r="6" spans="1:14">
      <c r="A6" s="18" t="str">
        <f>F_Inputs!A8</f>
        <v>ANH</v>
      </c>
      <c r="B6" s="18" t="str">
        <f>F_Inputs!B8</f>
        <v>CWW3_008TOT_PR24</v>
      </c>
      <c r="C6" s="18" t="str">
        <f>F_Inputs!C8</f>
        <v>EA/NRW environmental programme wastewater (WINEP/NEP) - Continuous river water quality monitoring (WINEP/NEP) wastewater opex - Total</v>
      </c>
      <c r="D6" s="18" t="str">
        <f>F_Inputs!D8</f>
        <v>£m</v>
      </c>
      <c r="E6" s="18" t="str">
        <f>F_Inputs!E8</f>
        <v>Price Review 2024</v>
      </c>
      <c r="F6" s="38">
        <f ca="1">SUMIFS(F_Inputs_adjusted!P:P,F_Inputs_adjusted!$A:$A,$A6,F_Inputs_adjusted!$B:$B,$B6)</f>
        <v>0</v>
      </c>
      <c r="G6" s="38">
        <f ca="1">SUMIFS(F_Inputs_adjusted!Q:Q,F_Inputs_adjusted!$A:$A,$A6,F_Inputs_adjusted!$B:$B,$B6)</f>
        <v>0</v>
      </c>
      <c r="H6" s="38">
        <f ca="1">SUMIFS(F_Inputs_adjusted!R:R,F_Inputs_adjusted!$A:$A,$A6,F_Inputs_adjusted!$B:$B,$B6)</f>
        <v>0</v>
      </c>
      <c r="I6" s="38">
        <f ca="1">SUMIFS(F_Inputs_adjusted!S:S,F_Inputs_adjusted!$A:$A,$A6,F_Inputs_adjusted!$B:$B,$B6)</f>
        <v>0.50700000000000001</v>
      </c>
      <c r="J6" s="38">
        <f ca="1">SUMIFS(F_Inputs_adjusted!T:T,F_Inputs_adjusted!$A:$A,$A6,F_Inputs_adjusted!$B:$B,$B6)</f>
        <v>1.014</v>
      </c>
      <c r="K6" s="38">
        <f ca="1">SUMIFS(F_Inputs_adjusted!U:U,F_Inputs_adjusted!$A:$A,$A6,F_Inputs_adjusted!$B:$B,$B6)</f>
        <v>1.5189999999999999</v>
      </c>
      <c r="L6" s="38">
        <f ca="1">SUMIFS(F_Inputs_adjusted!V:V,F_Inputs_adjusted!$A:$A,$A6,F_Inputs_adjusted!$B:$B,$B6)</f>
        <v>2.3639999999999999</v>
      </c>
      <c r="M6" s="38">
        <f ca="1">SUMIFS(F_Inputs_adjusted!M:M,F_Inputs_adjusted!$A:$A,$A6,F_Inputs_adjusted!$B:$B,$B6)</f>
        <v>0</v>
      </c>
      <c r="N6" s="38">
        <f ca="1">SUM(Table1[[#This Row],[2023-24]:[2029-30]])</f>
        <v>5.4039999999999999</v>
      </c>
    </row>
    <row r="7" spans="1:14">
      <c r="A7" s="18" t="str">
        <f>F_Inputs!A9</f>
        <v>ANH</v>
      </c>
      <c r="B7" s="18" t="str">
        <f>F_Inputs!B9</f>
        <v>CWW3_009TOT_PR24</v>
      </c>
      <c r="C7" s="18" t="str">
        <f>F_Inputs!C9</f>
        <v>EA/NRW environmental programme wastewater (WINEP/NEP) - Continuous river water quality monitoring (WINEP/NEP) wastewater totex - Total</v>
      </c>
      <c r="D7" s="18" t="str">
        <f>F_Inputs!D9</f>
        <v>£m</v>
      </c>
      <c r="E7" s="18" t="str">
        <f>F_Inputs!E9</f>
        <v>Price Review 2024</v>
      </c>
      <c r="F7" s="38">
        <f ca="1">SUMIFS(F_Inputs_adjusted!P:P,F_Inputs_adjusted!$A:$A,$A7,F_Inputs_adjusted!$B:$B,$B7)</f>
        <v>0</v>
      </c>
      <c r="G7" s="38">
        <f ca="1">SUMIFS(F_Inputs_adjusted!Q:Q,F_Inputs_adjusted!$A:$A,$A7,F_Inputs_adjusted!$B:$B,$B7)</f>
        <v>0</v>
      </c>
      <c r="H7" s="38">
        <f ca="1">SUMIFS(F_Inputs_adjusted!R:R,F_Inputs_adjusted!$A:$A,$A7,F_Inputs_adjusted!$B:$B,$B7)</f>
        <v>0.86799999999999999</v>
      </c>
      <c r="I7" s="38">
        <f ca="1">SUMIFS(F_Inputs_adjusted!S:S,F_Inputs_adjusted!$A:$A,$A7,F_Inputs_adjusted!$B:$B,$B7)</f>
        <v>17.742999999999999</v>
      </c>
      <c r="J7" s="38">
        <f ca="1">SUMIFS(F_Inputs_adjusted!T:T,F_Inputs_adjusted!$A:$A,$A7,F_Inputs_adjusted!$B:$B,$B7)</f>
        <v>19.117999999999999</v>
      </c>
      <c r="K7" s="38">
        <f ca="1">SUMIFS(F_Inputs_adjusted!U:U,F_Inputs_adjusted!$A:$A,$A7,F_Inputs_adjusted!$B:$B,$B7)</f>
        <v>19.623000000000001</v>
      </c>
      <c r="L7" s="38">
        <f ca="1">SUMIFS(F_Inputs_adjusted!V:V,F_Inputs_adjusted!$A:$A,$A7,F_Inputs_adjusted!$B:$B,$B7)</f>
        <v>20.468</v>
      </c>
      <c r="M7" s="38">
        <f ca="1">SUMIFS(F_Inputs_adjusted!M:M,F_Inputs_adjusted!$A:$A,$A7,F_Inputs_adjusted!$B:$B,$B7)</f>
        <v>0</v>
      </c>
      <c r="N7" s="38">
        <f ca="1">SUM(Table1[[#This Row],[2023-24]:[2029-30]])</f>
        <v>77.820000000000007</v>
      </c>
    </row>
    <row r="8" spans="1:14">
      <c r="A8" s="18" t="str">
        <f>F_Inputs!A10</f>
        <v>ANH</v>
      </c>
      <c r="B8" s="18" t="str">
        <f>F_Inputs!B10</f>
        <v>CWW20_049_PR24</v>
      </c>
      <c r="C8" s="18" t="str">
        <f>F_Inputs!C10</f>
        <v>Network / Storm overflow data - Number of continuous water quality monitor installations</v>
      </c>
      <c r="D8" s="18" t="str">
        <f>F_Inputs!D10</f>
        <v>nr</v>
      </c>
      <c r="E8" s="18" t="str">
        <f>F_Inputs!E10</f>
        <v>Price Review 2024</v>
      </c>
      <c r="F8" s="38">
        <f ca="1">SUMIFS(F_Inputs_adjusted!P:P,F_Inputs_adjusted!$A:$A,$A8,F_Inputs_adjusted!$B:$B,$B8)</f>
        <v>0</v>
      </c>
      <c r="G8" s="38">
        <f ca="1">SUMIFS(F_Inputs_adjusted!Q:Q,F_Inputs_adjusted!$A:$A,$A8,F_Inputs_adjusted!$B:$B,$B8)</f>
        <v>0</v>
      </c>
      <c r="H8" s="38">
        <f ca="1">SUMIFS(F_Inputs_adjusted!R:R,F_Inputs_adjusted!$A:$A,$A8,F_Inputs_adjusted!$B:$B,$B8)</f>
        <v>0</v>
      </c>
      <c r="I8" s="38">
        <f ca="1">SUMIFS(F_Inputs_adjusted!S:S,F_Inputs_adjusted!$A:$A,$A8,F_Inputs_adjusted!$B:$B,$B8)</f>
        <v>117</v>
      </c>
      <c r="J8" s="38">
        <f ca="1">SUMIFS(F_Inputs_adjusted!T:T,F_Inputs_adjusted!$A:$A,$A8,F_Inputs_adjusted!$B:$B,$B8)</f>
        <v>117</v>
      </c>
      <c r="K8" s="38">
        <f ca="1">SUMIFS(F_Inputs_adjusted!U:U,F_Inputs_adjusted!$A:$A,$A8,F_Inputs_adjusted!$B:$B,$B8)</f>
        <v>175</v>
      </c>
      <c r="L8" s="38">
        <f ca="1">SUMIFS(F_Inputs_adjusted!V:V,F_Inputs_adjusted!$A:$A,$A8,F_Inputs_adjusted!$B:$B,$B8)</f>
        <v>175</v>
      </c>
      <c r="M8" s="38">
        <f ca="1">SUMIFS(F_Inputs_adjusted!M:M,F_Inputs_adjusted!$A:$A,$A8,F_Inputs_adjusted!$B:$B,$B8)</f>
        <v>0</v>
      </c>
      <c r="N8" s="38">
        <f ca="1">SUM(Table1[[#This Row],[2023-24]:[2029-30]])</f>
        <v>584</v>
      </c>
    </row>
    <row r="9" spans="1:14">
      <c r="A9" s="18" t="str">
        <f>F_Inputs!A11</f>
        <v>ANH</v>
      </c>
      <c r="B9" s="18" t="str">
        <f>F_Inputs!B11</f>
        <v>CWW1A_015TOT_PR24</v>
      </c>
      <c r="C9" s="18" t="str">
        <f>F_Inputs!C11</f>
        <v>Net totex - Total</v>
      </c>
      <c r="D9" s="18" t="str">
        <f>F_Inputs!D11</f>
        <v>£m</v>
      </c>
      <c r="E9" s="18" t="str">
        <f>F_Inputs!E11</f>
        <v>Price Review 2024</v>
      </c>
      <c r="F9" s="38">
        <f ca="1">SUMIFS(F_Inputs_adjusted!P:P,F_Inputs_adjusted!$A:$A,$A9,F_Inputs_adjusted!$B:$B,$B9)</f>
        <v>0</v>
      </c>
      <c r="G9" s="38">
        <f ca="1">SUMIFS(F_Inputs_adjusted!Q:Q,F_Inputs_adjusted!$A:$A,$A9,F_Inputs_adjusted!$B:$B,$B9)</f>
        <v>0</v>
      </c>
      <c r="H9" s="38">
        <f ca="1">SUMIFS(F_Inputs_adjusted!R:R,F_Inputs_adjusted!$A:$A,$A9,F_Inputs_adjusted!$B:$B,$B9)</f>
        <v>918.35791855506159</v>
      </c>
      <c r="I9" s="38">
        <f ca="1">SUMIFS(F_Inputs_adjusted!S:S,F_Inputs_adjusted!$A:$A,$A9,F_Inputs_adjusted!$B:$B,$B9)</f>
        <v>1252.510714614566</v>
      </c>
      <c r="J9" s="38">
        <f ca="1">SUMIFS(F_Inputs_adjusted!T:T,F_Inputs_adjusted!$A:$A,$A9,F_Inputs_adjusted!$B:$B,$B9)</f>
        <v>1373.6720073368151</v>
      </c>
      <c r="K9" s="38">
        <f ca="1">SUMIFS(F_Inputs_adjusted!U:U,F_Inputs_adjusted!$A:$A,$A9,F_Inputs_adjusted!$B:$B,$B9)</f>
        <v>1412.752604889323</v>
      </c>
      <c r="L9" s="38">
        <f ca="1">SUMIFS(F_Inputs_adjusted!V:V,F_Inputs_adjusted!$A:$A,$A9,F_Inputs_adjusted!$B:$B,$B9)</f>
        <v>1043.517799885112</v>
      </c>
      <c r="M9" s="38">
        <f ca="1">SUMIFS(F_Inputs_adjusted!M:M,F_Inputs_adjusted!$A:$A,$A9,F_Inputs_adjusted!$B:$B,$B9)</f>
        <v>0</v>
      </c>
      <c r="N9" s="38">
        <f ca="1">SUM(Table1[[#This Row],[2023-24]:[2029-30]])</f>
        <v>6000.8110452808778</v>
      </c>
    </row>
    <row r="10" spans="1:14">
      <c r="A10" s="18" t="str">
        <f>F_Inputs!A12</f>
        <v>ANH</v>
      </c>
      <c r="B10" s="18" t="str">
        <f>F_Inputs!B12</f>
        <v>PR24_NETTOTEX_WASTE</v>
      </c>
      <c r="C10" s="18" t="str">
        <f>F_Inputs!C12</f>
        <v>PR24 BP Net totex - Total inc. accelerated &amp; transition costs</v>
      </c>
      <c r="D10" s="18" t="str">
        <f>F_Inputs!D12</f>
        <v>£m</v>
      </c>
      <c r="E10" s="18" t="str">
        <f>F_Inputs!E12</f>
        <v>Price Review 2024</v>
      </c>
      <c r="F10" s="38">
        <f ca="1">SUMIFS(F_Inputs_adjusted!P:P,F_Inputs_adjusted!$A:$A,$A10,F_Inputs_adjusted!$B:$B,$B10)</f>
        <v>0</v>
      </c>
      <c r="G10" s="38">
        <f ca="1">SUMIFS(F_Inputs_adjusted!Q:Q,F_Inputs_adjusted!$A:$A,$A10,F_Inputs_adjusted!$B:$B,$B10)</f>
        <v>0</v>
      </c>
      <c r="H10" s="38">
        <f ca="1">SUMIFS(F_Inputs_adjusted!R:R,F_Inputs_adjusted!$A:$A,$A10,F_Inputs_adjusted!$B:$B,$B10)</f>
        <v>0</v>
      </c>
      <c r="I10" s="38">
        <f ca="1">SUMIFS(F_Inputs_adjusted!S:S,F_Inputs_adjusted!$A:$A,$A10,F_Inputs_adjusted!$B:$B,$B10)</f>
        <v>0</v>
      </c>
      <c r="J10" s="38">
        <f ca="1">SUMIFS(F_Inputs_adjusted!T:T,F_Inputs_adjusted!$A:$A,$A10,F_Inputs_adjusted!$B:$B,$B10)</f>
        <v>0</v>
      </c>
      <c r="K10" s="38">
        <f ca="1">SUMIFS(F_Inputs_adjusted!U:U,F_Inputs_adjusted!$A:$A,$A10,F_Inputs_adjusted!$B:$B,$B10)</f>
        <v>0</v>
      </c>
      <c r="L10" s="38">
        <f ca="1">SUMIFS(F_Inputs_adjusted!V:V,F_Inputs_adjusted!$A:$A,$A10,F_Inputs_adjusted!$B:$B,$B10)</f>
        <v>0</v>
      </c>
      <c r="M10" s="38">
        <f ca="1">SUMIFS(F_Inputs_adjusted!M:M,F_Inputs_adjusted!$A:$A,$A10,F_Inputs_adjusted!$B:$B,$B10)</f>
        <v>6050.1791019508782</v>
      </c>
      <c r="N10" s="38">
        <f ca="1">SUM(Table1[[#This Row],[2023-24]:[2029-30]])</f>
        <v>0</v>
      </c>
    </row>
    <row r="11" spans="1:14">
      <c r="A11" s="18" t="str">
        <f>F_Inputs!A13</f>
        <v>ANH</v>
      </c>
      <c r="B11" s="18" t="str">
        <f>F_Inputs!B13</f>
        <v>CWW12_007TOT_PR24</v>
      </c>
      <c r="C11" s="18" t="str">
        <f>F_Inputs!C13</f>
        <v>EA/NRW environmental programme wastewater (WINEP/NEP) - Continuous river water quality monitoring (WINEP/NEP) wastewater capex - Total</v>
      </c>
      <c r="D11" s="18" t="str">
        <f>F_Inputs!D13</f>
        <v>£m</v>
      </c>
      <c r="E11" s="18" t="str">
        <f>F_Inputs!E13</f>
        <v>Price Review 2024</v>
      </c>
      <c r="F11" s="38">
        <f ca="1">SUMIFS(F_Inputs_adjusted!P:P,F_Inputs_adjusted!$A:$A,$A11,F_Inputs_adjusted!$B:$B,$B11)</f>
        <v>0</v>
      </c>
      <c r="G11" s="38">
        <f ca="1">SUMIFS(F_Inputs_adjusted!Q:Q,F_Inputs_adjusted!$A:$A,$A11,F_Inputs_adjusted!$B:$B,$B11)</f>
        <v>0</v>
      </c>
      <c r="H11" s="38">
        <f ca="1">SUMIFS(F_Inputs_adjusted!R:R,F_Inputs_adjusted!$A:$A,$A11,F_Inputs_adjusted!$B:$B,$B11)</f>
        <v>0</v>
      </c>
      <c r="I11" s="38">
        <f ca="1">SUMIFS(F_Inputs_adjusted!S:S,F_Inputs_adjusted!$A:$A,$A11,F_Inputs_adjusted!$B:$B,$B11)</f>
        <v>0</v>
      </c>
      <c r="J11" s="38">
        <f ca="1">SUMIFS(F_Inputs_adjusted!T:T,F_Inputs_adjusted!$A:$A,$A11,F_Inputs_adjusted!$B:$B,$B11)</f>
        <v>0</v>
      </c>
      <c r="K11" s="38">
        <f ca="1">SUMIFS(F_Inputs_adjusted!U:U,F_Inputs_adjusted!$A:$A,$A11,F_Inputs_adjusted!$B:$B,$B11)</f>
        <v>0</v>
      </c>
      <c r="L11" s="38">
        <f ca="1">SUMIFS(F_Inputs_adjusted!V:V,F_Inputs_adjusted!$A:$A,$A11,F_Inputs_adjusted!$B:$B,$B11)</f>
        <v>0</v>
      </c>
      <c r="M11" s="38">
        <f ca="1">SUMIFS(F_Inputs_adjusted!M:M,F_Inputs_adjusted!$A:$A,$A11,F_Inputs_adjusted!$B:$B,$B11)</f>
        <v>0</v>
      </c>
      <c r="N11" s="38">
        <f ca="1">SUM(Table1[[#This Row],[2023-24]:[2029-30]])</f>
        <v>0</v>
      </c>
    </row>
    <row r="12" spans="1:14">
      <c r="A12" s="18" t="str">
        <f>F_Inputs!A14</f>
        <v>ANH</v>
      </c>
      <c r="B12" s="18" t="str">
        <f>F_Inputs!B14</f>
        <v>CWW12_008TOT_PR24</v>
      </c>
      <c r="C12" s="18" t="str">
        <f>F_Inputs!C14</f>
        <v>EA/NRW environmental programme wastewater (WINEP/NEP) - Continuous river water quality monitoring (WINEP/NEP) wastewater opex - Total</v>
      </c>
      <c r="D12" s="18" t="str">
        <f>F_Inputs!D14</f>
        <v>£m</v>
      </c>
      <c r="E12" s="18" t="str">
        <f>F_Inputs!E14</f>
        <v>Price Review 2024</v>
      </c>
      <c r="F12" s="38">
        <f ca="1">SUMIFS(F_Inputs_adjusted!P:P,F_Inputs_adjusted!$A:$A,$A12,F_Inputs_adjusted!$B:$B,$B12)</f>
        <v>0</v>
      </c>
      <c r="G12" s="38">
        <f ca="1">SUMIFS(F_Inputs_adjusted!Q:Q,F_Inputs_adjusted!$A:$A,$A12,F_Inputs_adjusted!$B:$B,$B12)</f>
        <v>0</v>
      </c>
      <c r="H12" s="38">
        <f ca="1">SUMIFS(F_Inputs_adjusted!R:R,F_Inputs_adjusted!$A:$A,$A12,F_Inputs_adjusted!$B:$B,$B12)</f>
        <v>0</v>
      </c>
      <c r="I12" s="38">
        <f ca="1">SUMIFS(F_Inputs_adjusted!S:S,F_Inputs_adjusted!$A:$A,$A12,F_Inputs_adjusted!$B:$B,$B12)</f>
        <v>0</v>
      </c>
      <c r="J12" s="38">
        <f ca="1">SUMIFS(F_Inputs_adjusted!T:T,F_Inputs_adjusted!$A:$A,$A12,F_Inputs_adjusted!$B:$B,$B12)</f>
        <v>0</v>
      </c>
      <c r="K12" s="38">
        <f ca="1">SUMIFS(F_Inputs_adjusted!U:U,F_Inputs_adjusted!$A:$A,$A12,F_Inputs_adjusted!$B:$B,$B12)</f>
        <v>0</v>
      </c>
      <c r="L12" s="38">
        <f ca="1">SUMIFS(F_Inputs_adjusted!V:V,F_Inputs_adjusted!$A:$A,$A12,F_Inputs_adjusted!$B:$B,$B12)</f>
        <v>0</v>
      </c>
      <c r="M12" s="38">
        <f ca="1">SUMIFS(F_Inputs_adjusted!M:M,F_Inputs_adjusted!$A:$A,$A12,F_Inputs_adjusted!$B:$B,$B12)</f>
        <v>0</v>
      </c>
      <c r="N12" s="38">
        <f ca="1">SUM(Table1[[#This Row],[2023-24]:[2029-30]])</f>
        <v>0</v>
      </c>
    </row>
    <row r="13" spans="1:14">
      <c r="A13" s="18" t="str">
        <f>F_Inputs!A15</f>
        <v>ANH</v>
      </c>
      <c r="B13" s="18" t="str">
        <f>F_Inputs!B15</f>
        <v>CWW12_009TOT_PR24</v>
      </c>
      <c r="C13" s="18" t="str">
        <f>F_Inputs!C15</f>
        <v>EA/NRW environmental programme wastewater (WINEP/NEP) - Continuous river water quality monitoring (WINEP/NEP) wastewater totex - Total</v>
      </c>
      <c r="D13" s="18" t="str">
        <f>F_Inputs!D15</f>
        <v>£m</v>
      </c>
      <c r="E13" s="18" t="str">
        <f>F_Inputs!E15</f>
        <v>Price Review 2024</v>
      </c>
      <c r="F13" s="38">
        <f ca="1">SUMIFS(F_Inputs_adjusted!P:P,F_Inputs_adjusted!$A:$A,$A13,F_Inputs_adjusted!$B:$B,$B13)</f>
        <v>0</v>
      </c>
      <c r="G13" s="38">
        <f ca="1">SUMIFS(F_Inputs_adjusted!Q:Q,F_Inputs_adjusted!$A:$A,$A13,F_Inputs_adjusted!$B:$B,$B13)</f>
        <v>0</v>
      </c>
      <c r="H13" s="38">
        <f ca="1">SUMIFS(F_Inputs_adjusted!R:R,F_Inputs_adjusted!$A:$A,$A13,F_Inputs_adjusted!$B:$B,$B13)</f>
        <v>0</v>
      </c>
      <c r="I13" s="38">
        <f ca="1">SUMIFS(F_Inputs_adjusted!S:S,F_Inputs_adjusted!$A:$A,$A13,F_Inputs_adjusted!$B:$B,$B13)</f>
        <v>0</v>
      </c>
      <c r="J13" s="38">
        <f ca="1">SUMIFS(F_Inputs_adjusted!T:T,F_Inputs_adjusted!$A:$A,$A13,F_Inputs_adjusted!$B:$B,$B13)</f>
        <v>0</v>
      </c>
      <c r="K13" s="38">
        <f ca="1">SUMIFS(F_Inputs_adjusted!U:U,F_Inputs_adjusted!$A:$A,$A13,F_Inputs_adjusted!$B:$B,$B13)</f>
        <v>0</v>
      </c>
      <c r="L13" s="38">
        <f ca="1">SUMIFS(F_Inputs_adjusted!V:V,F_Inputs_adjusted!$A:$A,$A13,F_Inputs_adjusted!$B:$B,$B13)</f>
        <v>0</v>
      </c>
      <c r="M13" s="38">
        <f ca="1">SUMIFS(F_Inputs_adjusted!M:M,F_Inputs_adjusted!$A:$A,$A13,F_Inputs_adjusted!$B:$B,$B13)</f>
        <v>0</v>
      </c>
      <c r="N13" s="38">
        <f ca="1">SUM(Table1[[#This Row],[2023-24]:[2029-30]])</f>
        <v>0</v>
      </c>
    </row>
    <row r="14" spans="1:14">
      <c r="A14" s="18" t="str">
        <f>F_Inputs!A16</f>
        <v>ANH</v>
      </c>
      <c r="B14" s="18" t="str">
        <f>F_Inputs!B16</f>
        <v>CWW17_007TOT_PR24</v>
      </c>
      <c r="C14" s="18" t="str">
        <f>F_Inputs!C16</f>
        <v>EA/NRW environmental programme wastewater (WINEP/NEP) - Continuous river water quality monitoring (WINEP/NEP) wastewater capex - Total</v>
      </c>
      <c r="D14" s="18" t="str">
        <f>F_Inputs!D16</f>
        <v>£m</v>
      </c>
      <c r="E14" s="18" t="str">
        <f>F_Inputs!E16</f>
        <v>Price Review 2024</v>
      </c>
      <c r="F14" s="38">
        <f ca="1">SUMIFS(F_Inputs_adjusted!P:P,F_Inputs_adjusted!$A:$A,$A14,F_Inputs_adjusted!$B:$B,$B14)</f>
        <v>0</v>
      </c>
      <c r="G14" s="38">
        <f ca="1">SUMIFS(F_Inputs_adjusted!Q:Q,F_Inputs_adjusted!$A:$A,$A14,F_Inputs_adjusted!$B:$B,$B14)</f>
        <v>0</v>
      </c>
      <c r="H14" s="38">
        <f ca="1">SUMIFS(F_Inputs_adjusted!R:R,F_Inputs_adjusted!$A:$A,$A14,F_Inputs_adjusted!$B:$B,$B14)</f>
        <v>0</v>
      </c>
      <c r="I14" s="38">
        <f ca="1">SUMIFS(F_Inputs_adjusted!S:S,F_Inputs_adjusted!$A:$A,$A14,F_Inputs_adjusted!$B:$B,$B14)</f>
        <v>0</v>
      </c>
      <c r="J14" s="38">
        <f ca="1">SUMIFS(F_Inputs_adjusted!T:T,F_Inputs_adjusted!$A:$A,$A14,F_Inputs_adjusted!$B:$B,$B14)</f>
        <v>0</v>
      </c>
      <c r="K14" s="38">
        <f ca="1">SUMIFS(F_Inputs_adjusted!U:U,F_Inputs_adjusted!$A:$A,$A14,F_Inputs_adjusted!$B:$B,$B14)</f>
        <v>0</v>
      </c>
      <c r="L14" s="38">
        <f ca="1">SUMIFS(F_Inputs_adjusted!V:V,F_Inputs_adjusted!$A:$A,$A14,F_Inputs_adjusted!$B:$B,$B14)</f>
        <v>0</v>
      </c>
      <c r="M14" s="38">
        <f ca="1">SUMIFS(F_Inputs_adjusted!M:M,F_Inputs_adjusted!$A:$A,$A14,F_Inputs_adjusted!$B:$B,$B14)</f>
        <v>0</v>
      </c>
      <c r="N14" s="38">
        <f ca="1">SUM(Table1[[#This Row],[2023-24]:[2029-30]])</f>
        <v>0</v>
      </c>
    </row>
    <row r="15" spans="1:14">
      <c r="A15" s="18" t="str">
        <f>F_Inputs!A17</f>
        <v>ANH</v>
      </c>
      <c r="B15" s="18" t="str">
        <f>F_Inputs!B17</f>
        <v>CWW17_008TOT_PR24</v>
      </c>
      <c r="C15" s="18" t="str">
        <f>F_Inputs!C17</f>
        <v>EA/NRW environmental programme wastewater (WINEP/NEP) - Continuous river water quality monitoring (WINEP/NEP) wastewater opex - Total</v>
      </c>
      <c r="D15" s="18" t="str">
        <f>F_Inputs!D17</f>
        <v>£m</v>
      </c>
      <c r="E15" s="18" t="str">
        <f>F_Inputs!E17</f>
        <v>Price Review 2024</v>
      </c>
      <c r="F15" s="38">
        <f ca="1">SUMIFS(F_Inputs_adjusted!P:P,F_Inputs_adjusted!$A:$A,$A15,F_Inputs_adjusted!$B:$B,$B15)</f>
        <v>0</v>
      </c>
      <c r="G15" s="38">
        <f ca="1">SUMIFS(F_Inputs_adjusted!Q:Q,F_Inputs_adjusted!$A:$A,$A15,F_Inputs_adjusted!$B:$B,$B15)</f>
        <v>0</v>
      </c>
      <c r="H15" s="38">
        <f ca="1">SUMIFS(F_Inputs_adjusted!R:R,F_Inputs_adjusted!$A:$A,$A15,F_Inputs_adjusted!$B:$B,$B15)</f>
        <v>0</v>
      </c>
      <c r="I15" s="38">
        <f ca="1">SUMIFS(F_Inputs_adjusted!S:S,F_Inputs_adjusted!$A:$A,$A15,F_Inputs_adjusted!$B:$B,$B15)</f>
        <v>0</v>
      </c>
      <c r="J15" s="38">
        <f ca="1">SUMIFS(F_Inputs_adjusted!T:T,F_Inputs_adjusted!$A:$A,$A15,F_Inputs_adjusted!$B:$B,$B15)</f>
        <v>0</v>
      </c>
      <c r="K15" s="38">
        <f ca="1">SUMIFS(F_Inputs_adjusted!U:U,F_Inputs_adjusted!$A:$A,$A15,F_Inputs_adjusted!$B:$B,$B15)</f>
        <v>0</v>
      </c>
      <c r="L15" s="38">
        <f ca="1">SUMIFS(F_Inputs_adjusted!V:V,F_Inputs_adjusted!$A:$A,$A15,F_Inputs_adjusted!$B:$B,$B15)</f>
        <v>0</v>
      </c>
      <c r="M15" s="38">
        <f ca="1">SUMIFS(F_Inputs_adjusted!M:M,F_Inputs_adjusted!$A:$A,$A15,F_Inputs_adjusted!$B:$B,$B15)</f>
        <v>0</v>
      </c>
      <c r="N15" s="38">
        <f ca="1">SUM(Table1[[#This Row],[2023-24]:[2029-30]])</f>
        <v>0</v>
      </c>
    </row>
    <row r="16" spans="1:14">
      <c r="A16" s="18" t="str">
        <f>F_Inputs!A18</f>
        <v>ANH</v>
      </c>
      <c r="B16" s="18" t="str">
        <f>F_Inputs!B18</f>
        <v>CWW17_009TOT_PR24</v>
      </c>
      <c r="C16" s="18" t="str">
        <f>F_Inputs!C18</f>
        <v>EA/NRW environmental programme wastewater (WINEP/NEP) - Continuous river water quality monitoring (WINEP/NEP) wastewater totex - Total</v>
      </c>
      <c r="D16" s="18" t="str">
        <f>F_Inputs!D18</f>
        <v>£m</v>
      </c>
      <c r="E16" s="18" t="str">
        <f>F_Inputs!E18</f>
        <v>Price Review 2024</v>
      </c>
      <c r="F16" s="38">
        <f ca="1">SUMIFS(F_Inputs_adjusted!P:P,F_Inputs_adjusted!$A:$A,$A16,F_Inputs_adjusted!$B:$B,$B16)</f>
        <v>0</v>
      </c>
      <c r="G16" s="38">
        <f ca="1">SUMIFS(F_Inputs_adjusted!Q:Q,F_Inputs_adjusted!$A:$A,$A16,F_Inputs_adjusted!$B:$B,$B16)</f>
        <v>0</v>
      </c>
      <c r="H16" s="38">
        <f ca="1">SUMIFS(F_Inputs_adjusted!R:R,F_Inputs_adjusted!$A:$A,$A16,F_Inputs_adjusted!$B:$B,$B16)</f>
        <v>0</v>
      </c>
      <c r="I16" s="38">
        <f ca="1">SUMIFS(F_Inputs_adjusted!S:S,F_Inputs_adjusted!$A:$A,$A16,F_Inputs_adjusted!$B:$B,$B16)</f>
        <v>0</v>
      </c>
      <c r="J16" s="38">
        <f ca="1">SUMIFS(F_Inputs_adjusted!T:T,F_Inputs_adjusted!$A:$A,$A16,F_Inputs_adjusted!$B:$B,$B16)</f>
        <v>0</v>
      </c>
      <c r="K16" s="38">
        <f ca="1">SUMIFS(F_Inputs_adjusted!U:U,F_Inputs_adjusted!$A:$A,$A16,F_Inputs_adjusted!$B:$B,$B16)</f>
        <v>0</v>
      </c>
      <c r="L16" s="38">
        <f ca="1">SUMIFS(F_Inputs_adjusted!V:V,F_Inputs_adjusted!$A:$A,$A16,F_Inputs_adjusted!$B:$B,$B16)</f>
        <v>0</v>
      </c>
      <c r="M16" s="38">
        <f ca="1">SUMIFS(F_Inputs_adjusted!M:M,F_Inputs_adjusted!$A:$A,$A16,F_Inputs_adjusted!$B:$B,$B16)</f>
        <v>0</v>
      </c>
      <c r="N16" s="38">
        <f ca="1">SUM(Table1[[#This Row],[2023-24]:[2029-30]])</f>
        <v>0</v>
      </c>
    </row>
    <row r="17" spans="1:14">
      <c r="A17" s="18" t="str">
        <f>F_Inputs!A19</f>
        <v>ANH</v>
      </c>
      <c r="B17" s="18" t="str">
        <f>F_Inputs!B19</f>
        <v>CWW20A_049_PR24</v>
      </c>
      <c r="C17" s="18" t="str">
        <f>F_Inputs!C19</f>
        <v>Network / Storm overflow data - Number of continuous water quality monitor installations</v>
      </c>
      <c r="D17" s="18" t="str">
        <f>F_Inputs!D19</f>
        <v>nr</v>
      </c>
      <c r="E17" s="18" t="str">
        <f>F_Inputs!E19</f>
        <v>Price Review 2024</v>
      </c>
      <c r="F17" s="38">
        <f ca="1">SUMIFS(F_Inputs_adjusted!P:P,F_Inputs_adjusted!$A:$A,$A17,F_Inputs_adjusted!$B:$B,$B17)</f>
        <v>0</v>
      </c>
      <c r="G17" s="38">
        <f ca="1">SUMIFS(F_Inputs_adjusted!Q:Q,F_Inputs_adjusted!$A:$A,$A17,F_Inputs_adjusted!$B:$B,$B17)</f>
        <v>0</v>
      </c>
      <c r="H17" s="38">
        <f ca="1">SUMIFS(F_Inputs_adjusted!R:R,F_Inputs_adjusted!$A:$A,$A17,F_Inputs_adjusted!$B:$B,$B17)</f>
        <v>0</v>
      </c>
      <c r="I17" s="38">
        <f ca="1">SUMIFS(F_Inputs_adjusted!S:S,F_Inputs_adjusted!$A:$A,$A17,F_Inputs_adjusted!$B:$B,$B17)</f>
        <v>0</v>
      </c>
      <c r="J17" s="38">
        <f ca="1">SUMIFS(F_Inputs_adjusted!T:T,F_Inputs_adjusted!$A:$A,$A17,F_Inputs_adjusted!$B:$B,$B17)</f>
        <v>0</v>
      </c>
      <c r="K17" s="38">
        <f ca="1">SUMIFS(F_Inputs_adjusted!U:U,F_Inputs_adjusted!$A:$A,$A17,F_Inputs_adjusted!$B:$B,$B17)</f>
        <v>0</v>
      </c>
      <c r="L17" s="38">
        <f ca="1">SUMIFS(F_Inputs_adjusted!V:V,F_Inputs_adjusted!$A:$A,$A17,F_Inputs_adjusted!$B:$B,$B17)</f>
        <v>0</v>
      </c>
      <c r="M17" s="38">
        <f ca="1">SUMIFS(F_Inputs_adjusted!M:M,F_Inputs_adjusted!$A:$A,$A17,F_Inputs_adjusted!$B:$B,$B17)</f>
        <v>0</v>
      </c>
      <c r="N17" s="38">
        <f ca="1">SUM(Table1[[#This Row],[2023-24]:[2029-30]])</f>
        <v>0</v>
      </c>
    </row>
    <row r="18" spans="1:14">
      <c r="A18" s="18" t="str">
        <f>F_Inputs!A20</f>
        <v>WSH</v>
      </c>
      <c r="B18" s="18" t="str">
        <f>F_Inputs!B20</f>
        <v>CWW3_007TOT_PR24</v>
      </c>
      <c r="C18" s="18" t="str">
        <f>F_Inputs!C20</f>
        <v>EA/NRW environmental programme wastewater (WINEP/NEP) - Continuous river water quality monitoring (WINEP/NEP) wastewater capex - Total</v>
      </c>
      <c r="D18" s="18" t="str">
        <f>F_Inputs!D20</f>
        <v>£m</v>
      </c>
      <c r="E18" s="18" t="str">
        <f>F_Inputs!E20</f>
        <v>Price Review 2024</v>
      </c>
      <c r="F18" s="38">
        <f ca="1">SUMIFS(F_Inputs_adjusted!P:P,F_Inputs_adjusted!$A:$A,$A18,F_Inputs_adjusted!$B:$B,$B18)</f>
        <v>0</v>
      </c>
      <c r="G18" s="38">
        <f ca="1">SUMIFS(F_Inputs_adjusted!Q:Q,F_Inputs_adjusted!$A:$A,$A18,F_Inputs_adjusted!$B:$B,$B18)</f>
        <v>0</v>
      </c>
      <c r="H18" s="38">
        <f ca="1">SUMIFS(F_Inputs_adjusted!R:R,F_Inputs_adjusted!$A:$A,$A18,F_Inputs_adjusted!$B:$B,$B18)</f>
        <v>2.347</v>
      </c>
      <c r="I18" s="38">
        <f ca="1">SUMIFS(F_Inputs_adjusted!S:S,F_Inputs_adjusted!$A:$A,$A18,F_Inputs_adjusted!$B:$B,$B18)</f>
        <v>2.2869999999999999</v>
      </c>
      <c r="J18" s="38">
        <f ca="1">SUMIFS(F_Inputs_adjusted!T:T,F_Inputs_adjusted!$A:$A,$A18,F_Inputs_adjusted!$B:$B,$B18)</f>
        <v>0</v>
      </c>
      <c r="K18" s="38">
        <f ca="1">SUMIFS(F_Inputs_adjusted!U:U,F_Inputs_adjusted!$A:$A,$A18,F_Inputs_adjusted!$B:$B,$B18)</f>
        <v>0</v>
      </c>
      <c r="L18" s="38">
        <f ca="1">SUMIFS(F_Inputs_adjusted!V:V,F_Inputs_adjusted!$A:$A,$A18,F_Inputs_adjusted!$B:$B,$B18)</f>
        <v>0</v>
      </c>
      <c r="M18" s="38">
        <f ca="1">SUMIFS(F_Inputs_adjusted!M:M,F_Inputs_adjusted!$A:$A,$A18,F_Inputs_adjusted!$B:$B,$B18)</f>
        <v>0</v>
      </c>
      <c r="N18" s="38">
        <f ca="1">SUM(Table1[[#This Row],[2023-24]:[2029-30]])</f>
        <v>4.6340000000000003</v>
      </c>
    </row>
    <row r="19" spans="1:14">
      <c r="A19" s="18" t="str">
        <f>F_Inputs!A21</f>
        <v>WSH</v>
      </c>
      <c r="B19" s="18" t="str">
        <f>F_Inputs!B21</f>
        <v>CWW3_008TOT_PR24</v>
      </c>
      <c r="C19" s="18" t="str">
        <f>F_Inputs!C21</f>
        <v>EA/NRW environmental programme wastewater (WINEP/NEP) - Continuous river water quality monitoring (WINEP/NEP) wastewater opex - Total</v>
      </c>
      <c r="D19" s="18" t="str">
        <f>F_Inputs!D21</f>
        <v>£m</v>
      </c>
      <c r="E19" s="18" t="str">
        <f>F_Inputs!E21</f>
        <v>Price Review 2024</v>
      </c>
      <c r="F19" s="38">
        <f ca="1">SUMIFS(F_Inputs_adjusted!P:P,F_Inputs_adjusted!$A:$A,$A19,F_Inputs_adjusted!$B:$B,$B19)</f>
        <v>0</v>
      </c>
      <c r="G19" s="38">
        <f ca="1">SUMIFS(F_Inputs_adjusted!Q:Q,F_Inputs_adjusted!$A:$A,$A19,F_Inputs_adjusted!$B:$B,$B19)</f>
        <v>0</v>
      </c>
      <c r="H19" s="38">
        <f ca="1">SUMIFS(F_Inputs_adjusted!R:R,F_Inputs_adjusted!$A:$A,$A19,F_Inputs_adjusted!$B:$B,$B19)</f>
        <v>0.159</v>
      </c>
      <c r="I19" s="38">
        <f ca="1">SUMIFS(F_Inputs_adjusted!S:S,F_Inputs_adjusted!$A:$A,$A19,F_Inputs_adjusted!$B:$B,$B19)</f>
        <v>0.31700000000000012</v>
      </c>
      <c r="J19" s="38">
        <f ca="1">SUMIFS(F_Inputs_adjusted!T:T,F_Inputs_adjusted!$A:$A,$A19,F_Inputs_adjusted!$B:$B,$B19)</f>
        <v>0.31900000000000012</v>
      </c>
      <c r="K19" s="38">
        <f ca="1">SUMIFS(F_Inputs_adjusted!U:U,F_Inputs_adjusted!$A:$A,$A19,F_Inputs_adjusted!$B:$B,$B19)</f>
        <v>0.32100000000000012</v>
      </c>
      <c r="L19" s="38">
        <f ca="1">SUMIFS(F_Inputs_adjusted!V:V,F_Inputs_adjusted!$A:$A,$A19,F_Inputs_adjusted!$B:$B,$B19)</f>
        <v>0.32200000000000012</v>
      </c>
      <c r="M19" s="38">
        <f ca="1">SUMIFS(F_Inputs_adjusted!M:M,F_Inputs_adjusted!$A:$A,$A19,F_Inputs_adjusted!$B:$B,$B19)</f>
        <v>0</v>
      </c>
      <c r="N19" s="38">
        <f ca="1">SUM(Table1[[#This Row],[2023-24]:[2029-30]])</f>
        <v>1.4380000000000004</v>
      </c>
    </row>
    <row r="20" spans="1:14">
      <c r="A20" s="18" t="str">
        <f>F_Inputs!A22</f>
        <v>WSH</v>
      </c>
      <c r="B20" s="18" t="str">
        <f>F_Inputs!B22</f>
        <v>CWW3_009TOT_PR24</v>
      </c>
      <c r="C20" s="18" t="str">
        <f>F_Inputs!C22</f>
        <v>EA/NRW environmental programme wastewater (WINEP/NEP) - Continuous river water quality monitoring (WINEP/NEP) wastewater totex - Total</v>
      </c>
      <c r="D20" s="18" t="str">
        <f>F_Inputs!D22</f>
        <v>£m</v>
      </c>
      <c r="E20" s="18" t="str">
        <f>F_Inputs!E22</f>
        <v>Price Review 2024</v>
      </c>
      <c r="F20" s="38">
        <f ca="1">SUMIFS(F_Inputs_adjusted!P:P,F_Inputs_adjusted!$A:$A,$A20,F_Inputs_adjusted!$B:$B,$B20)</f>
        <v>0</v>
      </c>
      <c r="G20" s="38">
        <f ca="1">SUMIFS(F_Inputs_adjusted!Q:Q,F_Inputs_adjusted!$A:$A,$A20,F_Inputs_adjusted!$B:$B,$B20)</f>
        <v>0</v>
      </c>
      <c r="H20" s="38">
        <f ca="1">SUMIFS(F_Inputs_adjusted!R:R,F_Inputs_adjusted!$A:$A,$A20,F_Inputs_adjusted!$B:$B,$B20)</f>
        <v>2.5059999999999998</v>
      </c>
      <c r="I20" s="38">
        <f ca="1">SUMIFS(F_Inputs_adjusted!S:S,F_Inputs_adjusted!$A:$A,$A20,F_Inputs_adjusted!$B:$B,$B20)</f>
        <v>2.6039999999999992</v>
      </c>
      <c r="J20" s="38">
        <f ca="1">SUMIFS(F_Inputs_adjusted!T:T,F_Inputs_adjusted!$A:$A,$A20,F_Inputs_adjusted!$B:$B,$B20)</f>
        <v>0.31900000000000012</v>
      </c>
      <c r="K20" s="38">
        <f ca="1">SUMIFS(F_Inputs_adjusted!U:U,F_Inputs_adjusted!$A:$A,$A20,F_Inputs_adjusted!$B:$B,$B20)</f>
        <v>0.32100000000000012</v>
      </c>
      <c r="L20" s="38">
        <f ca="1">SUMIFS(F_Inputs_adjusted!V:V,F_Inputs_adjusted!$A:$A,$A20,F_Inputs_adjusted!$B:$B,$B20)</f>
        <v>0.32200000000000012</v>
      </c>
      <c r="M20" s="38">
        <f ca="1">SUMIFS(F_Inputs_adjusted!M:M,F_Inputs_adjusted!$A:$A,$A20,F_Inputs_adjusted!$B:$B,$B20)</f>
        <v>0</v>
      </c>
      <c r="N20" s="38">
        <f ca="1">SUM(Table1[[#This Row],[2023-24]:[2029-30]])</f>
        <v>6.0719999999999992</v>
      </c>
    </row>
    <row r="21" spans="1:14">
      <c r="A21" s="18" t="str">
        <f>F_Inputs!A23</f>
        <v>WSH</v>
      </c>
      <c r="B21" s="18" t="str">
        <f>F_Inputs!B23</f>
        <v>CWW20_049_PR24</v>
      </c>
      <c r="C21" s="18" t="str">
        <f>F_Inputs!C23</f>
        <v>Network / Storm overflow data - Number of continuous water quality monitor installations</v>
      </c>
      <c r="D21" s="18" t="str">
        <f>F_Inputs!D23</f>
        <v>nr</v>
      </c>
      <c r="E21" s="18" t="str">
        <f>F_Inputs!E23</f>
        <v>Price Review 2024</v>
      </c>
      <c r="F21" s="38">
        <f ca="1">SUMIFS(F_Inputs_adjusted!P:P,F_Inputs_adjusted!$A:$A,$A21,F_Inputs_adjusted!$B:$B,$B21)</f>
        <v>0</v>
      </c>
      <c r="G21" s="38">
        <f ca="1">SUMIFS(F_Inputs_adjusted!Q:Q,F_Inputs_adjusted!$A:$A,$A21,F_Inputs_adjusted!$B:$B,$B21)</f>
        <v>0</v>
      </c>
      <c r="H21" s="38">
        <f ca="1">SUMIFS(F_Inputs_adjusted!R:R,F_Inputs_adjusted!$A:$A,$A21,F_Inputs_adjusted!$B:$B,$B21)</f>
        <v>14</v>
      </c>
      <c r="I21" s="38">
        <f ca="1">SUMIFS(F_Inputs_adjusted!S:S,F_Inputs_adjusted!$A:$A,$A21,F_Inputs_adjusted!$B:$B,$B21)</f>
        <v>14</v>
      </c>
      <c r="J21" s="38">
        <f ca="1">SUMIFS(F_Inputs_adjusted!T:T,F_Inputs_adjusted!$A:$A,$A21,F_Inputs_adjusted!$B:$B,$B21)</f>
        <v>0</v>
      </c>
      <c r="K21" s="38">
        <f ca="1">SUMIFS(F_Inputs_adjusted!U:U,F_Inputs_adjusted!$A:$A,$A21,F_Inputs_adjusted!$B:$B,$B21)</f>
        <v>0</v>
      </c>
      <c r="L21" s="38">
        <f ca="1">SUMIFS(F_Inputs_adjusted!V:V,F_Inputs_adjusted!$A:$A,$A21,F_Inputs_adjusted!$B:$B,$B21)</f>
        <v>0</v>
      </c>
      <c r="M21" s="38">
        <f ca="1">SUMIFS(F_Inputs_adjusted!M:M,F_Inputs_adjusted!$A:$A,$A21,F_Inputs_adjusted!$B:$B,$B21)</f>
        <v>0</v>
      </c>
      <c r="N21" s="38">
        <f ca="1">SUM(Table1[[#This Row],[2023-24]:[2029-30]])</f>
        <v>28</v>
      </c>
    </row>
    <row r="22" spans="1:14">
      <c r="A22" s="18" t="str">
        <f>F_Inputs!A24</f>
        <v>WSH</v>
      </c>
      <c r="B22" s="18" t="str">
        <f>F_Inputs!B24</f>
        <v>CWW1A_015TOT_PR24</v>
      </c>
      <c r="C22" s="18" t="str">
        <f>F_Inputs!C24</f>
        <v>Net totex - Total</v>
      </c>
      <c r="D22" s="18" t="str">
        <f>F_Inputs!D24</f>
        <v>£m</v>
      </c>
      <c r="E22" s="18" t="str">
        <f>F_Inputs!E24</f>
        <v>Price Review 2024</v>
      </c>
      <c r="F22" s="38">
        <f ca="1">SUMIFS(F_Inputs_adjusted!P:P,F_Inputs_adjusted!$A:$A,$A22,F_Inputs_adjusted!$B:$B,$B22)</f>
        <v>0</v>
      </c>
      <c r="G22" s="38">
        <f ca="1">SUMIFS(F_Inputs_adjusted!Q:Q,F_Inputs_adjusted!$A:$A,$A22,F_Inputs_adjusted!$B:$B,$B22)</f>
        <v>0</v>
      </c>
      <c r="H22" s="38">
        <f ca="1">SUMIFS(F_Inputs_adjusted!R:R,F_Inputs_adjusted!$A:$A,$A22,F_Inputs_adjusted!$B:$B,$B22)</f>
        <v>532.04300000000001</v>
      </c>
      <c r="I22" s="38">
        <f ca="1">SUMIFS(F_Inputs_adjusted!S:S,F_Inputs_adjusted!$A:$A,$A22,F_Inputs_adjusted!$B:$B,$B22)</f>
        <v>677.46500000000003</v>
      </c>
      <c r="J22" s="38">
        <f ca="1">SUMIFS(F_Inputs_adjusted!T:T,F_Inputs_adjusted!$A:$A,$A22,F_Inputs_adjusted!$B:$B,$B22)</f>
        <v>781.62900000000002</v>
      </c>
      <c r="K22" s="38">
        <f ca="1">SUMIFS(F_Inputs_adjusted!U:U,F_Inputs_adjusted!$A:$A,$A22,F_Inputs_adjusted!$B:$B,$B22)</f>
        <v>743.375</v>
      </c>
      <c r="L22" s="38">
        <f ca="1">SUMIFS(F_Inputs_adjusted!V:V,F_Inputs_adjusted!$A:$A,$A22,F_Inputs_adjusted!$B:$B,$B22)</f>
        <v>583.65700000000004</v>
      </c>
      <c r="M22" s="38">
        <f ca="1">SUMIFS(F_Inputs_adjusted!M:M,F_Inputs_adjusted!$A:$A,$A22,F_Inputs_adjusted!$B:$B,$B22)</f>
        <v>0</v>
      </c>
      <c r="N22" s="38">
        <f ca="1">SUM(Table1[[#This Row],[2023-24]:[2029-30]])</f>
        <v>3318.1690000000003</v>
      </c>
    </row>
    <row r="23" spans="1:14">
      <c r="A23" s="18" t="str">
        <f>F_Inputs!A25</f>
        <v>WSH</v>
      </c>
      <c r="B23" s="18" t="str">
        <f>F_Inputs!B25</f>
        <v>PR24_NETTOTEX_WASTE</v>
      </c>
      <c r="C23" s="18" t="str">
        <f>F_Inputs!C25</f>
        <v>PR24 BP Net totex - Total inc. accelerated &amp; transition costs</v>
      </c>
      <c r="D23" s="18" t="str">
        <f>F_Inputs!D25</f>
        <v>£m</v>
      </c>
      <c r="E23" s="18" t="str">
        <f>F_Inputs!E25</f>
        <v>Price Review 2024</v>
      </c>
      <c r="F23" s="38">
        <f ca="1">SUMIFS(F_Inputs_adjusted!P:P,F_Inputs_adjusted!$A:$A,$A23,F_Inputs_adjusted!$B:$B,$B23)</f>
        <v>0</v>
      </c>
      <c r="G23" s="38">
        <f ca="1">SUMIFS(F_Inputs_adjusted!Q:Q,F_Inputs_adjusted!$A:$A,$A23,F_Inputs_adjusted!$B:$B,$B23)</f>
        <v>0</v>
      </c>
      <c r="H23" s="38">
        <f ca="1">SUMIFS(F_Inputs_adjusted!R:R,F_Inputs_adjusted!$A:$A,$A23,F_Inputs_adjusted!$B:$B,$B23)</f>
        <v>0</v>
      </c>
      <c r="I23" s="38">
        <f ca="1">SUMIFS(F_Inputs_adjusted!S:S,F_Inputs_adjusted!$A:$A,$A23,F_Inputs_adjusted!$B:$B,$B23)</f>
        <v>0</v>
      </c>
      <c r="J23" s="38">
        <f ca="1">SUMIFS(F_Inputs_adjusted!T:T,F_Inputs_adjusted!$A:$A,$A23,F_Inputs_adjusted!$B:$B,$B23)</f>
        <v>0</v>
      </c>
      <c r="K23" s="38">
        <f ca="1">SUMIFS(F_Inputs_adjusted!U:U,F_Inputs_adjusted!$A:$A,$A23,F_Inputs_adjusted!$B:$B,$B23)</f>
        <v>0</v>
      </c>
      <c r="L23" s="38">
        <f ca="1">SUMIFS(F_Inputs_adjusted!V:V,F_Inputs_adjusted!$A:$A,$A23,F_Inputs_adjusted!$B:$B,$B23)</f>
        <v>0</v>
      </c>
      <c r="M23" s="38">
        <f ca="1">SUMIFS(F_Inputs_adjusted!M:M,F_Inputs_adjusted!$A:$A,$A23,F_Inputs_adjusted!$B:$B,$B23)</f>
        <v>3318.1690000000003</v>
      </c>
      <c r="N23" s="38">
        <f ca="1">SUM(Table1[[#This Row],[2023-24]:[2029-30]])</f>
        <v>0</v>
      </c>
    </row>
    <row r="24" spans="1:14">
      <c r="A24" s="18" t="str">
        <f>F_Inputs!A26</f>
        <v>WSH</v>
      </c>
      <c r="B24" s="18" t="str">
        <f>F_Inputs!B26</f>
        <v>CWW12_007TOT_PR24</v>
      </c>
      <c r="C24" s="18" t="str">
        <f>F_Inputs!C26</f>
        <v>EA/NRW environmental programme wastewater (WINEP/NEP) - Continuous river water quality monitoring (WINEP/NEP) wastewater capex - Total</v>
      </c>
      <c r="D24" s="18" t="str">
        <f>F_Inputs!D26</f>
        <v>£m</v>
      </c>
      <c r="E24" s="18" t="str">
        <f>F_Inputs!E26</f>
        <v>Price Review 2024</v>
      </c>
      <c r="F24" s="38">
        <f ca="1">SUMIFS(F_Inputs_adjusted!P:P,F_Inputs_adjusted!$A:$A,$A24,F_Inputs_adjusted!$B:$B,$B24)</f>
        <v>0</v>
      </c>
      <c r="G24" s="38">
        <f ca="1">SUMIFS(F_Inputs_adjusted!Q:Q,F_Inputs_adjusted!$A:$A,$A24,F_Inputs_adjusted!$B:$B,$B24)</f>
        <v>0</v>
      </c>
      <c r="H24" s="38">
        <f ca="1">SUMIFS(F_Inputs_adjusted!R:R,F_Inputs_adjusted!$A:$A,$A24,F_Inputs_adjusted!$B:$B,$B24)</f>
        <v>0</v>
      </c>
      <c r="I24" s="38">
        <f ca="1">SUMIFS(F_Inputs_adjusted!S:S,F_Inputs_adjusted!$A:$A,$A24,F_Inputs_adjusted!$B:$B,$B24)</f>
        <v>0</v>
      </c>
      <c r="J24" s="38">
        <f ca="1">SUMIFS(F_Inputs_adjusted!T:T,F_Inputs_adjusted!$A:$A,$A24,F_Inputs_adjusted!$B:$B,$B24)</f>
        <v>0</v>
      </c>
      <c r="K24" s="38">
        <f ca="1">SUMIFS(F_Inputs_adjusted!U:U,F_Inputs_adjusted!$A:$A,$A24,F_Inputs_adjusted!$B:$B,$B24)</f>
        <v>0</v>
      </c>
      <c r="L24" s="38">
        <f ca="1">SUMIFS(F_Inputs_adjusted!V:V,F_Inputs_adjusted!$A:$A,$A24,F_Inputs_adjusted!$B:$B,$B24)</f>
        <v>0</v>
      </c>
      <c r="M24" s="38">
        <f ca="1">SUMIFS(F_Inputs_adjusted!M:M,F_Inputs_adjusted!$A:$A,$A24,F_Inputs_adjusted!$B:$B,$B24)</f>
        <v>0</v>
      </c>
      <c r="N24" s="38">
        <f ca="1">SUM(Table1[[#This Row],[2023-24]:[2029-30]])</f>
        <v>0</v>
      </c>
    </row>
    <row r="25" spans="1:14">
      <c r="A25" s="18" t="str">
        <f>F_Inputs!A27</f>
        <v>WSH</v>
      </c>
      <c r="B25" s="18" t="str">
        <f>F_Inputs!B27</f>
        <v>CWW12_008TOT_PR24</v>
      </c>
      <c r="C25" s="18" t="str">
        <f>F_Inputs!C27</f>
        <v>EA/NRW environmental programme wastewater (WINEP/NEP) - Continuous river water quality monitoring (WINEP/NEP) wastewater opex - Total</v>
      </c>
      <c r="D25" s="18" t="str">
        <f>F_Inputs!D27</f>
        <v>£m</v>
      </c>
      <c r="E25" s="18" t="str">
        <f>F_Inputs!E27</f>
        <v>Price Review 2024</v>
      </c>
      <c r="F25" s="38">
        <f ca="1">SUMIFS(F_Inputs_adjusted!P:P,F_Inputs_adjusted!$A:$A,$A25,F_Inputs_adjusted!$B:$B,$B25)</f>
        <v>0</v>
      </c>
      <c r="G25" s="38">
        <f ca="1">SUMIFS(F_Inputs_adjusted!Q:Q,F_Inputs_adjusted!$A:$A,$A25,F_Inputs_adjusted!$B:$B,$B25)</f>
        <v>0</v>
      </c>
      <c r="H25" s="38">
        <f ca="1">SUMIFS(F_Inputs_adjusted!R:R,F_Inputs_adjusted!$A:$A,$A25,F_Inputs_adjusted!$B:$B,$B25)</f>
        <v>0</v>
      </c>
      <c r="I25" s="38">
        <f ca="1">SUMIFS(F_Inputs_adjusted!S:S,F_Inputs_adjusted!$A:$A,$A25,F_Inputs_adjusted!$B:$B,$B25)</f>
        <v>0</v>
      </c>
      <c r="J25" s="38">
        <f ca="1">SUMIFS(F_Inputs_adjusted!T:T,F_Inputs_adjusted!$A:$A,$A25,F_Inputs_adjusted!$B:$B,$B25)</f>
        <v>0</v>
      </c>
      <c r="K25" s="38">
        <f ca="1">SUMIFS(F_Inputs_adjusted!U:U,F_Inputs_adjusted!$A:$A,$A25,F_Inputs_adjusted!$B:$B,$B25)</f>
        <v>0</v>
      </c>
      <c r="L25" s="38">
        <f ca="1">SUMIFS(F_Inputs_adjusted!V:V,F_Inputs_adjusted!$A:$A,$A25,F_Inputs_adjusted!$B:$B,$B25)</f>
        <v>0</v>
      </c>
      <c r="M25" s="38">
        <f ca="1">SUMIFS(F_Inputs_adjusted!M:M,F_Inputs_adjusted!$A:$A,$A25,F_Inputs_adjusted!$B:$B,$B25)</f>
        <v>0</v>
      </c>
      <c r="N25" s="38">
        <f ca="1">SUM(Table1[[#This Row],[2023-24]:[2029-30]])</f>
        <v>0</v>
      </c>
    </row>
    <row r="26" spans="1:14">
      <c r="A26" s="18" t="str">
        <f>F_Inputs!A28</f>
        <v>WSH</v>
      </c>
      <c r="B26" s="18" t="str">
        <f>F_Inputs!B28</f>
        <v>CWW12_009TOT_PR24</v>
      </c>
      <c r="C26" s="18" t="str">
        <f>F_Inputs!C28</f>
        <v>EA/NRW environmental programme wastewater (WINEP/NEP) - Continuous river water quality monitoring (WINEP/NEP) wastewater totex - Total</v>
      </c>
      <c r="D26" s="18" t="str">
        <f>F_Inputs!D28</f>
        <v>£m</v>
      </c>
      <c r="E26" s="18" t="str">
        <f>F_Inputs!E28</f>
        <v>Price Review 2024</v>
      </c>
      <c r="F26" s="38">
        <f ca="1">SUMIFS(F_Inputs_adjusted!P:P,F_Inputs_adjusted!$A:$A,$A26,F_Inputs_adjusted!$B:$B,$B26)</f>
        <v>0</v>
      </c>
      <c r="G26" s="38">
        <f ca="1">SUMIFS(F_Inputs_adjusted!Q:Q,F_Inputs_adjusted!$A:$A,$A26,F_Inputs_adjusted!$B:$B,$B26)</f>
        <v>0</v>
      </c>
      <c r="H26" s="38">
        <f ca="1">SUMIFS(F_Inputs_adjusted!R:R,F_Inputs_adjusted!$A:$A,$A26,F_Inputs_adjusted!$B:$B,$B26)</f>
        <v>0</v>
      </c>
      <c r="I26" s="38">
        <f ca="1">SUMIFS(F_Inputs_adjusted!S:S,F_Inputs_adjusted!$A:$A,$A26,F_Inputs_adjusted!$B:$B,$B26)</f>
        <v>0</v>
      </c>
      <c r="J26" s="38">
        <f ca="1">SUMIFS(F_Inputs_adjusted!T:T,F_Inputs_adjusted!$A:$A,$A26,F_Inputs_adjusted!$B:$B,$B26)</f>
        <v>0</v>
      </c>
      <c r="K26" s="38">
        <f ca="1">SUMIFS(F_Inputs_adjusted!U:U,F_Inputs_adjusted!$A:$A,$A26,F_Inputs_adjusted!$B:$B,$B26)</f>
        <v>0</v>
      </c>
      <c r="L26" s="38">
        <f ca="1">SUMIFS(F_Inputs_adjusted!V:V,F_Inputs_adjusted!$A:$A,$A26,F_Inputs_adjusted!$B:$B,$B26)</f>
        <v>0</v>
      </c>
      <c r="M26" s="38">
        <f ca="1">SUMIFS(F_Inputs_adjusted!M:M,F_Inputs_adjusted!$A:$A,$A26,F_Inputs_adjusted!$B:$B,$B26)</f>
        <v>0</v>
      </c>
      <c r="N26" s="38">
        <f ca="1">SUM(Table1[[#This Row],[2023-24]:[2029-30]])</f>
        <v>0</v>
      </c>
    </row>
    <row r="27" spans="1:14">
      <c r="A27" s="18" t="str">
        <f>F_Inputs!A29</f>
        <v>WSH</v>
      </c>
      <c r="B27" s="18" t="str">
        <f>F_Inputs!B29</f>
        <v>CWW17_007TOT_PR24</v>
      </c>
      <c r="C27" s="18" t="str">
        <f>F_Inputs!C29</f>
        <v>EA/NRW environmental programme wastewater (WINEP/NEP) - Continuous river water quality monitoring (WINEP/NEP) wastewater capex - Total</v>
      </c>
      <c r="D27" s="18" t="str">
        <f>F_Inputs!D29</f>
        <v>£m</v>
      </c>
      <c r="E27" s="18" t="str">
        <f>F_Inputs!E29</f>
        <v>Price Review 2024</v>
      </c>
      <c r="F27" s="38">
        <f ca="1">SUMIFS(F_Inputs_adjusted!P:P,F_Inputs_adjusted!$A:$A,$A27,F_Inputs_adjusted!$B:$B,$B27)</f>
        <v>0</v>
      </c>
      <c r="G27" s="38">
        <f ca="1">SUMIFS(F_Inputs_adjusted!Q:Q,F_Inputs_adjusted!$A:$A,$A27,F_Inputs_adjusted!$B:$B,$B27)</f>
        <v>0</v>
      </c>
      <c r="H27" s="38">
        <f ca="1">SUMIFS(F_Inputs_adjusted!R:R,F_Inputs_adjusted!$A:$A,$A27,F_Inputs_adjusted!$B:$B,$B27)</f>
        <v>0</v>
      </c>
      <c r="I27" s="38">
        <f ca="1">SUMIFS(F_Inputs_adjusted!S:S,F_Inputs_adjusted!$A:$A,$A27,F_Inputs_adjusted!$B:$B,$B27)</f>
        <v>0</v>
      </c>
      <c r="J27" s="38">
        <f ca="1">SUMIFS(F_Inputs_adjusted!T:T,F_Inputs_adjusted!$A:$A,$A27,F_Inputs_adjusted!$B:$B,$B27)</f>
        <v>0</v>
      </c>
      <c r="K27" s="38">
        <f ca="1">SUMIFS(F_Inputs_adjusted!U:U,F_Inputs_adjusted!$A:$A,$A27,F_Inputs_adjusted!$B:$B,$B27)</f>
        <v>0</v>
      </c>
      <c r="L27" s="38">
        <f ca="1">SUMIFS(F_Inputs_adjusted!V:V,F_Inputs_adjusted!$A:$A,$A27,F_Inputs_adjusted!$B:$B,$B27)</f>
        <v>0</v>
      </c>
      <c r="M27" s="38">
        <f ca="1">SUMIFS(F_Inputs_adjusted!M:M,F_Inputs_adjusted!$A:$A,$A27,F_Inputs_adjusted!$B:$B,$B27)</f>
        <v>0</v>
      </c>
      <c r="N27" s="38">
        <f ca="1">SUM(Table1[[#This Row],[2023-24]:[2029-30]])</f>
        <v>0</v>
      </c>
    </row>
    <row r="28" spans="1:14">
      <c r="A28" s="18" t="str">
        <f>F_Inputs!A30</f>
        <v>WSH</v>
      </c>
      <c r="B28" s="18" t="str">
        <f>F_Inputs!B30</f>
        <v>CWW17_008TOT_PR24</v>
      </c>
      <c r="C28" s="18" t="str">
        <f>F_Inputs!C30</f>
        <v>EA/NRW environmental programme wastewater (WINEP/NEP) - Continuous river water quality monitoring (WINEP/NEP) wastewater opex - Total</v>
      </c>
      <c r="D28" s="18" t="str">
        <f>F_Inputs!D30</f>
        <v>£m</v>
      </c>
      <c r="E28" s="18" t="str">
        <f>F_Inputs!E30</f>
        <v>Price Review 2024</v>
      </c>
      <c r="F28" s="38">
        <f ca="1">SUMIFS(F_Inputs_adjusted!P:P,F_Inputs_adjusted!$A:$A,$A28,F_Inputs_adjusted!$B:$B,$B28)</f>
        <v>0</v>
      </c>
      <c r="G28" s="38">
        <f ca="1">SUMIFS(F_Inputs_adjusted!Q:Q,F_Inputs_adjusted!$A:$A,$A28,F_Inputs_adjusted!$B:$B,$B28)</f>
        <v>0</v>
      </c>
      <c r="H28" s="38">
        <f ca="1">SUMIFS(F_Inputs_adjusted!R:R,F_Inputs_adjusted!$A:$A,$A28,F_Inputs_adjusted!$B:$B,$B28)</f>
        <v>0</v>
      </c>
      <c r="I28" s="38">
        <f ca="1">SUMIFS(F_Inputs_adjusted!S:S,F_Inputs_adjusted!$A:$A,$A28,F_Inputs_adjusted!$B:$B,$B28)</f>
        <v>0</v>
      </c>
      <c r="J28" s="38">
        <f ca="1">SUMIFS(F_Inputs_adjusted!T:T,F_Inputs_adjusted!$A:$A,$A28,F_Inputs_adjusted!$B:$B,$B28)</f>
        <v>0</v>
      </c>
      <c r="K28" s="38">
        <f ca="1">SUMIFS(F_Inputs_adjusted!U:U,F_Inputs_adjusted!$A:$A,$A28,F_Inputs_adjusted!$B:$B,$B28)</f>
        <v>0</v>
      </c>
      <c r="L28" s="38">
        <f ca="1">SUMIFS(F_Inputs_adjusted!V:V,F_Inputs_adjusted!$A:$A,$A28,F_Inputs_adjusted!$B:$B,$B28)</f>
        <v>0</v>
      </c>
      <c r="M28" s="38">
        <f ca="1">SUMIFS(F_Inputs_adjusted!M:M,F_Inputs_adjusted!$A:$A,$A28,F_Inputs_adjusted!$B:$B,$B28)</f>
        <v>0</v>
      </c>
      <c r="N28" s="38">
        <f ca="1">SUM(Table1[[#This Row],[2023-24]:[2029-30]])</f>
        <v>0</v>
      </c>
    </row>
    <row r="29" spans="1:14">
      <c r="A29" s="18" t="str">
        <f>F_Inputs!A31</f>
        <v>WSH</v>
      </c>
      <c r="B29" s="18" t="str">
        <f>F_Inputs!B31</f>
        <v>CWW17_009TOT_PR24</v>
      </c>
      <c r="C29" s="18" t="str">
        <f>F_Inputs!C31</f>
        <v>EA/NRW environmental programme wastewater (WINEP/NEP) - Continuous river water quality monitoring (WINEP/NEP) wastewater totex - Total</v>
      </c>
      <c r="D29" s="18" t="str">
        <f>F_Inputs!D31</f>
        <v>£m</v>
      </c>
      <c r="E29" s="18" t="str">
        <f>F_Inputs!E31</f>
        <v>Price Review 2024</v>
      </c>
      <c r="F29" s="38">
        <f ca="1">SUMIFS(F_Inputs_adjusted!P:P,F_Inputs_adjusted!$A:$A,$A29,F_Inputs_adjusted!$B:$B,$B29)</f>
        <v>0</v>
      </c>
      <c r="G29" s="38">
        <f ca="1">SUMIFS(F_Inputs_adjusted!Q:Q,F_Inputs_adjusted!$A:$A,$A29,F_Inputs_adjusted!$B:$B,$B29)</f>
        <v>0</v>
      </c>
      <c r="H29" s="38">
        <f ca="1">SUMIFS(F_Inputs_adjusted!R:R,F_Inputs_adjusted!$A:$A,$A29,F_Inputs_adjusted!$B:$B,$B29)</f>
        <v>0</v>
      </c>
      <c r="I29" s="38">
        <f ca="1">SUMIFS(F_Inputs_adjusted!S:S,F_Inputs_adjusted!$A:$A,$A29,F_Inputs_adjusted!$B:$B,$B29)</f>
        <v>0</v>
      </c>
      <c r="J29" s="38">
        <f ca="1">SUMIFS(F_Inputs_adjusted!T:T,F_Inputs_adjusted!$A:$A,$A29,F_Inputs_adjusted!$B:$B,$B29)</f>
        <v>0</v>
      </c>
      <c r="K29" s="38">
        <f ca="1">SUMIFS(F_Inputs_adjusted!U:U,F_Inputs_adjusted!$A:$A,$A29,F_Inputs_adjusted!$B:$B,$B29)</f>
        <v>0</v>
      </c>
      <c r="L29" s="38">
        <f ca="1">SUMIFS(F_Inputs_adjusted!V:V,F_Inputs_adjusted!$A:$A,$A29,F_Inputs_adjusted!$B:$B,$B29)</f>
        <v>0</v>
      </c>
      <c r="M29" s="38">
        <f ca="1">SUMIFS(F_Inputs_adjusted!M:M,F_Inputs_adjusted!$A:$A,$A29,F_Inputs_adjusted!$B:$B,$B29)</f>
        <v>0</v>
      </c>
      <c r="N29" s="38">
        <f ca="1">SUM(Table1[[#This Row],[2023-24]:[2029-30]])</f>
        <v>0</v>
      </c>
    </row>
    <row r="30" spans="1:14">
      <c r="A30" s="18" t="str">
        <f>F_Inputs!A32</f>
        <v>WSH</v>
      </c>
      <c r="B30" s="18" t="str">
        <f>F_Inputs!B32</f>
        <v>CWW20A_049_PR24</v>
      </c>
      <c r="C30" s="18" t="str">
        <f>F_Inputs!C32</f>
        <v>Network / Storm overflow data - Number of continuous water quality monitor installations</v>
      </c>
      <c r="D30" s="18" t="str">
        <f>F_Inputs!D32</f>
        <v>nr</v>
      </c>
      <c r="E30" s="18" t="str">
        <f>F_Inputs!E32</f>
        <v>Price Review 2024</v>
      </c>
      <c r="F30" s="38">
        <f ca="1">SUMIFS(F_Inputs_adjusted!P:P,F_Inputs_adjusted!$A:$A,$A30,F_Inputs_adjusted!$B:$B,$B30)</f>
        <v>0</v>
      </c>
      <c r="G30" s="38">
        <f ca="1">SUMIFS(F_Inputs_adjusted!Q:Q,F_Inputs_adjusted!$A:$A,$A30,F_Inputs_adjusted!$B:$B,$B30)</f>
        <v>0</v>
      </c>
      <c r="H30" s="38">
        <f ca="1">SUMIFS(F_Inputs_adjusted!R:R,F_Inputs_adjusted!$A:$A,$A30,F_Inputs_adjusted!$B:$B,$B30)</f>
        <v>0</v>
      </c>
      <c r="I30" s="38">
        <f ca="1">SUMIFS(F_Inputs_adjusted!S:S,F_Inputs_adjusted!$A:$A,$A30,F_Inputs_adjusted!$B:$B,$B30)</f>
        <v>0</v>
      </c>
      <c r="J30" s="38">
        <f ca="1">SUMIFS(F_Inputs_adjusted!T:T,F_Inputs_adjusted!$A:$A,$A30,F_Inputs_adjusted!$B:$B,$B30)</f>
        <v>0</v>
      </c>
      <c r="K30" s="38">
        <f ca="1">SUMIFS(F_Inputs_adjusted!U:U,F_Inputs_adjusted!$A:$A,$A30,F_Inputs_adjusted!$B:$B,$B30)</f>
        <v>0</v>
      </c>
      <c r="L30" s="38">
        <f ca="1">SUMIFS(F_Inputs_adjusted!V:V,F_Inputs_adjusted!$A:$A,$A30,F_Inputs_adjusted!$B:$B,$B30)</f>
        <v>0</v>
      </c>
      <c r="M30" s="38">
        <f ca="1">SUMIFS(F_Inputs_adjusted!M:M,F_Inputs_adjusted!$A:$A,$A30,F_Inputs_adjusted!$B:$B,$B30)</f>
        <v>0</v>
      </c>
      <c r="N30" s="38">
        <f ca="1">SUM(Table1[[#This Row],[2023-24]:[2029-30]])</f>
        <v>0</v>
      </c>
    </row>
    <row r="31" spans="1:14">
      <c r="A31" s="18" t="str">
        <f>F_Inputs!A33</f>
        <v>HDD</v>
      </c>
      <c r="B31" s="18" t="str">
        <f>F_Inputs!B33</f>
        <v>CWW3_007TOT_PR24</v>
      </c>
      <c r="C31" s="18" t="str">
        <f>F_Inputs!C33</f>
        <v>EA/NRW environmental programme wastewater (WINEP/NEP) - Continuous river water quality monitoring (WINEP/NEP) wastewater capex - Total</v>
      </c>
      <c r="D31" s="18" t="str">
        <f>F_Inputs!D33</f>
        <v>£m</v>
      </c>
      <c r="E31" s="18" t="str">
        <f>F_Inputs!E33</f>
        <v>Price Review 2024</v>
      </c>
      <c r="F31" s="38">
        <f ca="1">SUMIFS(F_Inputs_adjusted!P:P,F_Inputs_adjusted!$A:$A,$A31,F_Inputs_adjusted!$B:$B,$B31)</f>
        <v>0</v>
      </c>
      <c r="G31" s="38">
        <f ca="1">SUMIFS(F_Inputs_adjusted!Q:Q,F_Inputs_adjusted!$A:$A,$A31,F_Inputs_adjusted!$B:$B,$B31)</f>
        <v>0</v>
      </c>
      <c r="H31" s="38">
        <f ca="1">SUMIFS(F_Inputs_adjusted!R:R,F_Inputs_adjusted!$A:$A,$A31,F_Inputs_adjusted!$B:$B,$B31)</f>
        <v>0</v>
      </c>
      <c r="I31" s="38">
        <f ca="1">SUMIFS(F_Inputs_adjusted!S:S,F_Inputs_adjusted!$A:$A,$A31,F_Inputs_adjusted!$B:$B,$B31)</f>
        <v>0</v>
      </c>
      <c r="J31" s="38">
        <f ca="1">SUMIFS(F_Inputs_adjusted!T:T,F_Inputs_adjusted!$A:$A,$A31,F_Inputs_adjusted!$B:$B,$B31)</f>
        <v>0</v>
      </c>
      <c r="K31" s="38">
        <f ca="1">SUMIFS(F_Inputs_adjusted!U:U,F_Inputs_adjusted!$A:$A,$A31,F_Inputs_adjusted!$B:$B,$B31)</f>
        <v>0</v>
      </c>
      <c r="L31" s="38">
        <f ca="1">SUMIFS(F_Inputs_adjusted!V:V,F_Inputs_adjusted!$A:$A,$A31,F_Inputs_adjusted!$B:$B,$B31)</f>
        <v>0</v>
      </c>
      <c r="M31" s="38">
        <f ca="1">SUMIFS(F_Inputs_adjusted!M:M,F_Inputs_adjusted!$A:$A,$A31,F_Inputs_adjusted!$B:$B,$B31)</f>
        <v>0</v>
      </c>
      <c r="N31" s="38">
        <f ca="1">SUM(Table1[[#This Row],[2023-24]:[2029-30]])</f>
        <v>0</v>
      </c>
    </row>
    <row r="32" spans="1:14">
      <c r="A32" s="18" t="str">
        <f>F_Inputs!A34</f>
        <v>HDD</v>
      </c>
      <c r="B32" s="18" t="str">
        <f>F_Inputs!B34</f>
        <v>CWW3_008TOT_PR24</v>
      </c>
      <c r="C32" s="18" t="str">
        <f>F_Inputs!C34</f>
        <v>EA/NRW environmental programme wastewater (WINEP/NEP) - Continuous river water quality monitoring (WINEP/NEP) wastewater opex - Total</v>
      </c>
      <c r="D32" s="18" t="str">
        <f>F_Inputs!D34</f>
        <v>£m</v>
      </c>
      <c r="E32" s="18" t="str">
        <f>F_Inputs!E34</f>
        <v>Price Review 2024</v>
      </c>
      <c r="F32" s="38">
        <f ca="1">SUMIFS(F_Inputs_adjusted!P:P,F_Inputs_adjusted!$A:$A,$A32,F_Inputs_adjusted!$B:$B,$B32)</f>
        <v>0</v>
      </c>
      <c r="G32" s="38">
        <f ca="1">SUMIFS(F_Inputs_adjusted!Q:Q,F_Inputs_adjusted!$A:$A,$A32,F_Inputs_adjusted!$B:$B,$B32)</f>
        <v>0</v>
      </c>
      <c r="H32" s="38">
        <f ca="1">SUMIFS(F_Inputs_adjusted!R:R,F_Inputs_adjusted!$A:$A,$A32,F_Inputs_adjusted!$B:$B,$B32)</f>
        <v>0</v>
      </c>
      <c r="I32" s="38">
        <f ca="1">SUMIFS(F_Inputs_adjusted!S:S,F_Inputs_adjusted!$A:$A,$A32,F_Inputs_adjusted!$B:$B,$B32)</f>
        <v>0</v>
      </c>
      <c r="J32" s="38">
        <f ca="1">SUMIFS(F_Inputs_adjusted!T:T,F_Inputs_adjusted!$A:$A,$A32,F_Inputs_adjusted!$B:$B,$B32)</f>
        <v>0</v>
      </c>
      <c r="K32" s="38">
        <f ca="1">SUMIFS(F_Inputs_adjusted!U:U,F_Inputs_adjusted!$A:$A,$A32,F_Inputs_adjusted!$B:$B,$B32)</f>
        <v>0</v>
      </c>
      <c r="L32" s="38">
        <f ca="1">SUMIFS(F_Inputs_adjusted!V:V,F_Inputs_adjusted!$A:$A,$A32,F_Inputs_adjusted!$B:$B,$B32)</f>
        <v>0</v>
      </c>
      <c r="M32" s="38">
        <f ca="1">SUMIFS(F_Inputs_adjusted!M:M,F_Inputs_adjusted!$A:$A,$A32,F_Inputs_adjusted!$B:$B,$B32)</f>
        <v>0</v>
      </c>
      <c r="N32" s="38">
        <f ca="1">SUM(Table1[[#This Row],[2023-24]:[2029-30]])</f>
        <v>0</v>
      </c>
    </row>
    <row r="33" spans="1:14">
      <c r="A33" s="18" t="str">
        <f>F_Inputs!A35</f>
        <v>HDD</v>
      </c>
      <c r="B33" s="18" t="str">
        <f>F_Inputs!B35</f>
        <v>CWW3_009TOT_PR24</v>
      </c>
      <c r="C33" s="18" t="str">
        <f>F_Inputs!C35</f>
        <v>EA/NRW environmental programme wastewater (WINEP/NEP) - Continuous river water quality monitoring (WINEP/NEP) wastewater totex - Total</v>
      </c>
      <c r="D33" s="18" t="str">
        <f>F_Inputs!D35</f>
        <v>£m</v>
      </c>
      <c r="E33" s="18" t="str">
        <f>F_Inputs!E35</f>
        <v>Price Review 2024</v>
      </c>
      <c r="F33" s="38">
        <f ca="1">SUMIFS(F_Inputs_adjusted!P:P,F_Inputs_adjusted!$A:$A,$A33,F_Inputs_adjusted!$B:$B,$B33)</f>
        <v>0</v>
      </c>
      <c r="G33" s="38">
        <f ca="1">SUMIFS(F_Inputs_adjusted!Q:Q,F_Inputs_adjusted!$A:$A,$A33,F_Inputs_adjusted!$B:$B,$B33)</f>
        <v>0</v>
      </c>
      <c r="H33" s="38">
        <f ca="1">SUMIFS(F_Inputs_adjusted!R:R,F_Inputs_adjusted!$A:$A,$A33,F_Inputs_adjusted!$B:$B,$B33)</f>
        <v>0</v>
      </c>
      <c r="I33" s="38">
        <f ca="1">SUMIFS(F_Inputs_adjusted!S:S,F_Inputs_adjusted!$A:$A,$A33,F_Inputs_adjusted!$B:$B,$B33)</f>
        <v>0</v>
      </c>
      <c r="J33" s="38">
        <f ca="1">SUMIFS(F_Inputs_adjusted!T:T,F_Inputs_adjusted!$A:$A,$A33,F_Inputs_adjusted!$B:$B,$B33)</f>
        <v>0</v>
      </c>
      <c r="K33" s="38">
        <f ca="1">SUMIFS(F_Inputs_adjusted!U:U,F_Inputs_adjusted!$A:$A,$A33,F_Inputs_adjusted!$B:$B,$B33)</f>
        <v>0</v>
      </c>
      <c r="L33" s="38">
        <f ca="1">SUMIFS(F_Inputs_adjusted!V:V,F_Inputs_adjusted!$A:$A,$A33,F_Inputs_adjusted!$B:$B,$B33)</f>
        <v>0</v>
      </c>
      <c r="M33" s="38">
        <f ca="1">SUMIFS(F_Inputs_adjusted!M:M,F_Inputs_adjusted!$A:$A,$A33,F_Inputs_adjusted!$B:$B,$B33)</f>
        <v>0</v>
      </c>
      <c r="N33" s="38">
        <f ca="1">SUM(Table1[[#This Row],[2023-24]:[2029-30]])</f>
        <v>0</v>
      </c>
    </row>
    <row r="34" spans="1:14">
      <c r="A34" s="18" t="str">
        <f>F_Inputs!A36</f>
        <v>HDD</v>
      </c>
      <c r="B34" s="18" t="str">
        <f>F_Inputs!B36</f>
        <v>CWW20_049_PR24</v>
      </c>
      <c r="C34" s="18" t="str">
        <f>F_Inputs!C36</f>
        <v>Network / Storm overflow data - Number of continuous water quality monitor installations</v>
      </c>
      <c r="D34" s="18" t="str">
        <f>F_Inputs!D36</f>
        <v>nr</v>
      </c>
      <c r="E34" s="18" t="str">
        <f>F_Inputs!E36</f>
        <v>Price Review 2024</v>
      </c>
      <c r="F34" s="38">
        <f ca="1">SUMIFS(F_Inputs_adjusted!P:P,F_Inputs_adjusted!$A:$A,$A34,F_Inputs_adjusted!$B:$B,$B34)</f>
        <v>0</v>
      </c>
      <c r="G34" s="38">
        <f ca="1">SUMIFS(F_Inputs_adjusted!Q:Q,F_Inputs_adjusted!$A:$A,$A34,F_Inputs_adjusted!$B:$B,$B34)</f>
        <v>0</v>
      </c>
      <c r="H34" s="38">
        <f ca="1">SUMIFS(F_Inputs_adjusted!R:R,F_Inputs_adjusted!$A:$A,$A34,F_Inputs_adjusted!$B:$B,$B34)</f>
        <v>0</v>
      </c>
      <c r="I34" s="38">
        <f ca="1">SUMIFS(F_Inputs_adjusted!S:S,F_Inputs_adjusted!$A:$A,$A34,F_Inputs_adjusted!$B:$B,$B34)</f>
        <v>0</v>
      </c>
      <c r="J34" s="38">
        <f ca="1">SUMIFS(F_Inputs_adjusted!T:T,F_Inputs_adjusted!$A:$A,$A34,F_Inputs_adjusted!$B:$B,$B34)</f>
        <v>0</v>
      </c>
      <c r="K34" s="38">
        <f ca="1">SUMIFS(F_Inputs_adjusted!U:U,F_Inputs_adjusted!$A:$A,$A34,F_Inputs_adjusted!$B:$B,$B34)</f>
        <v>0</v>
      </c>
      <c r="L34" s="38">
        <f ca="1">SUMIFS(F_Inputs_adjusted!V:V,F_Inputs_adjusted!$A:$A,$A34,F_Inputs_adjusted!$B:$B,$B34)</f>
        <v>0</v>
      </c>
      <c r="M34" s="38">
        <f ca="1">SUMIFS(F_Inputs_adjusted!M:M,F_Inputs_adjusted!$A:$A,$A34,F_Inputs_adjusted!$B:$B,$B34)</f>
        <v>0</v>
      </c>
      <c r="N34" s="38">
        <f ca="1">SUM(Table1[[#This Row],[2023-24]:[2029-30]])</f>
        <v>0</v>
      </c>
    </row>
    <row r="35" spans="1:14">
      <c r="A35" s="18" t="str">
        <f>F_Inputs!A37</f>
        <v>HDD</v>
      </c>
      <c r="B35" s="18" t="str">
        <f>F_Inputs!B37</f>
        <v>CWW1A_015TOT_PR24</v>
      </c>
      <c r="C35" s="18" t="str">
        <f>F_Inputs!C37</f>
        <v>Net totex - Total</v>
      </c>
      <c r="D35" s="18" t="str">
        <f>F_Inputs!D37</f>
        <v>£m</v>
      </c>
      <c r="E35" s="18" t="str">
        <f>F_Inputs!E37</f>
        <v>Price Review 2024</v>
      </c>
      <c r="F35" s="38">
        <f ca="1">SUMIFS(F_Inputs_adjusted!P:P,F_Inputs_adjusted!$A:$A,$A35,F_Inputs_adjusted!$B:$B,$B35)</f>
        <v>0</v>
      </c>
      <c r="G35" s="38">
        <f ca="1">SUMIFS(F_Inputs_adjusted!Q:Q,F_Inputs_adjusted!$A:$A,$A35,F_Inputs_adjusted!$B:$B,$B35)</f>
        <v>0</v>
      </c>
      <c r="H35" s="38">
        <f ca="1">SUMIFS(F_Inputs_adjusted!R:R,F_Inputs_adjusted!$A:$A,$A35,F_Inputs_adjusted!$B:$B,$B35)</f>
        <v>8.9449866348255469</v>
      </c>
      <c r="I35" s="38">
        <f ca="1">SUMIFS(F_Inputs_adjusted!S:S,F_Inputs_adjusted!$A:$A,$A35,F_Inputs_adjusted!$B:$B,$B35)</f>
        <v>10.513360129683161</v>
      </c>
      <c r="J35" s="38">
        <f ca="1">SUMIFS(F_Inputs_adjusted!T:T,F_Inputs_adjusted!$A:$A,$A35,F_Inputs_adjusted!$B:$B,$B35)</f>
        <v>14.777142001610789</v>
      </c>
      <c r="K35" s="38">
        <f ca="1">SUMIFS(F_Inputs_adjusted!U:U,F_Inputs_adjusted!$A:$A,$A35,F_Inputs_adjusted!$B:$B,$B35)</f>
        <v>17.269327311959941</v>
      </c>
      <c r="L35" s="38">
        <f ca="1">SUMIFS(F_Inputs_adjusted!V:V,F_Inputs_adjusted!$A:$A,$A35,F_Inputs_adjusted!$B:$B,$B35)</f>
        <v>9.7979959403769783</v>
      </c>
      <c r="M35" s="38">
        <f ca="1">SUMIFS(F_Inputs_adjusted!M:M,F_Inputs_adjusted!$A:$A,$A35,F_Inputs_adjusted!$B:$B,$B35)</f>
        <v>0</v>
      </c>
      <c r="N35" s="38">
        <f ca="1">SUM(Table1[[#This Row],[2023-24]:[2029-30]])</f>
        <v>61.302812018456414</v>
      </c>
    </row>
    <row r="36" spans="1:14">
      <c r="A36" s="18" t="str">
        <f>F_Inputs!A38</f>
        <v>HDD</v>
      </c>
      <c r="B36" s="18" t="str">
        <f>F_Inputs!B38</f>
        <v>PR24_NETTOTEX_WASTE</v>
      </c>
      <c r="C36" s="18" t="str">
        <f>F_Inputs!C38</f>
        <v>PR24 BP Net totex - Total inc. accelerated &amp; transition costs</v>
      </c>
      <c r="D36" s="18" t="str">
        <f>F_Inputs!D38</f>
        <v>£m</v>
      </c>
      <c r="E36" s="18" t="str">
        <f>F_Inputs!E38</f>
        <v>Price Review 2024</v>
      </c>
      <c r="F36" s="38">
        <f ca="1">SUMIFS(F_Inputs_adjusted!P:P,F_Inputs_adjusted!$A:$A,$A36,F_Inputs_adjusted!$B:$B,$B36)</f>
        <v>0</v>
      </c>
      <c r="G36" s="38">
        <f ca="1">SUMIFS(F_Inputs_adjusted!Q:Q,F_Inputs_adjusted!$A:$A,$A36,F_Inputs_adjusted!$B:$B,$B36)</f>
        <v>0</v>
      </c>
      <c r="H36" s="38">
        <f ca="1">SUMIFS(F_Inputs_adjusted!R:R,F_Inputs_adjusted!$A:$A,$A36,F_Inputs_adjusted!$B:$B,$B36)</f>
        <v>0</v>
      </c>
      <c r="I36" s="38">
        <f ca="1">SUMIFS(F_Inputs_adjusted!S:S,F_Inputs_adjusted!$A:$A,$A36,F_Inputs_adjusted!$B:$B,$B36)</f>
        <v>0</v>
      </c>
      <c r="J36" s="38">
        <f ca="1">SUMIFS(F_Inputs_adjusted!T:T,F_Inputs_adjusted!$A:$A,$A36,F_Inputs_adjusted!$B:$B,$B36)</f>
        <v>0</v>
      </c>
      <c r="K36" s="38">
        <f ca="1">SUMIFS(F_Inputs_adjusted!U:U,F_Inputs_adjusted!$A:$A,$A36,F_Inputs_adjusted!$B:$B,$B36)</f>
        <v>0</v>
      </c>
      <c r="L36" s="38">
        <f ca="1">SUMIFS(F_Inputs_adjusted!V:V,F_Inputs_adjusted!$A:$A,$A36,F_Inputs_adjusted!$B:$B,$B36)</f>
        <v>0</v>
      </c>
      <c r="M36" s="38">
        <f ca="1">SUMIFS(F_Inputs_adjusted!M:M,F_Inputs_adjusted!$A:$A,$A36,F_Inputs_adjusted!$B:$B,$B36)</f>
        <v>61.302812018456414</v>
      </c>
      <c r="N36" s="38">
        <f ca="1">SUM(Table1[[#This Row],[2023-24]:[2029-30]])</f>
        <v>0</v>
      </c>
    </row>
    <row r="37" spans="1:14">
      <c r="A37" s="18" t="str">
        <f>F_Inputs!A39</f>
        <v>HDD</v>
      </c>
      <c r="B37" s="18" t="str">
        <f>F_Inputs!B39</f>
        <v>CWW12_007TOT_PR24</v>
      </c>
      <c r="C37" s="18" t="str">
        <f>F_Inputs!C39</f>
        <v>EA/NRW environmental programme wastewater (WINEP/NEP) - Continuous river water quality monitoring (WINEP/NEP) wastewater capex - Total</v>
      </c>
      <c r="D37" s="18" t="str">
        <f>F_Inputs!D39</f>
        <v>£m</v>
      </c>
      <c r="E37" s="18" t="str">
        <f>F_Inputs!E39</f>
        <v>Price Review 2024</v>
      </c>
      <c r="F37" s="38">
        <f ca="1">SUMIFS(F_Inputs_adjusted!P:P,F_Inputs_adjusted!$A:$A,$A37,F_Inputs_adjusted!$B:$B,$B37)</f>
        <v>0</v>
      </c>
      <c r="G37" s="38">
        <f ca="1">SUMIFS(F_Inputs_adjusted!Q:Q,F_Inputs_adjusted!$A:$A,$A37,F_Inputs_adjusted!$B:$B,$B37)</f>
        <v>0</v>
      </c>
      <c r="H37" s="38">
        <f ca="1">SUMIFS(F_Inputs_adjusted!R:R,F_Inputs_adjusted!$A:$A,$A37,F_Inputs_adjusted!$B:$B,$B37)</f>
        <v>0</v>
      </c>
      <c r="I37" s="38">
        <f ca="1">SUMIFS(F_Inputs_adjusted!S:S,F_Inputs_adjusted!$A:$A,$A37,F_Inputs_adjusted!$B:$B,$B37)</f>
        <v>0</v>
      </c>
      <c r="J37" s="38">
        <f ca="1">SUMIFS(F_Inputs_adjusted!T:T,F_Inputs_adjusted!$A:$A,$A37,F_Inputs_adjusted!$B:$B,$B37)</f>
        <v>0</v>
      </c>
      <c r="K37" s="38">
        <f ca="1">SUMIFS(F_Inputs_adjusted!U:U,F_Inputs_adjusted!$A:$A,$A37,F_Inputs_adjusted!$B:$B,$B37)</f>
        <v>0</v>
      </c>
      <c r="L37" s="38">
        <f ca="1">SUMIFS(F_Inputs_adjusted!V:V,F_Inputs_adjusted!$A:$A,$A37,F_Inputs_adjusted!$B:$B,$B37)</f>
        <v>0</v>
      </c>
      <c r="M37" s="38">
        <f ca="1">SUMIFS(F_Inputs_adjusted!M:M,F_Inputs_adjusted!$A:$A,$A37,F_Inputs_adjusted!$B:$B,$B37)</f>
        <v>0</v>
      </c>
      <c r="N37" s="38">
        <f ca="1">SUM(Table1[[#This Row],[2023-24]:[2029-30]])</f>
        <v>0</v>
      </c>
    </row>
    <row r="38" spans="1:14">
      <c r="A38" s="18" t="str">
        <f>F_Inputs!A40</f>
        <v>HDD</v>
      </c>
      <c r="B38" s="18" t="str">
        <f>F_Inputs!B40</f>
        <v>CWW12_008TOT_PR24</v>
      </c>
      <c r="C38" s="18" t="str">
        <f>F_Inputs!C40</f>
        <v>EA/NRW environmental programme wastewater (WINEP/NEP) - Continuous river water quality monitoring (WINEP/NEP) wastewater opex - Total</v>
      </c>
      <c r="D38" s="18" t="str">
        <f>F_Inputs!D40</f>
        <v>£m</v>
      </c>
      <c r="E38" s="18" t="str">
        <f>F_Inputs!E40</f>
        <v>Price Review 2024</v>
      </c>
      <c r="F38" s="38">
        <f ca="1">SUMIFS(F_Inputs_adjusted!P:P,F_Inputs_adjusted!$A:$A,$A38,F_Inputs_adjusted!$B:$B,$B38)</f>
        <v>0</v>
      </c>
      <c r="G38" s="38">
        <f ca="1">SUMIFS(F_Inputs_adjusted!Q:Q,F_Inputs_adjusted!$A:$A,$A38,F_Inputs_adjusted!$B:$B,$B38)</f>
        <v>0</v>
      </c>
      <c r="H38" s="38">
        <f ca="1">SUMIFS(F_Inputs_adjusted!R:R,F_Inputs_adjusted!$A:$A,$A38,F_Inputs_adjusted!$B:$B,$B38)</f>
        <v>0</v>
      </c>
      <c r="I38" s="38">
        <f ca="1">SUMIFS(F_Inputs_adjusted!S:S,F_Inputs_adjusted!$A:$A,$A38,F_Inputs_adjusted!$B:$B,$B38)</f>
        <v>0</v>
      </c>
      <c r="J38" s="38">
        <f ca="1">SUMIFS(F_Inputs_adjusted!T:T,F_Inputs_adjusted!$A:$A,$A38,F_Inputs_adjusted!$B:$B,$B38)</f>
        <v>0</v>
      </c>
      <c r="K38" s="38">
        <f ca="1">SUMIFS(F_Inputs_adjusted!U:U,F_Inputs_adjusted!$A:$A,$A38,F_Inputs_adjusted!$B:$B,$B38)</f>
        <v>0</v>
      </c>
      <c r="L38" s="38">
        <f ca="1">SUMIFS(F_Inputs_adjusted!V:V,F_Inputs_adjusted!$A:$A,$A38,F_Inputs_adjusted!$B:$B,$B38)</f>
        <v>0</v>
      </c>
      <c r="M38" s="38">
        <f ca="1">SUMIFS(F_Inputs_adjusted!M:M,F_Inputs_adjusted!$A:$A,$A38,F_Inputs_adjusted!$B:$B,$B38)</f>
        <v>0</v>
      </c>
      <c r="N38" s="38">
        <f ca="1">SUM(Table1[[#This Row],[2023-24]:[2029-30]])</f>
        <v>0</v>
      </c>
    </row>
    <row r="39" spans="1:14">
      <c r="A39" s="18" t="str">
        <f>F_Inputs!A41</f>
        <v>HDD</v>
      </c>
      <c r="B39" s="18" t="str">
        <f>F_Inputs!B41</f>
        <v>CWW12_009TOT_PR24</v>
      </c>
      <c r="C39" s="18" t="str">
        <f>F_Inputs!C41</f>
        <v>EA/NRW environmental programme wastewater (WINEP/NEP) - Continuous river water quality monitoring (WINEP/NEP) wastewater totex - Total</v>
      </c>
      <c r="D39" s="18" t="str">
        <f>F_Inputs!D41</f>
        <v>£m</v>
      </c>
      <c r="E39" s="18" t="str">
        <f>F_Inputs!E41</f>
        <v>Price Review 2024</v>
      </c>
      <c r="F39" s="38">
        <f ca="1">SUMIFS(F_Inputs_adjusted!P:P,F_Inputs_adjusted!$A:$A,$A39,F_Inputs_adjusted!$B:$B,$B39)</f>
        <v>0</v>
      </c>
      <c r="G39" s="38">
        <f ca="1">SUMIFS(F_Inputs_adjusted!Q:Q,F_Inputs_adjusted!$A:$A,$A39,F_Inputs_adjusted!$B:$B,$B39)</f>
        <v>0</v>
      </c>
      <c r="H39" s="38">
        <f ca="1">SUMIFS(F_Inputs_adjusted!R:R,F_Inputs_adjusted!$A:$A,$A39,F_Inputs_adjusted!$B:$B,$B39)</f>
        <v>0</v>
      </c>
      <c r="I39" s="38">
        <f ca="1">SUMIFS(F_Inputs_adjusted!S:S,F_Inputs_adjusted!$A:$A,$A39,F_Inputs_adjusted!$B:$B,$B39)</f>
        <v>0</v>
      </c>
      <c r="J39" s="38">
        <f ca="1">SUMIFS(F_Inputs_adjusted!T:T,F_Inputs_adjusted!$A:$A,$A39,F_Inputs_adjusted!$B:$B,$B39)</f>
        <v>0</v>
      </c>
      <c r="K39" s="38">
        <f ca="1">SUMIFS(F_Inputs_adjusted!U:U,F_Inputs_adjusted!$A:$A,$A39,F_Inputs_adjusted!$B:$B,$B39)</f>
        <v>0</v>
      </c>
      <c r="L39" s="38">
        <f ca="1">SUMIFS(F_Inputs_adjusted!V:V,F_Inputs_adjusted!$A:$A,$A39,F_Inputs_adjusted!$B:$B,$B39)</f>
        <v>0</v>
      </c>
      <c r="M39" s="38">
        <f ca="1">SUMIFS(F_Inputs_adjusted!M:M,F_Inputs_adjusted!$A:$A,$A39,F_Inputs_adjusted!$B:$B,$B39)</f>
        <v>0</v>
      </c>
      <c r="N39" s="38">
        <f ca="1">SUM(Table1[[#This Row],[2023-24]:[2029-30]])</f>
        <v>0</v>
      </c>
    </row>
    <row r="40" spans="1:14">
      <c r="A40" s="18" t="str">
        <f>F_Inputs!A42</f>
        <v>HDD</v>
      </c>
      <c r="B40" s="18" t="str">
        <f>F_Inputs!B42</f>
        <v>CWW17_007TOT_PR24</v>
      </c>
      <c r="C40" s="18" t="str">
        <f>F_Inputs!C42</f>
        <v>EA/NRW environmental programme wastewater (WINEP/NEP) - Continuous river water quality monitoring (WINEP/NEP) wastewater capex - Total</v>
      </c>
      <c r="D40" s="18" t="str">
        <f>F_Inputs!D42</f>
        <v>£m</v>
      </c>
      <c r="E40" s="18" t="str">
        <f>F_Inputs!E42</f>
        <v>Price Review 2024</v>
      </c>
      <c r="F40" s="38">
        <f ca="1">SUMIFS(F_Inputs_adjusted!P:P,F_Inputs_adjusted!$A:$A,$A40,F_Inputs_adjusted!$B:$B,$B40)</f>
        <v>0</v>
      </c>
      <c r="G40" s="38">
        <f ca="1">SUMIFS(F_Inputs_adjusted!Q:Q,F_Inputs_adjusted!$A:$A,$A40,F_Inputs_adjusted!$B:$B,$B40)</f>
        <v>0</v>
      </c>
      <c r="H40" s="38">
        <f ca="1">SUMIFS(F_Inputs_adjusted!R:R,F_Inputs_adjusted!$A:$A,$A40,F_Inputs_adjusted!$B:$B,$B40)</f>
        <v>0</v>
      </c>
      <c r="I40" s="38">
        <f ca="1">SUMIFS(F_Inputs_adjusted!S:S,F_Inputs_adjusted!$A:$A,$A40,F_Inputs_adjusted!$B:$B,$B40)</f>
        <v>0</v>
      </c>
      <c r="J40" s="38">
        <f ca="1">SUMIFS(F_Inputs_adjusted!T:T,F_Inputs_adjusted!$A:$A,$A40,F_Inputs_adjusted!$B:$B,$B40)</f>
        <v>0</v>
      </c>
      <c r="K40" s="38">
        <f ca="1">SUMIFS(F_Inputs_adjusted!U:U,F_Inputs_adjusted!$A:$A,$A40,F_Inputs_adjusted!$B:$B,$B40)</f>
        <v>0</v>
      </c>
      <c r="L40" s="38">
        <f ca="1">SUMIFS(F_Inputs_adjusted!V:V,F_Inputs_adjusted!$A:$A,$A40,F_Inputs_adjusted!$B:$B,$B40)</f>
        <v>0</v>
      </c>
      <c r="M40" s="38">
        <f ca="1">SUMIFS(F_Inputs_adjusted!M:M,F_Inputs_adjusted!$A:$A,$A40,F_Inputs_adjusted!$B:$B,$B40)</f>
        <v>0</v>
      </c>
      <c r="N40" s="38">
        <f ca="1">SUM(Table1[[#This Row],[2023-24]:[2029-30]])</f>
        <v>0</v>
      </c>
    </row>
    <row r="41" spans="1:14">
      <c r="A41" s="18" t="str">
        <f>F_Inputs!A43</f>
        <v>HDD</v>
      </c>
      <c r="B41" s="18" t="str">
        <f>F_Inputs!B43</f>
        <v>CWW17_008TOT_PR24</v>
      </c>
      <c r="C41" s="18" t="str">
        <f>F_Inputs!C43</f>
        <v>EA/NRW environmental programme wastewater (WINEP/NEP) - Continuous river water quality monitoring (WINEP/NEP) wastewater opex - Total</v>
      </c>
      <c r="D41" s="18" t="str">
        <f>F_Inputs!D43</f>
        <v>£m</v>
      </c>
      <c r="E41" s="18" t="str">
        <f>F_Inputs!E43</f>
        <v>Price Review 2024</v>
      </c>
      <c r="F41" s="38">
        <f ca="1">SUMIFS(F_Inputs_adjusted!P:P,F_Inputs_adjusted!$A:$A,$A41,F_Inputs_adjusted!$B:$B,$B41)</f>
        <v>0</v>
      </c>
      <c r="G41" s="38">
        <f ca="1">SUMIFS(F_Inputs_adjusted!Q:Q,F_Inputs_adjusted!$A:$A,$A41,F_Inputs_adjusted!$B:$B,$B41)</f>
        <v>0</v>
      </c>
      <c r="H41" s="38">
        <f ca="1">SUMIFS(F_Inputs_adjusted!R:R,F_Inputs_adjusted!$A:$A,$A41,F_Inputs_adjusted!$B:$B,$B41)</f>
        <v>0</v>
      </c>
      <c r="I41" s="38">
        <f ca="1">SUMIFS(F_Inputs_adjusted!S:S,F_Inputs_adjusted!$A:$A,$A41,F_Inputs_adjusted!$B:$B,$B41)</f>
        <v>0</v>
      </c>
      <c r="J41" s="38">
        <f ca="1">SUMIFS(F_Inputs_adjusted!T:T,F_Inputs_adjusted!$A:$A,$A41,F_Inputs_adjusted!$B:$B,$B41)</f>
        <v>0</v>
      </c>
      <c r="K41" s="38">
        <f ca="1">SUMIFS(F_Inputs_adjusted!U:U,F_Inputs_adjusted!$A:$A,$A41,F_Inputs_adjusted!$B:$B,$B41)</f>
        <v>0</v>
      </c>
      <c r="L41" s="38">
        <f ca="1">SUMIFS(F_Inputs_adjusted!V:V,F_Inputs_adjusted!$A:$A,$A41,F_Inputs_adjusted!$B:$B,$B41)</f>
        <v>0</v>
      </c>
      <c r="M41" s="38">
        <f ca="1">SUMIFS(F_Inputs_adjusted!M:M,F_Inputs_adjusted!$A:$A,$A41,F_Inputs_adjusted!$B:$B,$B41)</f>
        <v>0</v>
      </c>
      <c r="N41" s="38">
        <f ca="1">SUM(Table1[[#This Row],[2023-24]:[2029-30]])</f>
        <v>0</v>
      </c>
    </row>
    <row r="42" spans="1:14">
      <c r="A42" s="18" t="str">
        <f>F_Inputs!A44</f>
        <v>HDD</v>
      </c>
      <c r="B42" s="18" t="str">
        <f>F_Inputs!B44</f>
        <v>CWW17_009TOT_PR24</v>
      </c>
      <c r="C42" s="18" t="str">
        <f>F_Inputs!C44</f>
        <v>EA/NRW environmental programme wastewater (WINEP/NEP) - Continuous river water quality monitoring (WINEP/NEP) wastewater totex - Total</v>
      </c>
      <c r="D42" s="18" t="str">
        <f>F_Inputs!D44</f>
        <v>£m</v>
      </c>
      <c r="E42" s="18" t="str">
        <f>F_Inputs!E44</f>
        <v>Price Review 2024</v>
      </c>
      <c r="F42" s="38">
        <f ca="1">SUMIFS(F_Inputs_adjusted!P:P,F_Inputs_adjusted!$A:$A,$A42,F_Inputs_adjusted!$B:$B,$B42)</f>
        <v>0</v>
      </c>
      <c r="G42" s="38">
        <f ca="1">SUMIFS(F_Inputs_adjusted!Q:Q,F_Inputs_adjusted!$A:$A,$A42,F_Inputs_adjusted!$B:$B,$B42)</f>
        <v>0</v>
      </c>
      <c r="H42" s="38">
        <f ca="1">SUMIFS(F_Inputs_adjusted!R:R,F_Inputs_adjusted!$A:$A,$A42,F_Inputs_adjusted!$B:$B,$B42)</f>
        <v>0</v>
      </c>
      <c r="I42" s="38">
        <f ca="1">SUMIFS(F_Inputs_adjusted!S:S,F_Inputs_adjusted!$A:$A,$A42,F_Inputs_adjusted!$B:$B,$B42)</f>
        <v>0</v>
      </c>
      <c r="J42" s="38">
        <f ca="1">SUMIFS(F_Inputs_adjusted!T:T,F_Inputs_adjusted!$A:$A,$A42,F_Inputs_adjusted!$B:$B,$B42)</f>
        <v>0</v>
      </c>
      <c r="K42" s="38">
        <f ca="1">SUMIFS(F_Inputs_adjusted!U:U,F_Inputs_adjusted!$A:$A,$A42,F_Inputs_adjusted!$B:$B,$B42)</f>
        <v>0</v>
      </c>
      <c r="L42" s="38">
        <f ca="1">SUMIFS(F_Inputs_adjusted!V:V,F_Inputs_adjusted!$A:$A,$A42,F_Inputs_adjusted!$B:$B,$B42)</f>
        <v>0</v>
      </c>
      <c r="M42" s="38">
        <f ca="1">SUMIFS(F_Inputs_adjusted!M:M,F_Inputs_adjusted!$A:$A,$A42,F_Inputs_adjusted!$B:$B,$B42)</f>
        <v>0</v>
      </c>
      <c r="N42" s="38">
        <f ca="1">SUM(Table1[[#This Row],[2023-24]:[2029-30]])</f>
        <v>0</v>
      </c>
    </row>
    <row r="43" spans="1:14">
      <c r="A43" s="18" t="str">
        <f>F_Inputs!A45</f>
        <v>HDD</v>
      </c>
      <c r="B43" s="18" t="str">
        <f>F_Inputs!B45</f>
        <v>CWW20A_049_PR24</v>
      </c>
      <c r="C43" s="18" t="str">
        <f>F_Inputs!C45</f>
        <v>Network / Storm overflow data - Number of continuous water quality monitor installations</v>
      </c>
      <c r="D43" s="18" t="str">
        <f>F_Inputs!D45</f>
        <v>nr</v>
      </c>
      <c r="E43" s="18" t="str">
        <f>F_Inputs!E45</f>
        <v>Price Review 2024</v>
      </c>
      <c r="F43" s="38">
        <f ca="1">SUMIFS(F_Inputs_adjusted!P:P,F_Inputs_adjusted!$A:$A,$A43,F_Inputs_adjusted!$B:$B,$B43)</f>
        <v>0</v>
      </c>
      <c r="G43" s="38">
        <f ca="1">SUMIFS(F_Inputs_adjusted!Q:Q,F_Inputs_adjusted!$A:$A,$A43,F_Inputs_adjusted!$B:$B,$B43)</f>
        <v>0</v>
      </c>
      <c r="H43" s="38">
        <f ca="1">SUMIFS(F_Inputs_adjusted!R:R,F_Inputs_adjusted!$A:$A,$A43,F_Inputs_adjusted!$B:$B,$B43)</f>
        <v>0</v>
      </c>
      <c r="I43" s="38">
        <f ca="1">SUMIFS(F_Inputs_adjusted!S:S,F_Inputs_adjusted!$A:$A,$A43,F_Inputs_adjusted!$B:$B,$B43)</f>
        <v>0</v>
      </c>
      <c r="J43" s="38">
        <f ca="1">SUMIFS(F_Inputs_adjusted!T:T,F_Inputs_adjusted!$A:$A,$A43,F_Inputs_adjusted!$B:$B,$B43)</f>
        <v>0</v>
      </c>
      <c r="K43" s="38">
        <f ca="1">SUMIFS(F_Inputs_adjusted!U:U,F_Inputs_adjusted!$A:$A,$A43,F_Inputs_adjusted!$B:$B,$B43)</f>
        <v>0</v>
      </c>
      <c r="L43" s="38">
        <f ca="1">SUMIFS(F_Inputs_adjusted!V:V,F_Inputs_adjusted!$A:$A,$A43,F_Inputs_adjusted!$B:$B,$B43)</f>
        <v>0</v>
      </c>
      <c r="M43" s="38">
        <f ca="1">SUMIFS(F_Inputs_adjusted!M:M,F_Inputs_adjusted!$A:$A,$A43,F_Inputs_adjusted!$B:$B,$B43)</f>
        <v>0</v>
      </c>
      <c r="N43" s="38">
        <f ca="1">SUM(Table1[[#This Row],[2023-24]:[2029-30]])</f>
        <v>0</v>
      </c>
    </row>
    <row r="44" spans="1:14">
      <c r="A44" s="18" t="str">
        <f>F_Inputs!A46</f>
        <v>NES</v>
      </c>
      <c r="B44" s="18" t="str">
        <f>F_Inputs!B46</f>
        <v>CWW3_007TOT_PR24</v>
      </c>
      <c r="C44" s="18" t="str">
        <f>F_Inputs!C46</f>
        <v>EA/NRW environmental programme wastewater (WINEP/NEP) - Continuous river water quality monitoring (WINEP/NEP) wastewater capex - Total</v>
      </c>
      <c r="D44" s="18" t="str">
        <f>F_Inputs!D46</f>
        <v>£m</v>
      </c>
      <c r="E44" s="18" t="str">
        <f>F_Inputs!E46</f>
        <v>Price Review 2024</v>
      </c>
      <c r="F44" s="38">
        <f ca="1">SUMIFS(F_Inputs_adjusted!P:P,F_Inputs_adjusted!$A:$A,$A44,F_Inputs_adjusted!$B:$B,$B44)</f>
        <v>0</v>
      </c>
      <c r="G44" s="38">
        <f ca="1">SUMIFS(F_Inputs_adjusted!Q:Q,F_Inputs_adjusted!$A:$A,$A44,F_Inputs_adjusted!$B:$B,$B44)</f>
        <v>0</v>
      </c>
      <c r="H44" s="38">
        <f ca="1">SUMIFS(F_Inputs_adjusted!R:R,F_Inputs_adjusted!$A:$A,$A44,F_Inputs_adjusted!$B:$B,$B44)</f>
        <v>2.718</v>
      </c>
      <c r="I44" s="38">
        <f ca="1">SUMIFS(F_Inputs_adjusted!S:S,F_Inputs_adjusted!$A:$A,$A44,F_Inputs_adjusted!$B:$B,$B44)</f>
        <v>12.323</v>
      </c>
      <c r="J44" s="38">
        <f ca="1">SUMIFS(F_Inputs_adjusted!T:T,F_Inputs_adjusted!$A:$A,$A44,F_Inputs_adjusted!$B:$B,$B44)</f>
        <v>12.449</v>
      </c>
      <c r="K44" s="38">
        <f ca="1">SUMIFS(F_Inputs_adjusted!U:U,F_Inputs_adjusted!$A:$A,$A44,F_Inputs_adjusted!$B:$B,$B44)</f>
        <v>12.323</v>
      </c>
      <c r="L44" s="38">
        <f ca="1">SUMIFS(F_Inputs_adjusted!V:V,F_Inputs_adjusted!$A:$A,$A44,F_Inputs_adjusted!$B:$B,$B44)</f>
        <v>12.449</v>
      </c>
      <c r="M44" s="38">
        <f ca="1">SUMIFS(F_Inputs_adjusted!M:M,F_Inputs_adjusted!$A:$A,$A44,F_Inputs_adjusted!$B:$B,$B44)</f>
        <v>0</v>
      </c>
      <c r="N44" s="38">
        <f ca="1">SUM(Table1[[#This Row],[2023-24]:[2029-30]])</f>
        <v>52.262</v>
      </c>
    </row>
    <row r="45" spans="1:14">
      <c r="A45" s="18" t="str">
        <f>F_Inputs!A47</f>
        <v>NES</v>
      </c>
      <c r="B45" s="18" t="str">
        <f>F_Inputs!B47</f>
        <v>CWW3_008TOT_PR24</v>
      </c>
      <c r="C45" s="18" t="str">
        <f>F_Inputs!C47</f>
        <v>EA/NRW environmental programme wastewater (WINEP/NEP) - Continuous river water quality monitoring (WINEP/NEP) wastewater opex - Total</v>
      </c>
      <c r="D45" s="18" t="str">
        <f>F_Inputs!D47</f>
        <v>£m</v>
      </c>
      <c r="E45" s="18" t="str">
        <f>F_Inputs!E47</f>
        <v>Price Review 2024</v>
      </c>
      <c r="F45" s="38">
        <f ca="1">SUMIFS(F_Inputs_adjusted!P:P,F_Inputs_adjusted!$A:$A,$A45,F_Inputs_adjusted!$B:$B,$B45)</f>
        <v>0</v>
      </c>
      <c r="G45" s="38">
        <f ca="1">SUMIFS(F_Inputs_adjusted!Q:Q,F_Inputs_adjusted!$A:$A,$A45,F_Inputs_adjusted!$B:$B,$B45)</f>
        <v>0</v>
      </c>
      <c r="H45" s="38">
        <f ca="1">SUMIFS(F_Inputs_adjusted!R:R,F_Inputs_adjusted!$A:$A,$A45,F_Inputs_adjusted!$B:$B,$B45)</f>
        <v>0</v>
      </c>
      <c r="I45" s="38">
        <f ca="1">SUMIFS(F_Inputs_adjusted!S:S,F_Inputs_adjusted!$A:$A,$A45,F_Inputs_adjusted!$B:$B,$B45)</f>
        <v>0</v>
      </c>
      <c r="J45" s="38">
        <f ca="1">SUMIFS(F_Inputs_adjusted!T:T,F_Inputs_adjusted!$A:$A,$A45,F_Inputs_adjusted!$B:$B,$B45)</f>
        <v>0.52900000000000003</v>
      </c>
      <c r="K45" s="38">
        <f ca="1">SUMIFS(F_Inputs_adjusted!U:U,F_Inputs_adjusted!$A:$A,$A45,F_Inputs_adjusted!$B:$B,$B45)</f>
        <v>1.0640000000000001</v>
      </c>
      <c r="L45" s="38">
        <f ca="1">SUMIFS(F_Inputs_adjusted!V:V,F_Inputs_adjusted!$A:$A,$A45,F_Inputs_adjusted!$B:$B,$B45)</f>
        <v>1.593</v>
      </c>
      <c r="M45" s="38">
        <f ca="1">SUMIFS(F_Inputs_adjusted!M:M,F_Inputs_adjusted!$A:$A,$A45,F_Inputs_adjusted!$B:$B,$B45)</f>
        <v>0</v>
      </c>
      <c r="N45" s="38">
        <f ca="1">SUM(Table1[[#This Row],[2023-24]:[2029-30]])</f>
        <v>3.1859999999999999</v>
      </c>
    </row>
    <row r="46" spans="1:14">
      <c r="A46" s="18" t="str">
        <f>F_Inputs!A48</f>
        <v>NES</v>
      </c>
      <c r="B46" s="18" t="str">
        <f>F_Inputs!B48</f>
        <v>CWW3_009TOT_PR24</v>
      </c>
      <c r="C46" s="18" t="str">
        <f>F_Inputs!C48</f>
        <v>EA/NRW environmental programme wastewater (WINEP/NEP) - Continuous river water quality monitoring (WINEP/NEP) wastewater totex - Total</v>
      </c>
      <c r="D46" s="18" t="str">
        <f>F_Inputs!D48</f>
        <v>£m</v>
      </c>
      <c r="E46" s="18" t="str">
        <f>F_Inputs!E48</f>
        <v>Price Review 2024</v>
      </c>
      <c r="F46" s="38">
        <f ca="1">SUMIFS(F_Inputs_adjusted!P:P,F_Inputs_adjusted!$A:$A,$A46,F_Inputs_adjusted!$B:$B,$B46)</f>
        <v>0</v>
      </c>
      <c r="G46" s="38">
        <f ca="1">SUMIFS(F_Inputs_adjusted!Q:Q,F_Inputs_adjusted!$A:$A,$A46,F_Inputs_adjusted!$B:$B,$B46)</f>
        <v>0</v>
      </c>
      <c r="H46" s="38">
        <f ca="1">SUMIFS(F_Inputs_adjusted!R:R,F_Inputs_adjusted!$A:$A,$A46,F_Inputs_adjusted!$B:$B,$B46)</f>
        <v>2.718</v>
      </c>
      <c r="I46" s="38">
        <f ca="1">SUMIFS(F_Inputs_adjusted!S:S,F_Inputs_adjusted!$A:$A,$A46,F_Inputs_adjusted!$B:$B,$B46)</f>
        <v>12.323</v>
      </c>
      <c r="J46" s="38">
        <f ca="1">SUMIFS(F_Inputs_adjusted!T:T,F_Inputs_adjusted!$A:$A,$A46,F_Inputs_adjusted!$B:$B,$B46)</f>
        <v>12.978</v>
      </c>
      <c r="K46" s="38">
        <f ca="1">SUMIFS(F_Inputs_adjusted!U:U,F_Inputs_adjusted!$A:$A,$A46,F_Inputs_adjusted!$B:$B,$B46)</f>
        <v>13.387</v>
      </c>
      <c r="L46" s="38">
        <f ca="1">SUMIFS(F_Inputs_adjusted!V:V,F_Inputs_adjusted!$A:$A,$A46,F_Inputs_adjusted!$B:$B,$B46)</f>
        <v>14.042</v>
      </c>
      <c r="M46" s="38">
        <f ca="1">SUMIFS(F_Inputs_adjusted!M:M,F_Inputs_adjusted!$A:$A,$A46,F_Inputs_adjusted!$B:$B,$B46)</f>
        <v>0</v>
      </c>
      <c r="N46" s="38">
        <f ca="1">SUM(Table1[[#This Row],[2023-24]:[2029-30]])</f>
        <v>55.448</v>
      </c>
    </row>
    <row r="47" spans="1:14">
      <c r="A47" s="18" t="str">
        <f>F_Inputs!A49</f>
        <v>NES</v>
      </c>
      <c r="B47" s="18" t="str">
        <f>F_Inputs!B49</f>
        <v>CWW20_049_PR24</v>
      </c>
      <c r="C47" s="18" t="str">
        <f>F_Inputs!C49</f>
        <v>Network / Storm overflow data - Number of continuous water quality monitor installations</v>
      </c>
      <c r="D47" s="18" t="str">
        <f>F_Inputs!D49</f>
        <v>nr</v>
      </c>
      <c r="E47" s="18" t="str">
        <f>F_Inputs!E49</f>
        <v>Price Review 2024</v>
      </c>
      <c r="F47" s="38">
        <f ca="1">SUMIFS(F_Inputs_adjusted!P:P,F_Inputs_adjusted!$A:$A,$A47,F_Inputs_adjusted!$B:$B,$B47)</f>
        <v>0</v>
      </c>
      <c r="G47" s="38">
        <f ca="1">SUMIFS(F_Inputs_adjusted!Q:Q,F_Inputs_adjusted!$A:$A,$A47,F_Inputs_adjusted!$B:$B,$B47)</f>
        <v>0</v>
      </c>
      <c r="H47" s="38">
        <f ca="1">SUMIFS(F_Inputs_adjusted!R:R,F_Inputs_adjusted!$A:$A,$A47,F_Inputs_adjusted!$B:$B,$B47)</f>
        <v>0</v>
      </c>
      <c r="I47" s="38">
        <f ca="1">SUMIFS(F_Inputs_adjusted!S:S,F_Inputs_adjusted!$A:$A,$A47,F_Inputs_adjusted!$B:$B,$B47)</f>
        <v>97</v>
      </c>
      <c r="J47" s="38">
        <f ca="1">SUMIFS(F_Inputs_adjusted!T:T,F_Inputs_adjusted!$A:$A,$A47,F_Inputs_adjusted!$B:$B,$B47)</f>
        <v>98</v>
      </c>
      <c r="K47" s="38">
        <f ca="1">SUMIFS(F_Inputs_adjusted!U:U,F_Inputs_adjusted!$A:$A,$A47,F_Inputs_adjusted!$B:$B,$B47)</f>
        <v>97</v>
      </c>
      <c r="L47" s="38">
        <f ca="1">SUMIFS(F_Inputs_adjusted!V:V,F_Inputs_adjusted!$A:$A,$A47,F_Inputs_adjusted!$B:$B,$B47)</f>
        <v>98</v>
      </c>
      <c r="M47" s="38">
        <f ca="1">SUMIFS(F_Inputs_adjusted!M:M,F_Inputs_adjusted!$A:$A,$A47,F_Inputs_adjusted!$B:$B,$B47)</f>
        <v>0</v>
      </c>
      <c r="N47" s="38">
        <f ca="1">SUM(Table1[[#This Row],[2023-24]:[2029-30]])</f>
        <v>390</v>
      </c>
    </row>
    <row r="48" spans="1:14">
      <c r="A48" s="18" t="str">
        <f>F_Inputs!A50</f>
        <v>NES</v>
      </c>
      <c r="B48" s="18" t="str">
        <f>F_Inputs!B50</f>
        <v>CWW1A_015TOT_PR24</v>
      </c>
      <c r="C48" s="18" t="str">
        <f>F_Inputs!C50</f>
        <v>Net totex - Total</v>
      </c>
      <c r="D48" s="18" t="str">
        <f>F_Inputs!D50</f>
        <v>£m</v>
      </c>
      <c r="E48" s="18" t="str">
        <f>F_Inputs!E50</f>
        <v>Price Review 2024</v>
      </c>
      <c r="F48" s="38">
        <f ca="1">SUMIFS(F_Inputs_adjusted!P:P,F_Inputs_adjusted!$A:$A,$A48,F_Inputs_adjusted!$B:$B,$B48)</f>
        <v>0</v>
      </c>
      <c r="G48" s="38">
        <f ca="1">SUMIFS(F_Inputs_adjusted!Q:Q,F_Inputs_adjusted!$A:$A,$A48,F_Inputs_adjusted!$B:$B,$B48)</f>
        <v>0</v>
      </c>
      <c r="H48" s="38">
        <f ca="1">SUMIFS(F_Inputs_adjusted!R:R,F_Inputs_adjusted!$A:$A,$A48,F_Inputs_adjusted!$B:$B,$B48)</f>
        <v>637.49235151146331</v>
      </c>
      <c r="I48" s="38">
        <f ca="1">SUMIFS(F_Inputs_adjusted!S:S,F_Inputs_adjusted!$A:$A,$A48,F_Inputs_adjusted!$B:$B,$B48)</f>
        <v>649.43938105100824</v>
      </c>
      <c r="J48" s="38">
        <f ca="1">SUMIFS(F_Inputs_adjusted!T:T,F_Inputs_adjusted!$A:$A,$A48,F_Inputs_adjusted!$B:$B,$B48)</f>
        <v>633.75696696428611</v>
      </c>
      <c r="K48" s="38">
        <f ca="1">SUMIFS(F_Inputs_adjusted!U:U,F_Inputs_adjusted!$A:$A,$A48,F_Inputs_adjusted!$B:$B,$B48)</f>
        <v>617.35869124562396</v>
      </c>
      <c r="L48" s="38">
        <f ca="1">SUMIFS(F_Inputs_adjusted!V:V,F_Inputs_adjusted!$A:$A,$A48,F_Inputs_adjusted!$B:$B,$B48)</f>
        <v>590.04476795521828</v>
      </c>
      <c r="M48" s="38">
        <f ca="1">SUMIFS(F_Inputs_adjusted!M:M,F_Inputs_adjusted!$A:$A,$A48,F_Inputs_adjusted!$B:$B,$B48)</f>
        <v>0</v>
      </c>
      <c r="N48" s="38">
        <f ca="1">SUM(Table1[[#This Row],[2023-24]:[2029-30]])</f>
        <v>3128.0921587275998</v>
      </c>
    </row>
    <row r="49" spans="1:14">
      <c r="A49" s="18" t="str">
        <f>F_Inputs!A51</f>
        <v>NES</v>
      </c>
      <c r="B49" s="18" t="str">
        <f>F_Inputs!B51</f>
        <v>PR24_NETTOTEX_WASTE</v>
      </c>
      <c r="C49" s="18" t="str">
        <f>F_Inputs!C51</f>
        <v>PR24 BP Net totex - Total inc. accelerated &amp; transition costs</v>
      </c>
      <c r="D49" s="18" t="str">
        <f>F_Inputs!D51</f>
        <v>£m</v>
      </c>
      <c r="E49" s="18" t="str">
        <f>F_Inputs!E51</f>
        <v>Price Review 2024</v>
      </c>
      <c r="F49" s="38">
        <f ca="1">SUMIFS(F_Inputs_adjusted!P:P,F_Inputs_adjusted!$A:$A,$A49,F_Inputs_adjusted!$B:$B,$B49)</f>
        <v>0</v>
      </c>
      <c r="G49" s="38">
        <f ca="1">SUMIFS(F_Inputs_adjusted!Q:Q,F_Inputs_adjusted!$A:$A,$A49,F_Inputs_adjusted!$B:$B,$B49)</f>
        <v>0</v>
      </c>
      <c r="H49" s="38">
        <f ca="1">SUMIFS(F_Inputs_adjusted!R:R,F_Inputs_adjusted!$A:$A,$A49,F_Inputs_adjusted!$B:$B,$B49)</f>
        <v>0</v>
      </c>
      <c r="I49" s="38">
        <f ca="1">SUMIFS(F_Inputs_adjusted!S:S,F_Inputs_adjusted!$A:$A,$A49,F_Inputs_adjusted!$B:$B,$B49)</f>
        <v>0</v>
      </c>
      <c r="J49" s="38">
        <f ca="1">SUMIFS(F_Inputs_adjusted!T:T,F_Inputs_adjusted!$A:$A,$A49,F_Inputs_adjusted!$B:$B,$B49)</f>
        <v>0</v>
      </c>
      <c r="K49" s="38">
        <f ca="1">SUMIFS(F_Inputs_adjusted!U:U,F_Inputs_adjusted!$A:$A,$A49,F_Inputs_adjusted!$B:$B,$B49)</f>
        <v>0</v>
      </c>
      <c r="L49" s="38">
        <f ca="1">SUMIFS(F_Inputs_adjusted!V:V,F_Inputs_adjusted!$A:$A,$A49,F_Inputs_adjusted!$B:$B,$B49)</f>
        <v>0</v>
      </c>
      <c r="M49" s="38">
        <f ca="1">SUMIFS(F_Inputs_adjusted!M:M,F_Inputs_adjusted!$A:$A,$A49,F_Inputs_adjusted!$B:$B,$B49)</f>
        <v>3207.9274023759344</v>
      </c>
      <c r="N49" s="38">
        <f ca="1">SUM(Table1[[#This Row],[2023-24]:[2029-30]])</f>
        <v>0</v>
      </c>
    </row>
    <row r="50" spans="1:14">
      <c r="A50" s="18" t="str">
        <f>F_Inputs!A52</f>
        <v>NES</v>
      </c>
      <c r="B50" s="18" t="str">
        <f>F_Inputs!B52</f>
        <v>CWW12_007TOT_PR24</v>
      </c>
      <c r="C50" s="18" t="str">
        <f>F_Inputs!C52</f>
        <v>EA/NRW environmental programme wastewater (WINEP/NEP) - Continuous river water quality monitoring (WINEP/NEP) wastewater capex - Total</v>
      </c>
      <c r="D50" s="18" t="str">
        <f>F_Inputs!D52</f>
        <v>£m</v>
      </c>
      <c r="E50" s="18" t="str">
        <f>F_Inputs!E52</f>
        <v>Price Review 2024</v>
      </c>
      <c r="F50" s="38">
        <f ca="1">SUMIFS(F_Inputs_adjusted!P:P,F_Inputs_adjusted!$A:$A,$A50,F_Inputs_adjusted!$B:$B,$B50)</f>
        <v>0</v>
      </c>
      <c r="G50" s="38">
        <f ca="1">SUMIFS(F_Inputs_adjusted!Q:Q,F_Inputs_adjusted!$A:$A,$A50,F_Inputs_adjusted!$B:$B,$B50)</f>
        <v>0</v>
      </c>
      <c r="H50" s="38">
        <f ca="1">SUMIFS(F_Inputs_adjusted!R:R,F_Inputs_adjusted!$A:$A,$A50,F_Inputs_adjusted!$B:$B,$B50)</f>
        <v>0</v>
      </c>
      <c r="I50" s="38">
        <f ca="1">SUMIFS(F_Inputs_adjusted!S:S,F_Inputs_adjusted!$A:$A,$A50,F_Inputs_adjusted!$B:$B,$B50)</f>
        <v>0</v>
      </c>
      <c r="J50" s="38">
        <f ca="1">SUMIFS(F_Inputs_adjusted!T:T,F_Inputs_adjusted!$A:$A,$A50,F_Inputs_adjusted!$B:$B,$B50)</f>
        <v>0</v>
      </c>
      <c r="K50" s="38">
        <f ca="1">SUMIFS(F_Inputs_adjusted!U:U,F_Inputs_adjusted!$A:$A,$A50,F_Inputs_adjusted!$B:$B,$B50)</f>
        <v>0</v>
      </c>
      <c r="L50" s="38">
        <f ca="1">SUMIFS(F_Inputs_adjusted!V:V,F_Inputs_adjusted!$A:$A,$A50,F_Inputs_adjusted!$B:$B,$B50)</f>
        <v>0</v>
      </c>
      <c r="M50" s="38">
        <f ca="1">SUMIFS(F_Inputs_adjusted!M:M,F_Inputs_adjusted!$A:$A,$A50,F_Inputs_adjusted!$B:$B,$B50)</f>
        <v>0</v>
      </c>
      <c r="N50" s="38">
        <f ca="1">SUM(Table1[[#This Row],[2023-24]:[2029-30]])</f>
        <v>0</v>
      </c>
    </row>
    <row r="51" spans="1:14">
      <c r="A51" s="18" t="str">
        <f>F_Inputs!A53</f>
        <v>NES</v>
      </c>
      <c r="B51" s="18" t="str">
        <f>F_Inputs!B53</f>
        <v>CWW12_008TOT_PR24</v>
      </c>
      <c r="C51" s="18" t="str">
        <f>F_Inputs!C53</f>
        <v>EA/NRW environmental programme wastewater (WINEP/NEP) - Continuous river water quality monitoring (WINEP/NEP) wastewater opex - Total</v>
      </c>
      <c r="D51" s="18" t="str">
        <f>F_Inputs!D53</f>
        <v>£m</v>
      </c>
      <c r="E51" s="18" t="str">
        <f>F_Inputs!E53</f>
        <v>Price Review 2024</v>
      </c>
      <c r="F51" s="38">
        <f ca="1">SUMIFS(F_Inputs_adjusted!P:P,F_Inputs_adjusted!$A:$A,$A51,F_Inputs_adjusted!$B:$B,$B51)</f>
        <v>0</v>
      </c>
      <c r="G51" s="38">
        <f ca="1">SUMIFS(F_Inputs_adjusted!Q:Q,F_Inputs_adjusted!$A:$A,$A51,F_Inputs_adjusted!$B:$B,$B51)</f>
        <v>0</v>
      </c>
      <c r="H51" s="38">
        <f ca="1">SUMIFS(F_Inputs_adjusted!R:R,F_Inputs_adjusted!$A:$A,$A51,F_Inputs_adjusted!$B:$B,$B51)</f>
        <v>0</v>
      </c>
      <c r="I51" s="38">
        <f ca="1">SUMIFS(F_Inputs_adjusted!S:S,F_Inputs_adjusted!$A:$A,$A51,F_Inputs_adjusted!$B:$B,$B51)</f>
        <v>0</v>
      </c>
      <c r="J51" s="38">
        <f ca="1">SUMIFS(F_Inputs_adjusted!T:T,F_Inputs_adjusted!$A:$A,$A51,F_Inputs_adjusted!$B:$B,$B51)</f>
        <v>0</v>
      </c>
      <c r="K51" s="38">
        <f ca="1">SUMIFS(F_Inputs_adjusted!U:U,F_Inputs_adjusted!$A:$A,$A51,F_Inputs_adjusted!$B:$B,$B51)</f>
        <v>0</v>
      </c>
      <c r="L51" s="38">
        <f ca="1">SUMIFS(F_Inputs_adjusted!V:V,F_Inputs_adjusted!$A:$A,$A51,F_Inputs_adjusted!$B:$B,$B51)</f>
        <v>0</v>
      </c>
      <c r="M51" s="38">
        <f ca="1">SUMIFS(F_Inputs_adjusted!M:M,F_Inputs_adjusted!$A:$A,$A51,F_Inputs_adjusted!$B:$B,$B51)</f>
        <v>0</v>
      </c>
      <c r="N51" s="38">
        <f ca="1">SUM(Table1[[#This Row],[2023-24]:[2029-30]])</f>
        <v>0</v>
      </c>
    </row>
    <row r="52" spans="1:14">
      <c r="A52" s="18" t="str">
        <f>F_Inputs!A54</f>
        <v>NES</v>
      </c>
      <c r="B52" s="18" t="str">
        <f>F_Inputs!B54</f>
        <v>CWW12_009TOT_PR24</v>
      </c>
      <c r="C52" s="18" t="str">
        <f>F_Inputs!C54</f>
        <v>EA/NRW environmental programme wastewater (WINEP/NEP) - Continuous river water quality monitoring (WINEP/NEP) wastewater totex - Total</v>
      </c>
      <c r="D52" s="18" t="str">
        <f>F_Inputs!D54</f>
        <v>£m</v>
      </c>
      <c r="E52" s="18" t="str">
        <f>F_Inputs!E54</f>
        <v>Price Review 2024</v>
      </c>
      <c r="F52" s="38">
        <f ca="1">SUMIFS(F_Inputs_adjusted!P:P,F_Inputs_adjusted!$A:$A,$A52,F_Inputs_adjusted!$B:$B,$B52)</f>
        <v>0</v>
      </c>
      <c r="G52" s="38">
        <f ca="1">SUMIFS(F_Inputs_adjusted!Q:Q,F_Inputs_adjusted!$A:$A,$A52,F_Inputs_adjusted!$B:$B,$B52)</f>
        <v>0</v>
      </c>
      <c r="H52" s="38">
        <f ca="1">SUMIFS(F_Inputs_adjusted!R:R,F_Inputs_adjusted!$A:$A,$A52,F_Inputs_adjusted!$B:$B,$B52)</f>
        <v>0</v>
      </c>
      <c r="I52" s="38">
        <f ca="1">SUMIFS(F_Inputs_adjusted!S:S,F_Inputs_adjusted!$A:$A,$A52,F_Inputs_adjusted!$B:$B,$B52)</f>
        <v>0</v>
      </c>
      <c r="J52" s="38">
        <f ca="1">SUMIFS(F_Inputs_adjusted!T:T,F_Inputs_adjusted!$A:$A,$A52,F_Inputs_adjusted!$B:$B,$B52)</f>
        <v>0</v>
      </c>
      <c r="K52" s="38">
        <f ca="1">SUMIFS(F_Inputs_adjusted!U:U,F_Inputs_adjusted!$A:$A,$A52,F_Inputs_adjusted!$B:$B,$B52)</f>
        <v>0</v>
      </c>
      <c r="L52" s="38">
        <f ca="1">SUMIFS(F_Inputs_adjusted!V:V,F_Inputs_adjusted!$A:$A,$A52,F_Inputs_adjusted!$B:$B,$B52)</f>
        <v>0</v>
      </c>
      <c r="M52" s="38">
        <f ca="1">SUMIFS(F_Inputs_adjusted!M:M,F_Inputs_adjusted!$A:$A,$A52,F_Inputs_adjusted!$B:$B,$B52)</f>
        <v>0</v>
      </c>
      <c r="N52" s="38">
        <f ca="1">SUM(Table1[[#This Row],[2023-24]:[2029-30]])</f>
        <v>0</v>
      </c>
    </row>
    <row r="53" spans="1:14">
      <c r="A53" s="18" t="str">
        <f>F_Inputs!A55</f>
        <v>NES</v>
      </c>
      <c r="B53" s="18" t="str">
        <f>F_Inputs!B55</f>
        <v>CWW17_007TOT_PR24</v>
      </c>
      <c r="C53" s="18" t="str">
        <f>F_Inputs!C55</f>
        <v>EA/NRW environmental programme wastewater (WINEP/NEP) - Continuous river water quality monitoring (WINEP/NEP) wastewater capex - Total</v>
      </c>
      <c r="D53" s="18" t="str">
        <f>F_Inputs!D55</f>
        <v>£m</v>
      </c>
      <c r="E53" s="18" t="str">
        <f>F_Inputs!E55</f>
        <v>Price Review 2024</v>
      </c>
      <c r="F53" s="38">
        <f ca="1">SUMIFS(F_Inputs_adjusted!P:P,F_Inputs_adjusted!$A:$A,$A53,F_Inputs_adjusted!$B:$B,$B53)</f>
        <v>0</v>
      </c>
      <c r="G53" s="38">
        <f ca="1">SUMIFS(F_Inputs_adjusted!Q:Q,F_Inputs_adjusted!$A:$A,$A53,F_Inputs_adjusted!$B:$B,$B53)</f>
        <v>0</v>
      </c>
      <c r="H53" s="38">
        <f ca="1">SUMIFS(F_Inputs_adjusted!R:R,F_Inputs_adjusted!$A:$A,$A53,F_Inputs_adjusted!$B:$B,$B53)</f>
        <v>0</v>
      </c>
      <c r="I53" s="38">
        <f ca="1">SUMIFS(F_Inputs_adjusted!S:S,F_Inputs_adjusted!$A:$A,$A53,F_Inputs_adjusted!$B:$B,$B53)</f>
        <v>0</v>
      </c>
      <c r="J53" s="38">
        <f ca="1">SUMIFS(F_Inputs_adjusted!T:T,F_Inputs_adjusted!$A:$A,$A53,F_Inputs_adjusted!$B:$B,$B53)</f>
        <v>0</v>
      </c>
      <c r="K53" s="38">
        <f ca="1">SUMIFS(F_Inputs_adjusted!U:U,F_Inputs_adjusted!$A:$A,$A53,F_Inputs_adjusted!$B:$B,$B53)</f>
        <v>0</v>
      </c>
      <c r="L53" s="38">
        <f ca="1">SUMIFS(F_Inputs_adjusted!V:V,F_Inputs_adjusted!$A:$A,$A53,F_Inputs_adjusted!$B:$B,$B53)</f>
        <v>0</v>
      </c>
      <c r="M53" s="38">
        <f ca="1">SUMIFS(F_Inputs_adjusted!M:M,F_Inputs_adjusted!$A:$A,$A53,F_Inputs_adjusted!$B:$B,$B53)</f>
        <v>0</v>
      </c>
      <c r="N53" s="38">
        <f ca="1">SUM(Table1[[#This Row],[2023-24]:[2029-30]])</f>
        <v>0</v>
      </c>
    </row>
    <row r="54" spans="1:14">
      <c r="A54" s="18" t="str">
        <f>F_Inputs!A56</f>
        <v>NES</v>
      </c>
      <c r="B54" s="18" t="str">
        <f>F_Inputs!B56</f>
        <v>CWW17_008TOT_PR24</v>
      </c>
      <c r="C54" s="18" t="str">
        <f>F_Inputs!C56</f>
        <v>EA/NRW environmental programme wastewater (WINEP/NEP) - Continuous river water quality monitoring (WINEP/NEP) wastewater opex - Total</v>
      </c>
      <c r="D54" s="18" t="str">
        <f>F_Inputs!D56</f>
        <v>£m</v>
      </c>
      <c r="E54" s="18" t="str">
        <f>F_Inputs!E56</f>
        <v>Price Review 2024</v>
      </c>
      <c r="F54" s="38">
        <f ca="1">SUMIFS(F_Inputs_adjusted!P:P,F_Inputs_adjusted!$A:$A,$A54,F_Inputs_adjusted!$B:$B,$B54)</f>
        <v>0</v>
      </c>
      <c r="G54" s="38">
        <f ca="1">SUMIFS(F_Inputs_adjusted!Q:Q,F_Inputs_adjusted!$A:$A,$A54,F_Inputs_adjusted!$B:$B,$B54)</f>
        <v>0</v>
      </c>
      <c r="H54" s="38">
        <f ca="1">SUMIFS(F_Inputs_adjusted!R:R,F_Inputs_adjusted!$A:$A,$A54,F_Inputs_adjusted!$B:$B,$B54)</f>
        <v>0</v>
      </c>
      <c r="I54" s="38">
        <f ca="1">SUMIFS(F_Inputs_adjusted!S:S,F_Inputs_adjusted!$A:$A,$A54,F_Inputs_adjusted!$B:$B,$B54)</f>
        <v>0</v>
      </c>
      <c r="J54" s="38">
        <f ca="1">SUMIFS(F_Inputs_adjusted!T:T,F_Inputs_adjusted!$A:$A,$A54,F_Inputs_adjusted!$B:$B,$B54)</f>
        <v>0</v>
      </c>
      <c r="K54" s="38">
        <f ca="1">SUMIFS(F_Inputs_adjusted!U:U,F_Inputs_adjusted!$A:$A,$A54,F_Inputs_adjusted!$B:$B,$B54)</f>
        <v>0</v>
      </c>
      <c r="L54" s="38">
        <f ca="1">SUMIFS(F_Inputs_adjusted!V:V,F_Inputs_adjusted!$A:$A,$A54,F_Inputs_adjusted!$B:$B,$B54)</f>
        <v>0</v>
      </c>
      <c r="M54" s="38">
        <f ca="1">SUMIFS(F_Inputs_adjusted!M:M,F_Inputs_adjusted!$A:$A,$A54,F_Inputs_adjusted!$B:$B,$B54)</f>
        <v>0</v>
      </c>
      <c r="N54" s="38">
        <f ca="1">SUM(Table1[[#This Row],[2023-24]:[2029-30]])</f>
        <v>0</v>
      </c>
    </row>
    <row r="55" spans="1:14">
      <c r="A55" s="18" t="str">
        <f>F_Inputs!A57</f>
        <v>NES</v>
      </c>
      <c r="B55" s="18" t="str">
        <f>F_Inputs!B57</f>
        <v>CWW17_009TOT_PR24</v>
      </c>
      <c r="C55" s="18" t="str">
        <f>F_Inputs!C57</f>
        <v>EA/NRW environmental programme wastewater (WINEP/NEP) - Continuous river water quality monitoring (WINEP/NEP) wastewater totex - Total</v>
      </c>
      <c r="D55" s="18" t="str">
        <f>F_Inputs!D57</f>
        <v>£m</v>
      </c>
      <c r="E55" s="18" t="str">
        <f>F_Inputs!E57</f>
        <v>Price Review 2024</v>
      </c>
      <c r="F55" s="38">
        <f ca="1">SUMIFS(F_Inputs_adjusted!P:P,F_Inputs_adjusted!$A:$A,$A55,F_Inputs_adjusted!$B:$B,$B55)</f>
        <v>0</v>
      </c>
      <c r="G55" s="38">
        <f ca="1">SUMIFS(F_Inputs_adjusted!Q:Q,F_Inputs_adjusted!$A:$A,$A55,F_Inputs_adjusted!$B:$B,$B55)</f>
        <v>0</v>
      </c>
      <c r="H55" s="38">
        <f ca="1">SUMIFS(F_Inputs_adjusted!R:R,F_Inputs_adjusted!$A:$A,$A55,F_Inputs_adjusted!$B:$B,$B55)</f>
        <v>0</v>
      </c>
      <c r="I55" s="38">
        <f ca="1">SUMIFS(F_Inputs_adjusted!S:S,F_Inputs_adjusted!$A:$A,$A55,F_Inputs_adjusted!$B:$B,$B55)</f>
        <v>0</v>
      </c>
      <c r="J55" s="38">
        <f ca="1">SUMIFS(F_Inputs_adjusted!T:T,F_Inputs_adjusted!$A:$A,$A55,F_Inputs_adjusted!$B:$B,$B55)</f>
        <v>0</v>
      </c>
      <c r="K55" s="38">
        <f ca="1">SUMIFS(F_Inputs_adjusted!U:U,F_Inputs_adjusted!$A:$A,$A55,F_Inputs_adjusted!$B:$B,$B55)</f>
        <v>0</v>
      </c>
      <c r="L55" s="38">
        <f ca="1">SUMIFS(F_Inputs_adjusted!V:V,F_Inputs_adjusted!$A:$A,$A55,F_Inputs_adjusted!$B:$B,$B55)</f>
        <v>0</v>
      </c>
      <c r="M55" s="38">
        <f ca="1">SUMIFS(F_Inputs_adjusted!M:M,F_Inputs_adjusted!$A:$A,$A55,F_Inputs_adjusted!$B:$B,$B55)</f>
        <v>0</v>
      </c>
      <c r="N55" s="38">
        <f ca="1">SUM(Table1[[#This Row],[2023-24]:[2029-30]])</f>
        <v>0</v>
      </c>
    </row>
    <row r="56" spans="1:14">
      <c r="A56" s="18" t="str">
        <f>F_Inputs!A58</f>
        <v>NES</v>
      </c>
      <c r="B56" s="18" t="str">
        <f>F_Inputs!B58</f>
        <v>CWW20A_049_PR24</v>
      </c>
      <c r="C56" s="18" t="str">
        <f>F_Inputs!C58</f>
        <v>Network / Storm overflow data - Number of continuous water quality monitor installations</v>
      </c>
      <c r="D56" s="18" t="str">
        <f>F_Inputs!D58</f>
        <v>nr</v>
      </c>
      <c r="E56" s="18" t="str">
        <f>F_Inputs!E58</f>
        <v>Price Review 2024</v>
      </c>
      <c r="F56" s="38">
        <f ca="1">SUMIFS(F_Inputs_adjusted!P:P,F_Inputs_adjusted!$A:$A,$A56,F_Inputs_adjusted!$B:$B,$B56)</f>
        <v>0</v>
      </c>
      <c r="G56" s="38">
        <f ca="1">SUMIFS(F_Inputs_adjusted!Q:Q,F_Inputs_adjusted!$A:$A,$A56,F_Inputs_adjusted!$B:$B,$B56)</f>
        <v>0</v>
      </c>
      <c r="H56" s="38">
        <f ca="1">SUMIFS(F_Inputs_adjusted!R:R,F_Inputs_adjusted!$A:$A,$A56,F_Inputs_adjusted!$B:$B,$B56)</f>
        <v>0</v>
      </c>
      <c r="I56" s="38">
        <f ca="1">SUMIFS(F_Inputs_adjusted!S:S,F_Inputs_adjusted!$A:$A,$A56,F_Inputs_adjusted!$B:$B,$B56)</f>
        <v>0</v>
      </c>
      <c r="J56" s="38">
        <f ca="1">SUMIFS(F_Inputs_adjusted!T:T,F_Inputs_adjusted!$A:$A,$A56,F_Inputs_adjusted!$B:$B,$B56)</f>
        <v>0</v>
      </c>
      <c r="K56" s="38">
        <f ca="1">SUMIFS(F_Inputs_adjusted!U:U,F_Inputs_adjusted!$A:$A,$A56,F_Inputs_adjusted!$B:$B,$B56)</f>
        <v>0</v>
      </c>
      <c r="L56" s="38">
        <f ca="1">SUMIFS(F_Inputs_adjusted!V:V,F_Inputs_adjusted!$A:$A,$A56,F_Inputs_adjusted!$B:$B,$B56)</f>
        <v>0</v>
      </c>
      <c r="M56" s="38">
        <f ca="1">SUMIFS(F_Inputs_adjusted!M:M,F_Inputs_adjusted!$A:$A,$A56,F_Inputs_adjusted!$B:$B,$B56)</f>
        <v>0</v>
      </c>
      <c r="N56" s="38">
        <f ca="1">SUM(Table1[[#This Row],[2023-24]:[2029-30]])</f>
        <v>0</v>
      </c>
    </row>
    <row r="57" spans="1:14">
      <c r="A57" s="18" t="str">
        <f>F_Inputs!A59</f>
        <v>SWB</v>
      </c>
      <c r="B57" s="18" t="str">
        <f>F_Inputs!B59</f>
        <v>CWW3_007TOT_PR24</v>
      </c>
      <c r="C57" s="18" t="str">
        <f>F_Inputs!C59</f>
        <v>EA/NRW environmental programme wastewater (WINEP/NEP) - Continuous river water quality monitoring (WINEP/NEP) wastewater capex - Total</v>
      </c>
      <c r="D57" s="18" t="str">
        <f>F_Inputs!D59</f>
        <v>£m</v>
      </c>
      <c r="E57" s="18" t="str">
        <f>F_Inputs!E59</f>
        <v>Price Review 2024</v>
      </c>
      <c r="F57" s="38">
        <f ca="1">SUMIFS(F_Inputs_adjusted!P:P,F_Inputs_adjusted!$A:$A,$A57,F_Inputs_adjusted!$B:$B,$B57)</f>
        <v>0</v>
      </c>
      <c r="G57" s="38">
        <f ca="1">SUMIFS(F_Inputs_adjusted!Q:Q,F_Inputs_adjusted!$A:$A,$A57,F_Inputs_adjusted!$B:$B,$B57)</f>
        <v>0</v>
      </c>
      <c r="H57" s="38">
        <f ca="1">SUMIFS(F_Inputs_adjusted!R:R,F_Inputs_adjusted!$A:$A,$A57,F_Inputs_adjusted!$B:$B,$B57)</f>
        <v>8.4819999999999993</v>
      </c>
      <c r="I57" s="38">
        <f ca="1">SUMIFS(F_Inputs_adjusted!S:S,F_Inputs_adjusted!$A:$A,$A57,F_Inputs_adjusted!$B:$B,$B57)</f>
        <v>8.4819999999999975</v>
      </c>
      <c r="J57" s="38">
        <f ca="1">SUMIFS(F_Inputs_adjusted!T:T,F_Inputs_adjusted!$A:$A,$A57,F_Inputs_adjusted!$B:$B,$B57)</f>
        <v>8.4819999999999975</v>
      </c>
      <c r="K57" s="38">
        <f ca="1">SUMIFS(F_Inputs_adjusted!U:U,F_Inputs_adjusted!$A:$A,$A57,F_Inputs_adjusted!$B:$B,$B57)</f>
        <v>8.4830000000000005</v>
      </c>
      <c r="L57" s="38">
        <f ca="1">SUMIFS(F_Inputs_adjusted!V:V,F_Inputs_adjusted!$A:$A,$A57,F_Inputs_adjusted!$B:$B,$B57)</f>
        <v>8.484</v>
      </c>
      <c r="M57" s="38">
        <f ca="1">SUMIFS(F_Inputs_adjusted!M:M,F_Inputs_adjusted!$A:$A,$A57,F_Inputs_adjusted!$B:$B,$B57)</f>
        <v>0</v>
      </c>
      <c r="N57" s="38">
        <f ca="1">SUM(Table1[[#This Row],[2023-24]:[2029-30]])</f>
        <v>42.413000000000004</v>
      </c>
    </row>
    <row r="58" spans="1:14">
      <c r="A58" s="18" t="str">
        <f>F_Inputs!A60</f>
        <v>SWB</v>
      </c>
      <c r="B58" s="18" t="str">
        <f>F_Inputs!B60</f>
        <v>CWW3_008TOT_PR24</v>
      </c>
      <c r="C58" s="18" t="str">
        <f>F_Inputs!C60</f>
        <v>EA/NRW environmental programme wastewater (WINEP/NEP) - Continuous river water quality monitoring (WINEP/NEP) wastewater opex - Total</v>
      </c>
      <c r="D58" s="18" t="str">
        <f>F_Inputs!D60</f>
        <v>£m</v>
      </c>
      <c r="E58" s="18" t="str">
        <f>F_Inputs!E60</f>
        <v>Price Review 2024</v>
      </c>
      <c r="F58" s="38">
        <f ca="1">SUMIFS(F_Inputs_adjusted!P:P,F_Inputs_adjusted!$A:$A,$A58,F_Inputs_adjusted!$B:$B,$B58)</f>
        <v>0</v>
      </c>
      <c r="G58" s="38">
        <f ca="1">SUMIFS(F_Inputs_adjusted!Q:Q,F_Inputs_adjusted!$A:$A,$A58,F_Inputs_adjusted!$B:$B,$B58)</f>
        <v>0</v>
      </c>
      <c r="H58" s="38">
        <f ca="1">SUMIFS(F_Inputs_adjusted!R:R,F_Inputs_adjusted!$A:$A,$A58,F_Inputs_adjusted!$B:$B,$B58)</f>
        <v>0.79999999999999993</v>
      </c>
      <c r="I58" s="38">
        <f ca="1">SUMIFS(F_Inputs_adjusted!S:S,F_Inputs_adjusted!$A:$A,$A58,F_Inputs_adjusted!$B:$B,$B58)</f>
        <v>1.6</v>
      </c>
      <c r="J58" s="38">
        <f ca="1">SUMIFS(F_Inputs_adjusted!T:T,F_Inputs_adjusted!$A:$A,$A58,F_Inputs_adjusted!$B:$B,$B58)</f>
        <v>2.4</v>
      </c>
      <c r="K58" s="38">
        <f ca="1">SUMIFS(F_Inputs_adjusted!U:U,F_Inputs_adjusted!$A:$A,$A58,F_Inputs_adjusted!$B:$B,$B58)</f>
        <v>3.21</v>
      </c>
      <c r="L58" s="38">
        <f ca="1">SUMIFS(F_Inputs_adjusted!V:V,F_Inputs_adjusted!$A:$A,$A58,F_Inputs_adjusted!$B:$B,$B58)</f>
        <v>4.01</v>
      </c>
      <c r="M58" s="38">
        <f ca="1">SUMIFS(F_Inputs_adjusted!M:M,F_Inputs_adjusted!$A:$A,$A58,F_Inputs_adjusted!$B:$B,$B58)</f>
        <v>0</v>
      </c>
      <c r="N58" s="38">
        <f ca="1">SUM(Table1[[#This Row],[2023-24]:[2029-30]])</f>
        <v>12.02</v>
      </c>
    </row>
    <row r="59" spans="1:14">
      <c r="A59" s="18" t="str">
        <f>F_Inputs!A61</f>
        <v>SWB</v>
      </c>
      <c r="B59" s="18" t="str">
        <f>F_Inputs!B61</f>
        <v>CWW3_009TOT_PR24</v>
      </c>
      <c r="C59" s="18" t="str">
        <f>F_Inputs!C61</f>
        <v>EA/NRW environmental programme wastewater (WINEP/NEP) - Continuous river water quality monitoring (WINEP/NEP) wastewater totex - Total</v>
      </c>
      <c r="D59" s="18" t="str">
        <f>F_Inputs!D61</f>
        <v>£m</v>
      </c>
      <c r="E59" s="18" t="str">
        <f>F_Inputs!E61</f>
        <v>Price Review 2024</v>
      </c>
      <c r="F59" s="38">
        <f ca="1">SUMIFS(F_Inputs_adjusted!P:P,F_Inputs_adjusted!$A:$A,$A59,F_Inputs_adjusted!$B:$B,$B59)</f>
        <v>0</v>
      </c>
      <c r="G59" s="38">
        <f ca="1">SUMIFS(F_Inputs_adjusted!Q:Q,F_Inputs_adjusted!$A:$A,$A59,F_Inputs_adjusted!$B:$B,$B59)</f>
        <v>0</v>
      </c>
      <c r="H59" s="38">
        <f ca="1">SUMIFS(F_Inputs_adjusted!R:R,F_Inputs_adjusted!$A:$A,$A59,F_Inputs_adjusted!$B:$B,$B59)</f>
        <v>9.282</v>
      </c>
      <c r="I59" s="38">
        <f ca="1">SUMIFS(F_Inputs_adjusted!S:S,F_Inputs_adjusted!$A:$A,$A59,F_Inputs_adjusted!$B:$B,$B59)</f>
        <v>10.082000000000001</v>
      </c>
      <c r="J59" s="38">
        <f ca="1">SUMIFS(F_Inputs_adjusted!T:T,F_Inputs_adjusted!$A:$A,$A59,F_Inputs_adjusted!$B:$B,$B59)</f>
        <v>10.882</v>
      </c>
      <c r="K59" s="38">
        <f ca="1">SUMIFS(F_Inputs_adjusted!U:U,F_Inputs_adjusted!$A:$A,$A59,F_Inputs_adjusted!$B:$B,$B59)</f>
        <v>11.693</v>
      </c>
      <c r="L59" s="38">
        <f ca="1">SUMIFS(F_Inputs_adjusted!V:V,F_Inputs_adjusted!$A:$A,$A59,F_Inputs_adjusted!$B:$B,$B59)</f>
        <v>12.494</v>
      </c>
      <c r="M59" s="38">
        <f ca="1">SUMIFS(F_Inputs_adjusted!M:M,F_Inputs_adjusted!$A:$A,$A59,F_Inputs_adjusted!$B:$B,$B59)</f>
        <v>0</v>
      </c>
      <c r="N59" s="38">
        <f ca="1">SUM(Table1[[#This Row],[2023-24]:[2029-30]])</f>
        <v>54.433</v>
      </c>
    </row>
    <row r="60" spans="1:14">
      <c r="A60" s="18" t="str">
        <f>F_Inputs!A62</f>
        <v>SWB</v>
      </c>
      <c r="B60" s="18" t="str">
        <f>F_Inputs!B62</f>
        <v>CWW20_049_PR24</v>
      </c>
      <c r="C60" s="18" t="str">
        <f>F_Inputs!C62</f>
        <v>Network / Storm overflow data - Number of continuous water quality monitor installations</v>
      </c>
      <c r="D60" s="18" t="str">
        <f>F_Inputs!D62</f>
        <v>nr</v>
      </c>
      <c r="E60" s="18" t="str">
        <f>F_Inputs!E62</f>
        <v>Price Review 2024</v>
      </c>
      <c r="F60" s="38">
        <f ca="1">SUMIFS(F_Inputs_adjusted!P:P,F_Inputs_adjusted!$A:$A,$A60,F_Inputs_adjusted!$B:$B,$B60)</f>
        <v>0</v>
      </c>
      <c r="G60" s="38">
        <f ca="1">SUMIFS(F_Inputs_adjusted!Q:Q,F_Inputs_adjusted!$A:$A,$A60,F_Inputs_adjusted!$B:$B,$B60)</f>
        <v>0</v>
      </c>
      <c r="H60" s="38">
        <f ca="1">SUMIFS(F_Inputs_adjusted!R:R,F_Inputs_adjusted!$A:$A,$A60,F_Inputs_adjusted!$B:$B,$B60)</f>
        <v>82</v>
      </c>
      <c r="I60" s="38">
        <f ca="1">SUMIFS(F_Inputs_adjusted!S:S,F_Inputs_adjusted!$A:$A,$A60,F_Inputs_adjusted!$B:$B,$B60)</f>
        <v>82</v>
      </c>
      <c r="J60" s="38">
        <f ca="1">SUMIFS(F_Inputs_adjusted!T:T,F_Inputs_adjusted!$A:$A,$A60,F_Inputs_adjusted!$B:$B,$B60)</f>
        <v>82</v>
      </c>
      <c r="K60" s="38">
        <f ca="1">SUMIFS(F_Inputs_adjusted!U:U,F_Inputs_adjusted!$A:$A,$A60,F_Inputs_adjusted!$B:$B,$B60)</f>
        <v>82</v>
      </c>
      <c r="L60" s="38">
        <f ca="1">SUMIFS(F_Inputs_adjusted!V:V,F_Inputs_adjusted!$A:$A,$A60,F_Inputs_adjusted!$B:$B,$B60)</f>
        <v>81</v>
      </c>
      <c r="M60" s="38">
        <f ca="1">SUMIFS(F_Inputs_adjusted!M:M,F_Inputs_adjusted!$A:$A,$A60,F_Inputs_adjusted!$B:$B,$B60)</f>
        <v>0</v>
      </c>
      <c r="N60" s="38">
        <f ca="1">SUM(Table1[[#This Row],[2023-24]:[2029-30]])</f>
        <v>409</v>
      </c>
    </row>
    <row r="61" spans="1:14">
      <c r="A61" s="18" t="str">
        <f>F_Inputs!A63</f>
        <v>SWB</v>
      </c>
      <c r="B61" s="18" t="str">
        <f>F_Inputs!B63</f>
        <v>CWW1A_015TOT_PR24</v>
      </c>
      <c r="C61" s="18" t="str">
        <f>F_Inputs!C63</f>
        <v>Net totex - Total</v>
      </c>
      <c r="D61" s="18" t="str">
        <f>F_Inputs!D63</f>
        <v>£m</v>
      </c>
      <c r="E61" s="18" t="str">
        <f>F_Inputs!E63</f>
        <v>Price Review 2024</v>
      </c>
      <c r="F61" s="38">
        <f ca="1">SUMIFS(F_Inputs_adjusted!P:P,F_Inputs_adjusted!$A:$A,$A61,F_Inputs_adjusted!$B:$B,$B61)</f>
        <v>0</v>
      </c>
      <c r="G61" s="38">
        <f ca="1">SUMIFS(F_Inputs_adjusted!Q:Q,F_Inputs_adjusted!$A:$A,$A61,F_Inputs_adjusted!$B:$B,$B61)</f>
        <v>0</v>
      </c>
      <c r="H61" s="38">
        <f ca="1">SUMIFS(F_Inputs_adjusted!R:R,F_Inputs_adjusted!$A:$A,$A61,F_Inputs_adjusted!$B:$B,$B61)</f>
        <v>424.43672704840031</v>
      </c>
      <c r="I61" s="38">
        <f ca="1">SUMIFS(F_Inputs_adjusted!S:S,F_Inputs_adjusted!$A:$A,$A61,F_Inputs_adjusted!$B:$B,$B61)</f>
        <v>452.43411651686932</v>
      </c>
      <c r="J61" s="38">
        <f ca="1">SUMIFS(F_Inputs_adjusted!T:T,F_Inputs_adjusted!$A:$A,$A61,F_Inputs_adjusted!$B:$B,$B61)</f>
        <v>438.9042052475661</v>
      </c>
      <c r="K61" s="38">
        <f ca="1">SUMIFS(F_Inputs_adjusted!U:U,F_Inputs_adjusted!$A:$A,$A61,F_Inputs_adjusted!$B:$B,$B61)</f>
        <v>443.81161410521469</v>
      </c>
      <c r="L61" s="38">
        <f ca="1">SUMIFS(F_Inputs_adjusted!V:V,F_Inputs_adjusted!$A:$A,$A61,F_Inputs_adjusted!$B:$B,$B61)</f>
        <v>366.29748727458627</v>
      </c>
      <c r="M61" s="38">
        <f ca="1">SUMIFS(F_Inputs_adjusted!M:M,F_Inputs_adjusted!$A:$A,$A61,F_Inputs_adjusted!$B:$B,$B61)</f>
        <v>0</v>
      </c>
      <c r="N61" s="38">
        <f ca="1">SUM(Table1[[#This Row],[2023-24]:[2029-30]])</f>
        <v>2125.8841501926368</v>
      </c>
    </row>
    <row r="62" spans="1:14">
      <c r="A62" s="18" t="str">
        <f>F_Inputs!A64</f>
        <v>SWB</v>
      </c>
      <c r="B62" s="18" t="str">
        <f>F_Inputs!B64</f>
        <v>PR24_NETTOTEX_WASTE</v>
      </c>
      <c r="C62" s="18" t="str">
        <f>F_Inputs!C64</f>
        <v>PR24 BP Net totex - Total inc. accelerated &amp; transition costs</v>
      </c>
      <c r="D62" s="18" t="str">
        <f>F_Inputs!D64</f>
        <v>£m</v>
      </c>
      <c r="E62" s="18" t="str">
        <f>F_Inputs!E64</f>
        <v>Price Review 2024</v>
      </c>
      <c r="F62" s="38">
        <f ca="1">SUMIFS(F_Inputs_adjusted!P:P,F_Inputs_adjusted!$A:$A,$A62,F_Inputs_adjusted!$B:$B,$B62)</f>
        <v>0</v>
      </c>
      <c r="G62" s="38">
        <f ca="1">SUMIFS(F_Inputs_adjusted!Q:Q,F_Inputs_adjusted!$A:$A,$A62,F_Inputs_adjusted!$B:$B,$B62)</f>
        <v>0</v>
      </c>
      <c r="H62" s="38">
        <f ca="1">SUMIFS(F_Inputs_adjusted!R:R,F_Inputs_adjusted!$A:$A,$A62,F_Inputs_adjusted!$B:$B,$B62)</f>
        <v>0</v>
      </c>
      <c r="I62" s="38">
        <f ca="1">SUMIFS(F_Inputs_adjusted!S:S,F_Inputs_adjusted!$A:$A,$A62,F_Inputs_adjusted!$B:$B,$B62)</f>
        <v>0</v>
      </c>
      <c r="J62" s="38">
        <f ca="1">SUMIFS(F_Inputs_adjusted!T:T,F_Inputs_adjusted!$A:$A,$A62,F_Inputs_adjusted!$B:$B,$B62)</f>
        <v>0</v>
      </c>
      <c r="K62" s="38">
        <f ca="1">SUMIFS(F_Inputs_adjusted!U:U,F_Inputs_adjusted!$A:$A,$A62,F_Inputs_adjusted!$B:$B,$B62)</f>
        <v>0</v>
      </c>
      <c r="L62" s="38">
        <f ca="1">SUMIFS(F_Inputs_adjusted!V:V,F_Inputs_adjusted!$A:$A,$A62,F_Inputs_adjusted!$B:$B,$B62)</f>
        <v>0</v>
      </c>
      <c r="M62" s="38">
        <f ca="1">SUMIFS(F_Inputs_adjusted!M:M,F_Inputs_adjusted!$A:$A,$A62,F_Inputs_adjusted!$B:$B,$B62)</f>
        <v>2220.3792602351086</v>
      </c>
      <c r="N62" s="38">
        <f ca="1">SUM(Table1[[#This Row],[2023-24]:[2029-30]])</f>
        <v>0</v>
      </c>
    </row>
    <row r="63" spans="1:14">
      <c r="A63" s="18" t="str">
        <f>F_Inputs!A65</f>
        <v>SWB</v>
      </c>
      <c r="B63" s="18" t="str">
        <f>F_Inputs!B65</f>
        <v>CWW12_007TOT_PR24</v>
      </c>
      <c r="C63" s="18" t="str">
        <f>F_Inputs!C65</f>
        <v>EA/NRW environmental programme wastewater (WINEP/NEP) - Continuous river water quality monitoring (WINEP/NEP) wastewater capex - Total</v>
      </c>
      <c r="D63" s="18" t="str">
        <f>F_Inputs!D65</f>
        <v>£m</v>
      </c>
      <c r="E63" s="18" t="str">
        <f>F_Inputs!E65</f>
        <v>Price Review 2024</v>
      </c>
      <c r="F63" s="38">
        <f ca="1">SUMIFS(F_Inputs_adjusted!P:P,F_Inputs_adjusted!$A:$A,$A63,F_Inputs_adjusted!$B:$B,$B63)</f>
        <v>0</v>
      </c>
      <c r="G63" s="38">
        <f ca="1">SUMIFS(F_Inputs_adjusted!Q:Q,F_Inputs_adjusted!$A:$A,$A63,F_Inputs_adjusted!$B:$B,$B63)</f>
        <v>0</v>
      </c>
      <c r="H63" s="38">
        <f ca="1">SUMIFS(F_Inputs_adjusted!R:R,F_Inputs_adjusted!$A:$A,$A63,F_Inputs_adjusted!$B:$B,$B63)</f>
        <v>0</v>
      </c>
      <c r="I63" s="38">
        <f ca="1">SUMIFS(F_Inputs_adjusted!S:S,F_Inputs_adjusted!$A:$A,$A63,F_Inputs_adjusted!$B:$B,$B63)</f>
        <v>0</v>
      </c>
      <c r="J63" s="38">
        <f ca="1">SUMIFS(F_Inputs_adjusted!T:T,F_Inputs_adjusted!$A:$A,$A63,F_Inputs_adjusted!$B:$B,$B63)</f>
        <v>0</v>
      </c>
      <c r="K63" s="38">
        <f ca="1">SUMIFS(F_Inputs_adjusted!U:U,F_Inputs_adjusted!$A:$A,$A63,F_Inputs_adjusted!$B:$B,$B63)</f>
        <v>0</v>
      </c>
      <c r="L63" s="38">
        <f ca="1">SUMIFS(F_Inputs_adjusted!V:V,F_Inputs_adjusted!$A:$A,$A63,F_Inputs_adjusted!$B:$B,$B63)</f>
        <v>0</v>
      </c>
      <c r="M63" s="38">
        <f ca="1">SUMIFS(F_Inputs_adjusted!M:M,F_Inputs_adjusted!$A:$A,$A63,F_Inputs_adjusted!$B:$B,$B63)</f>
        <v>0</v>
      </c>
      <c r="N63" s="38">
        <f ca="1">SUM(Table1[[#This Row],[2023-24]:[2029-30]])</f>
        <v>0</v>
      </c>
    </row>
    <row r="64" spans="1:14">
      <c r="A64" s="18" t="str">
        <f>F_Inputs!A66</f>
        <v>SWB</v>
      </c>
      <c r="B64" s="18" t="str">
        <f>F_Inputs!B66</f>
        <v>CWW12_008TOT_PR24</v>
      </c>
      <c r="C64" s="18" t="str">
        <f>F_Inputs!C66</f>
        <v>EA/NRW environmental programme wastewater (WINEP/NEP) - Continuous river water quality monitoring (WINEP/NEP) wastewater opex - Total</v>
      </c>
      <c r="D64" s="18" t="str">
        <f>F_Inputs!D66</f>
        <v>£m</v>
      </c>
      <c r="E64" s="18" t="str">
        <f>F_Inputs!E66</f>
        <v>Price Review 2024</v>
      </c>
      <c r="F64" s="38">
        <f ca="1">SUMIFS(F_Inputs_adjusted!P:P,F_Inputs_adjusted!$A:$A,$A64,F_Inputs_adjusted!$B:$B,$B64)</f>
        <v>0</v>
      </c>
      <c r="G64" s="38">
        <f ca="1">SUMIFS(F_Inputs_adjusted!Q:Q,F_Inputs_adjusted!$A:$A,$A64,F_Inputs_adjusted!$B:$B,$B64)</f>
        <v>0</v>
      </c>
      <c r="H64" s="38">
        <f ca="1">SUMIFS(F_Inputs_adjusted!R:R,F_Inputs_adjusted!$A:$A,$A64,F_Inputs_adjusted!$B:$B,$B64)</f>
        <v>0</v>
      </c>
      <c r="I64" s="38">
        <f ca="1">SUMIFS(F_Inputs_adjusted!S:S,F_Inputs_adjusted!$A:$A,$A64,F_Inputs_adjusted!$B:$B,$B64)</f>
        <v>0</v>
      </c>
      <c r="J64" s="38">
        <f ca="1">SUMIFS(F_Inputs_adjusted!T:T,F_Inputs_adjusted!$A:$A,$A64,F_Inputs_adjusted!$B:$B,$B64)</f>
        <v>0</v>
      </c>
      <c r="K64" s="38">
        <f ca="1">SUMIFS(F_Inputs_adjusted!U:U,F_Inputs_adjusted!$A:$A,$A64,F_Inputs_adjusted!$B:$B,$B64)</f>
        <v>0</v>
      </c>
      <c r="L64" s="38">
        <f ca="1">SUMIFS(F_Inputs_adjusted!V:V,F_Inputs_adjusted!$A:$A,$A64,F_Inputs_adjusted!$B:$B,$B64)</f>
        <v>0</v>
      </c>
      <c r="M64" s="38">
        <f ca="1">SUMIFS(F_Inputs_adjusted!M:M,F_Inputs_adjusted!$A:$A,$A64,F_Inputs_adjusted!$B:$B,$B64)</f>
        <v>0</v>
      </c>
      <c r="N64" s="38">
        <f ca="1">SUM(Table1[[#This Row],[2023-24]:[2029-30]])</f>
        <v>0</v>
      </c>
    </row>
    <row r="65" spans="1:14">
      <c r="A65" s="18" t="str">
        <f>F_Inputs!A67</f>
        <v>SWB</v>
      </c>
      <c r="B65" s="18" t="str">
        <f>F_Inputs!B67</f>
        <v>CWW12_009TOT_PR24</v>
      </c>
      <c r="C65" s="18" t="str">
        <f>F_Inputs!C67</f>
        <v>EA/NRW environmental programme wastewater (WINEP/NEP) - Continuous river water quality monitoring (WINEP/NEP) wastewater totex - Total</v>
      </c>
      <c r="D65" s="18" t="str">
        <f>F_Inputs!D67</f>
        <v>£m</v>
      </c>
      <c r="E65" s="18" t="str">
        <f>F_Inputs!E67</f>
        <v>Price Review 2024</v>
      </c>
      <c r="F65" s="38">
        <f ca="1">SUMIFS(F_Inputs_adjusted!P:P,F_Inputs_adjusted!$A:$A,$A65,F_Inputs_adjusted!$B:$B,$B65)</f>
        <v>0</v>
      </c>
      <c r="G65" s="38">
        <f ca="1">SUMIFS(F_Inputs_adjusted!Q:Q,F_Inputs_adjusted!$A:$A,$A65,F_Inputs_adjusted!$B:$B,$B65)</f>
        <v>0</v>
      </c>
      <c r="H65" s="38">
        <f ca="1">SUMIFS(F_Inputs_adjusted!R:R,F_Inputs_adjusted!$A:$A,$A65,F_Inputs_adjusted!$B:$B,$B65)</f>
        <v>0</v>
      </c>
      <c r="I65" s="38">
        <f ca="1">SUMIFS(F_Inputs_adjusted!S:S,F_Inputs_adjusted!$A:$A,$A65,F_Inputs_adjusted!$B:$B,$B65)</f>
        <v>0</v>
      </c>
      <c r="J65" s="38">
        <f ca="1">SUMIFS(F_Inputs_adjusted!T:T,F_Inputs_adjusted!$A:$A,$A65,F_Inputs_adjusted!$B:$B,$B65)</f>
        <v>0</v>
      </c>
      <c r="K65" s="38">
        <f ca="1">SUMIFS(F_Inputs_adjusted!U:U,F_Inputs_adjusted!$A:$A,$A65,F_Inputs_adjusted!$B:$B,$B65)</f>
        <v>0</v>
      </c>
      <c r="L65" s="38">
        <f ca="1">SUMIFS(F_Inputs_adjusted!V:V,F_Inputs_adjusted!$A:$A,$A65,F_Inputs_adjusted!$B:$B,$B65)</f>
        <v>0</v>
      </c>
      <c r="M65" s="38">
        <f ca="1">SUMIFS(F_Inputs_adjusted!M:M,F_Inputs_adjusted!$A:$A,$A65,F_Inputs_adjusted!$B:$B,$B65)</f>
        <v>0</v>
      </c>
      <c r="N65" s="38">
        <f ca="1">SUM(Table1[[#This Row],[2023-24]:[2029-30]])</f>
        <v>0</v>
      </c>
    </row>
    <row r="66" spans="1:14">
      <c r="A66" s="18" t="str">
        <f>F_Inputs!A68</f>
        <v>SWB</v>
      </c>
      <c r="B66" s="18" t="str">
        <f>F_Inputs!B68</f>
        <v>CWW17_007TOT_PR24</v>
      </c>
      <c r="C66" s="18" t="str">
        <f>F_Inputs!C68</f>
        <v>EA/NRW environmental programme wastewater (WINEP/NEP) - Continuous river water quality monitoring (WINEP/NEP) wastewater capex - Total</v>
      </c>
      <c r="D66" s="18" t="str">
        <f>F_Inputs!D68</f>
        <v>£m</v>
      </c>
      <c r="E66" s="18" t="str">
        <f>F_Inputs!E68</f>
        <v>Price Review 2024</v>
      </c>
      <c r="F66" s="38">
        <f ca="1">SUMIFS(F_Inputs_adjusted!P:P,F_Inputs_adjusted!$A:$A,$A66,F_Inputs_adjusted!$B:$B,$B66)</f>
        <v>0</v>
      </c>
      <c r="G66" s="38">
        <f ca="1">SUMIFS(F_Inputs_adjusted!Q:Q,F_Inputs_adjusted!$A:$A,$A66,F_Inputs_adjusted!$B:$B,$B66)</f>
        <v>0</v>
      </c>
      <c r="H66" s="38">
        <f ca="1">SUMIFS(F_Inputs_adjusted!R:R,F_Inputs_adjusted!$A:$A,$A66,F_Inputs_adjusted!$B:$B,$B66)</f>
        <v>0</v>
      </c>
      <c r="I66" s="38">
        <f ca="1">SUMIFS(F_Inputs_adjusted!S:S,F_Inputs_adjusted!$A:$A,$A66,F_Inputs_adjusted!$B:$B,$B66)</f>
        <v>0</v>
      </c>
      <c r="J66" s="38">
        <f ca="1">SUMIFS(F_Inputs_adjusted!T:T,F_Inputs_adjusted!$A:$A,$A66,F_Inputs_adjusted!$B:$B,$B66)</f>
        <v>0</v>
      </c>
      <c r="K66" s="38">
        <f ca="1">SUMIFS(F_Inputs_adjusted!U:U,F_Inputs_adjusted!$A:$A,$A66,F_Inputs_adjusted!$B:$B,$B66)</f>
        <v>0</v>
      </c>
      <c r="L66" s="38">
        <f ca="1">SUMIFS(F_Inputs_adjusted!V:V,F_Inputs_adjusted!$A:$A,$A66,F_Inputs_adjusted!$B:$B,$B66)</f>
        <v>0</v>
      </c>
      <c r="M66" s="38">
        <f ca="1">SUMIFS(F_Inputs_adjusted!M:M,F_Inputs_adjusted!$A:$A,$A66,F_Inputs_adjusted!$B:$B,$B66)</f>
        <v>0</v>
      </c>
      <c r="N66" s="38">
        <f ca="1">SUM(Table1[[#This Row],[2023-24]:[2029-30]])</f>
        <v>0</v>
      </c>
    </row>
    <row r="67" spans="1:14">
      <c r="A67" s="18" t="str">
        <f>F_Inputs!A69</f>
        <v>SWB</v>
      </c>
      <c r="B67" s="18" t="str">
        <f>F_Inputs!B69</f>
        <v>CWW17_008TOT_PR24</v>
      </c>
      <c r="C67" s="18" t="str">
        <f>F_Inputs!C69</f>
        <v>EA/NRW environmental programme wastewater (WINEP/NEP) - Continuous river water quality monitoring (WINEP/NEP) wastewater opex - Total</v>
      </c>
      <c r="D67" s="18" t="str">
        <f>F_Inputs!D69</f>
        <v>£m</v>
      </c>
      <c r="E67" s="18" t="str">
        <f>F_Inputs!E69</f>
        <v>Price Review 2024</v>
      </c>
      <c r="F67" s="38">
        <f ca="1">SUMIFS(F_Inputs_adjusted!P:P,F_Inputs_adjusted!$A:$A,$A67,F_Inputs_adjusted!$B:$B,$B67)</f>
        <v>0</v>
      </c>
      <c r="G67" s="38">
        <f ca="1">SUMIFS(F_Inputs_adjusted!Q:Q,F_Inputs_adjusted!$A:$A,$A67,F_Inputs_adjusted!$B:$B,$B67)</f>
        <v>0</v>
      </c>
      <c r="H67" s="38">
        <f ca="1">SUMIFS(F_Inputs_adjusted!R:R,F_Inputs_adjusted!$A:$A,$A67,F_Inputs_adjusted!$B:$B,$B67)</f>
        <v>0</v>
      </c>
      <c r="I67" s="38">
        <f ca="1">SUMIFS(F_Inputs_adjusted!S:S,F_Inputs_adjusted!$A:$A,$A67,F_Inputs_adjusted!$B:$B,$B67)</f>
        <v>0</v>
      </c>
      <c r="J67" s="38">
        <f ca="1">SUMIFS(F_Inputs_adjusted!T:T,F_Inputs_adjusted!$A:$A,$A67,F_Inputs_adjusted!$B:$B,$B67)</f>
        <v>0</v>
      </c>
      <c r="K67" s="38">
        <f ca="1">SUMIFS(F_Inputs_adjusted!U:U,F_Inputs_adjusted!$A:$A,$A67,F_Inputs_adjusted!$B:$B,$B67)</f>
        <v>0</v>
      </c>
      <c r="L67" s="38">
        <f ca="1">SUMIFS(F_Inputs_adjusted!V:V,F_Inputs_adjusted!$A:$A,$A67,F_Inputs_adjusted!$B:$B,$B67)</f>
        <v>0</v>
      </c>
      <c r="M67" s="38">
        <f ca="1">SUMIFS(F_Inputs_adjusted!M:M,F_Inputs_adjusted!$A:$A,$A67,F_Inputs_adjusted!$B:$B,$B67)</f>
        <v>0</v>
      </c>
      <c r="N67" s="38">
        <f ca="1">SUM(Table1[[#This Row],[2023-24]:[2029-30]])</f>
        <v>0</v>
      </c>
    </row>
    <row r="68" spans="1:14">
      <c r="A68" s="18" t="str">
        <f>F_Inputs!A70</f>
        <v>SWB</v>
      </c>
      <c r="B68" s="18" t="str">
        <f>F_Inputs!B70</f>
        <v>CWW17_009TOT_PR24</v>
      </c>
      <c r="C68" s="18" t="str">
        <f>F_Inputs!C70</f>
        <v>EA/NRW environmental programme wastewater (WINEP/NEP) - Continuous river water quality monitoring (WINEP/NEP) wastewater totex - Total</v>
      </c>
      <c r="D68" s="18" t="str">
        <f>F_Inputs!D70</f>
        <v>£m</v>
      </c>
      <c r="E68" s="18" t="str">
        <f>F_Inputs!E70</f>
        <v>Price Review 2024</v>
      </c>
      <c r="F68" s="38">
        <f ca="1">SUMIFS(F_Inputs_adjusted!P:P,F_Inputs_adjusted!$A:$A,$A68,F_Inputs_adjusted!$B:$B,$B68)</f>
        <v>0</v>
      </c>
      <c r="G68" s="38">
        <f ca="1">SUMIFS(F_Inputs_adjusted!Q:Q,F_Inputs_adjusted!$A:$A,$A68,F_Inputs_adjusted!$B:$B,$B68)</f>
        <v>0</v>
      </c>
      <c r="H68" s="38">
        <f ca="1">SUMIFS(F_Inputs_adjusted!R:R,F_Inputs_adjusted!$A:$A,$A68,F_Inputs_adjusted!$B:$B,$B68)</f>
        <v>0</v>
      </c>
      <c r="I68" s="38">
        <f ca="1">SUMIFS(F_Inputs_adjusted!S:S,F_Inputs_adjusted!$A:$A,$A68,F_Inputs_adjusted!$B:$B,$B68)</f>
        <v>0</v>
      </c>
      <c r="J68" s="38">
        <f ca="1">SUMIFS(F_Inputs_adjusted!T:T,F_Inputs_adjusted!$A:$A,$A68,F_Inputs_adjusted!$B:$B,$B68)</f>
        <v>0</v>
      </c>
      <c r="K68" s="38">
        <f ca="1">SUMIFS(F_Inputs_adjusted!U:U,F_Inputs_adjusted!$A:$A,$A68,F_Inputs_adjusted!$B:$B,$B68)</f>
        <v>0</v>
      </c>
      <c r="L68" s="38">
        <f ca="1">SUMIFS(F_Inputs_adjusted!V:V,F_Inputs_adjusted!$A:$A,$A68,F_Inputs_adjusted!$B:$B,$B68)</f>
        <v>0</v>
      </c>
      <c r="M68" s="38">
        <f ca="1">SUMIFS(F_Inputs_adjusted!M:M,F_Inputs_adjusted!$A:$A,$A68,F_Inputs_adjusted!$B:$B,$B68)</f>
        <v>0</v>
      </c>
      <c r="N68" s="38">
        <f ca="1">SUM(Table1[[#This Row],[2023-24]:[2029-30]])</f>
        <v>0</v>
      </c>
    </row>
    <row r="69" spans="1:14">
      <c r="A69" s="18" t="str">
        <f>F_Inputs!A71</f>
        <v>SWB</v>
      </c>
      <c r="B69" s="18" t="str">
        <f>F_Inputs!B71</f>
        <v>CWW20A_049_PR24</v>
      </c>
      <c r="C69" s="18" t="str">
        <f>F_Inputs!C71</f>
        <v>Network / Storm overflow data - Number of continuous water quality monitor installations</v>
      </c>
      <c r="D69" s="18" t="str">
        <f>F_Inputs!D71</f>
        <v>nr</v>
      </c>
      <c r="E69" s="18" t="str">
        <f>F_Inputs!E71</f>
        <v>Price Review 2024</v>
      </c>
      <c r="F69" s="38">
        <f ca="1">SUMIFS(F_Inputs_adjusted!P:P,F_Inputs_adjusted!$A:$A,$A69,F_Inputs_adjusted!$B:$B,$B69)</f>
        <v>0</v>
      </c>
      <c r="G69" s="38">
        <f ca="1">SUMIFS(F_Inputs_adjusted!Q:Q,F_Inputs_adjusted!$A:$A,$A69,F_Inputs_adjusted!$B:$B,$B69)</f>
        <v>0</v>
      </c>
      <c r="H69" s="38">
        <f ca="1">SUMIFS(F_Inputs_adjusted!R:R,F_Inputs_adjusted!$A:$A,$A69,F_Inputs_adjusted!$B:$B,$B69)</f>
        <v>0</v>
      </c>
      <c r="I69" s="38">
        <f ca="1">SUMIFS(F_Inputs_adjusted!S:S,F_Inputs_adjusted!$A:$A,$A69,F_Inputs_adjusted!$B:$B,$B69)</f>
        <v>0</v>
      </c>
      <c r="J69" s="38">
        <f ca="1">SUMIFS(F_Inputs_adjusted!T:T,F_Inputs_adjusted!$A:$A,$A69,F_Inputs_adjusted!$B:$B,$B69)</f>
        <v>0</v>
      </c>
      <c r="K69" s="38">
        <f ca="1">SUMIFS(F_Inputs_adjusted!U:U,F_Inputs_adjusted!$A:$A,$A69,F_Inputs_adjusted!$B:$B,$B69)</f>
        <v>0</v>
      </c>
      <c r="L69" s="38">
        <f ca="1">SUMIFS(F_Inputs_adjusted!V:V,F_Inputs_adjusted!$A:$A,$A69,F_Inputs_adjusted!$B:$B,$B69)</f>
        <v>0</v>
      </c>
      <c r="M69" s="38">
        <f ca="1">SUMIFS(F_Inputs_adjusted!M:M,F_Inputs_adjusted!$A:$A,$A69,F_Inputs_adjusted!$B:$B,$B69)</f>
        <v>0</v>
      </c>
      <c r="N69" s="38">
        <f ca="1">SUM(Table1[[#This Row],[2023-24]:[2029-30]])</f>
        <v>0</v>
      </c>
    </row>
    <row r="70" spans="1:14">
      <c r="A70" s="18" t="str">
        <f>F_Inputs!A72</f>
        <v>SVE</v>
      </c>
      <c r="B70" s="18" t="str">
        <f>F_Inputs!B72</f>
        <v>CWW3_007TOT_PR24</v>
      </c>
      <c r="C70" s="18" t="str">
        <f>F_Inputs!C72</f>
        <v>EA/NRW environmental programme wastewater (WINEP/NEP) - Continuous river water quality monitoring (WINEP/NEP) wastewater capex - Total</v>
      </c>
      <c r="D70" s="18" t="str">
        <f>F_Inputs!D72</f>
        <v>£m</v>
      </c>
      <c r="E70" s="18" t="str">
        <f>F_Inputs!E72</f>
        <v>Price Review 2024</v>
      </c>
      <c r="F70" s="38">
        <f ca="1">SUMIFS(F_Inputs_adjusted!P:P,F_Inputs_adjusted!$A:$A,$A70,F_Inputs_adjusted!$B:$B,$B70)</f>
        <v>0</v>
      </c>
      <c r="G70" s="38">
        <f ca="1">SUMIFS(F_Inputs_adjusted!Q:Q,F_Inputs_adjusted!$A:$A,$A70,F_Inputs_adjusted!$B:$B,$B70)</f>
        <v>0</v>
      </c>
      <c r="H70" s="38">
        <f ca="1">SUMIFS(F_Inputs_adjusted!R:R,F_Inputs_adjusted!$A:$A,$A70,F_Inputs_adjusted!$B:$B,$B70)</f>
        <v>9.3602482771628619</v>
      </c>
      <c r="I70" s="38">
        <f ca="1">SUMIFS(F_Inputs_adjusted!S:S,F_Inputs_adjusted!$A:$A,$A70,F_Inputs_adjusted!$B:$B,$B70)</f>
        <v>25.06536475297904</v>
      </c>
      <c r="J70" s="38">
        <f ca="1">SUMIFS(F_Inputs_adjusted!T:T,F_Inputs_adjusted!$A:$A,$A70,F_Inputs_adjusted!$B:$B,$B70)</f>
        <v>25.217983996970261</v>
      </c>
      <c r="K70" s="38">
        <f ca="1">SUMIFS(F_Inputs_adjusted!U:U,F_Inputs_adjusted!$A:$A,$A70,F_Inputs_adjusted!$B:$B,$B70)</f>
        <v>25.371532176351359</v>
      </c>
      <c r="L70" s="38">
        <f ca="1">SUMIFS(F_Inputs_adjusted!V:V,F_Inputs_adjusted!$A:$A,$A70,F_Inputs_adjusted!$B:$B,$B70)</f>
        <v>25.52601596625794</v>
      </c>
      <c r="M70" s="38">
        <f ca="1">SUMIFS(F_Inputs_adjusted!M:M,F_Inputs_adjusted!$A:$A,$A70,F_Inputs_adjusted!$B:$B,$B70)</f>
        <v>0</v>
      </c>
      <c r="N70" s="38">
        <f ca="1">SUM(Table1[[#This Row],[2023-24]:[2029-30]])</f>
        <v>110.54114516972146</v>
      </c>
    </row>
    <row r="71" spans="1:14">
      <c r="A71" s="18" t="str">
        <f>F_Inputs!A73</f>
        <v>SVE</v>
      </c>
      <c r="B71" s="18" t="str">
        <f>F_Inputs!B73</f>
        <v>CWW3_008TOT_PR24</v>
      </c>
      <c r="C71" s="18" t="str">
        <f>F_Inputs!C73</f>
        <v>EA/NRW environmental programme wastewater (WINEP/NEP) - Continuous river water quality monitoring (WINEP/NEP) wastewater opex - Total</v>
      </c>
      <c r="D71" s="18" t="str">
        <f>F_Inputs!D73</f>
        <v>£m</v>
      </c>
      <c r="E71" s="18" t="str">
        <f>F_Inputs!E73</f>
        <v>Price Review 2024</v>
      </c>
      <c r="F71" s="38">
        <f ca="1">SUMIFS(F_Inputs_adjusted!P:P,F_Inputs_adjusted!$A:$A,$A71,F_Inputs_adjusted!$B:$B,$B71)</f>
        <v>0</v>
      </c>
      <c r="G71" s="38">
        <f ca="1">SUMIFS(F_Inputs_adjusted!Q:Q,F_Inputs_adjusted!$A:$A,$A71,F_Inputs_adjusted!$B:$B,$B71)</f>
        <v>0</v>
      </c>
      <c r="H71" s="38">
        <f ca="1">SUMIFS(F_Inputs_adjusted!R:R,F_Inputs_adjusted!$A:$A,$A71,F_Inputs_adjusted!$B:$B,$B71)</f>
        <v>0.17641498513490539</v>
      </c>
      <c r="I71" s="38">
        <f ca="1">SUMIFS(F_Inputs_adjusted!S:S,F_Inputs_adjusted!$A:$A,$A71,F_Inputs_adjusted!$B:$B,$B71)</f>
        <v>1.4727795452934</v>
      </c>
      <c r="J71" s="38">
        <f ca="1">SUMIFS(F_Inputs_adjusted!T:T,F_Inputs_adjusted!$A:$A,$A71,F_Inputs_adjusted!$B:$B,$B71)</f>
        <v>4.4063431072326198</v>
      </c>
      <c r="K71" s="38">
        <f ca="1">SUMIFS(F_Inputs_adjusted!U:U,F_Inputs_adjusted!$A:$A,$A71,F_Inputs_adjusted!$B:$B,$B71)</f>
        <v>7.2175380334214703</v>
      </c>
      <c r="L71" s="38">
        <f ca="1">SUMIFS(F_Inputs_adjusted!V:V,F_Inputs_adjusted!$A:$A,$A71,F_Inputs_adjusted!$B:$B,$B71)</f>
        <v>9.7805257958183969</v>
      </c>
      <c r="M71" s="38">
        <f ca="1">SUMIFS(F_Inputs_adjusted!M:M,F_Inputs_adjusted!$A:$A,$A71,F_Inputs_adjusted!$B:$B,$B71)</f>
        <v>0</v>
      </c>
      <c r="N71" s="38">
        <f ca="1">SUM(Table1[[#This Row],[2023-24]:[2029-30]])</f>
        <v>23.053601466900794</v>
      </c>
    </row>
    <row r="72" spans="1:14">
      <c r="A72" s="18" t="str">
        <f>F_Inputs!A74</f>
        <v>SVE</v>
      </c>
      <c r="B72" s="18" t="str">
        <f>F_Inputs!B74</f>
        <v>CWW3_009TOT_PR24</v>
      </c>
      <c r="C72" s="18" t="str">
        <f>F_Inputs!C74</f>
        <v>EA/NRW environmental programme wastewater (WINEP/NEP) - Continuous river water quality monitoring (WINEP/NEP) wastewater totex - Total</v>
      </c>
      <c r="D72" s="18" t="str">
        <f>F_Inputs!D74</f>
        <v>£m</v>
      </c>
      <c r="E72" s="18" t="str">
        <f>F_Inputs!E74</f>
        <v>Price Review 2024</v>
      </c>
      <c r="F72" s="38">
        <f ca="1">SUMIFS(F_Inputs_adjusted!P:P,F_Inputs_adjusted!$A:$A,$A72,F_Inputs_adjusted!$B:$B,$B72)</f>
        <v>0</v>
      </c>
      <c r="G72" s="38">
        <f ca="1">SUMIFS(F_Inputs_adjusted!Q:Q,F_Inputs_adjusted!$A:$A,$A72,F_Inputs_adjusted!$B:$B,$B72)</f>
        <v>0</v>
      </c>
      <c r="H72" s="38">
        <f ca="1">SUMIFS(F_Inputs_adjusted!R:R,F_Inputs_adjusted!$A:$A,$A72,F_Inputs_adjusted!$B:$B,$B72)</f>
        <v>9.5366632622977665</v>
      </c>
      <c r="I72" s="38">
        <f ca="1">SUMIFS(F_Inputs_adjusted!S:S,F_Inputs_adjusted!$A:$A,$A72,F_Inputs_adjusted!$B:$B,$B72)</f>
        <v>26.538144298272439</v>
      </c>
      <c r="J72" s="38">
        <f ca="1">SUMIFS(F_Inputs_adjusted!T:T,F_Inputs_adjusted!$A:$A,$A72,F_Inputs_adjusted!$B:$B,$B72)</f>
        <v>29.62432710420288</v>
      </c>
      <c r="K72" s="38">
        <f ca="1">SUMIFS(F_Inputs_adjusted!U:U,F_Inputs_adjusted!$A:$A,$A72,F_Inputs_adjusted!$B:$B,$B72)</f>
        <v>32.589070209772828</v>
      </c>
      <c r="L72" s="38">
        <f ca="1">SUMIFS(F_Inputs_adjusted!V:V,F_Inputs_adjusted!$A:$A,$A72,F_Inputs_adjusted!$B:$B,$B72)</f>
        <v>35.306541762076343</v>
      </c>
      <c r="M72" s="38">
        <f ca="1">SUMIFS(F_Inputs_adjusted!M:M,F_Inputs_adjusted!$A:$A,$A72,F_Inputs_adjusted!$B:$B,$B72)</f>
        <v>0</v>
      </c>
      <c r="N72" s="38">
        <f ca="1">SUM(Table1[[#This Row],[2023-24]:[2029-30]])</f>
        <v>133.59474663662226</v>
      </c>
    </row>
    <row r="73" spans="1:14">
      <c r="A73" s="18" t="str">
        <f>F_Inputs!A75</f>
        <v>SVE</v>
      </c>
      <c r="B73" s="18" t="str">
        <f>F_Inputs!B75</f>
        <v>CWW20_049_PR24</v>
      </c>
      <c r="C73" s="18" t="str">
        <f>F_Inputs!C75</f>
        <v>Network / Storm overflow data - Number of continuous water quality monitor installations</v>
      </c>
      <c r="D73" s="18" t="str">
        <f>F_Inputs!D75</f>
        <v>nr</v>
      </c>
      <c r="E73" s="18" t="str">
        <f>F_Inputs!E75</f>
        <v>Price Review 2024</v>
      </c>
      <c r="F73" s="38">
        <f ca="1">SUMIFS(F_Inputs_adjusted!P:P,F_Inputs_adjusted!$A:$A,$A73,F_Inputs_adjusted!$B:$B,$B73)</f>
        <v>0</v>
      </c>
      <c r="G73" s="38">
        <f ca="1">SUMIFS(F_Inputs_adjusted!Q:Q,F_Inputs_adjusted!$A:$A,$A73,F_Inputs_adjusted!$B:$B,$B73)</f>
        <v>0</v>
      </c>
      <c r="H73" s="38">
        <f ca="1">SUMIFS(F_Inputs_adjusted!R:R,F_Inputs_adjusted!$A:$A,$A73,F_Inputs_adjusted!$B:$B,$B73)</f>
        <v>0</v>
      </c>
      <c r="I73" s="38">
        <f ca="1">SUMIFS(F_Inputs_adjusted!S:S,F_Inputs_adjusted!$A:$A,$A73,F_Inputs_adjusted!$B:$B,$B73)</f>
        <v>250</v>
      </c>
      <c r="J73" s="38">
        <f ca="1">SUMIFS(F_Inputs_adjusted!T:T,F_Inputs_adjusted!$A:$A,$A73,F_Inputs_adjusted!$B:$B,$B73)</f>
        <v>250</v>
      </c>
      <c r="K73" s="38">
        <f ca="1">SUMIFS(F_Inputs_adjusted!U:U,F_Inputs_adjusted!$A:$A,$A73,F_Inputs_adjusted!$B:$B,$B73)</f>
        <v>250</v>
      </c>
      <c r="L73" s="38">
        <f ca="1">SUMIFS(F_Inputs_adjusted!V:V,F_Inputs_adjusted!$A:$A,$A73,F_Inputs_adjusted!$B:$B,$B73)</f>
        <v>250</v>
      </c>
      <c r="M73" s="38">
        <f ca="1">SUMIFS(F_Inputs_adjusted!M:M,F_Inputs_adjusted!$A:$A,$A73,F_Inputs_adjusted!$B:$B,$B73)</f>
        <v>0</v>
      </c>
      <c r="N73" s="38">
        <f ca="1">SUM(Table1[[#This Row],[2023-24]:[2029-30]])</f>
        <v>1000</v>
      </c>
    </row>
    <row r="74" spans="1:14">
      <c r="A74" s="18" t="str">
        <f>F_Inputs!A76</f>
        <v>SVE</v>
      </c>
      <c r="B74" s="18" t="str">
        <f>F_Inputs!B76</f>
        <v>CWW1A_015TOT_PR24</v>
      </c>
      <c r="C74" s="18" t="str">
        <f>F_Inputs!C76</f>
        <v>Net totex - Total</v>
      </c>
      <c r="D74" s="18" t="str">
        <f>F_Inputs!D76</f>
        <v>£m</v>
      </c>
      <c r="E74" s="18" t="str">
        <f>F_Inputs!E76</f>
        <v>Price Review 2024</v>
      </c>
      <c r="F74" s="38">
        <f ca="1">SUMIFS(F_Inputs_adjusted!P:P,F_Inputs_adjusted!$A:$A,$A74,F_Inputs_adjusted!$B:$B,$B74)</f>
        <v>0</v>
      </c>
      <c r="G74" s="38">
        <f ca="1">SUMIFS(F_Inputs_adjusted!Q:Q,F_Inputs_adjusted!$A:$A,$A74,F_Inputs_adjusted!$B:$B,$B74)</f>
        <v>0</v>
      </c>
      <c r="H74" s="38">
        <f ca="1">SUMIFS(F_Inputs_adjusted!R:R,F_Inputs_adjusted!$A:$A,$A74,F_Inputs_adjusted!$B:$B,$B74)</f>
        <v>1627.130482039277</v>
      </c>
      <c r="I74" s="38">
        <f ca="1">SUMIFS(F_Inputs_adjusted!S:S,F_Inputs_adjusted!$A:$A,$A74,F_Inputs_adjusted!$B:$B,$B74)</f>
        <v>1799.6345533549929</v>
      </c>
      <c r="J74" s="38">
        <f ca="1">SUMIFS(F_Inputs_adjusted!T:T,F_Inputs_adjusted!$A:$A,$A74,F_Inputs_adjusted!$B:$B,$B74)</f>
        <v>1751.178437326055</v>
      </c>
      <c r="K74" s="38">
        <f ca="1">SUMIFS(F_Inputs_adjusted!U:U,F_Inputs_adjusted!$A:$A,$A74,F_Inputs_adjusted!$B:$B,$B74)</f>
        <v>1716.7333477224111</v>
      </c>
      <c r="L74" s="38">
        <f ca="1">SUMIFS(F_Inputs_adjusted!V:V,F_Inputs_adjusted!$A:$A,$A74,F_Inputs_adjusted!$B:$B,$B74)</f>
        <v>1480.0957061431859</v>
      </c>
      <c r="M74" s="38">
        <f ca="1">SUMIFS(F_Inputs_adjusted!M:M,F_Inputs_adjusted!$A:$A,$A74,F_Inputs_adjusted!$B:$B,$B74)</f>
        <v>0</v>
      </c>
      <c r="N74" s="38">
        <f ca="1">SUM(Table1[[#This Row],[2023-24]:[2029-30]])</f>
        <v>8374.7725265859226</v>
      </c>
    </row>
    <row r="75" spans="1:14">
      <c r="A75" s="18" t="str">
        <f>F_Inputs!A77</f>
        <v>SVE</v>
      </c>
      <c r="B75" s="18" t="str">
        <f>F_Inputs!B77</f>
        <v>PR24_NETTOTEX_WASTE</v>
      </c>
      <c r="C75" s="18" t="str">
        <f>F_Inputs!C77</f>
        <v>PR24 BP Net totex - Total inc. accelerated &amp; transition costs</v>
      </c>
      <c r="D75" s="18" t="str">
        <f>F_Inputs!D77</f>
        <v>£m</v>
      </c>
      <c r="E75" s="18" t="str">
        <f>F_Inputs!E77</f>
        <v>Price Review 2024</v>
      </c>
      <c r="F75" s="38">
        <f ca="1">SUMIFS(F_Inputs_adjusted!P:P,F_Inputs_adjusted!$A:$A,$A75,F_Inputs_adjusted!$B:$B,$B75)</f>
        <v>0</v>
      </c>
      <c r="G75" s="38">
        <f ca="1">SUMIFS(F_Inputs_adjusted!Q:Q,F_Inputs_adjusted!$A:$A,$A75,F_Inputs_adjusted!$B:$B,$B75)</f>
        <v>0</v>
      </c>
      <c r="H75" s="38">
        <f ca="1">SUMIFS(F_Inputs_adjusted!R:R,F_Inputs_adjusted!$A:$A,$A75,F_Inputs_adjusted!$B:$B,$B75)</f>
        <v>0</v>
      </c>
      <c r="I75" s="38">
        <f ca="1">SUMIFS(F_Inputs_adjusted!S:S,F_Inputs_adjusted!$A:$A,$A75,F_Inputs_adjusted!$B:$B,$B75)</f>
        <v>0</v>
      </c>
      <c r="J75" s="38">
        <f ca="1">SUMIFS(F_Inputs_adjusted!T:T,F_Inputs_adjusted!$A:$A,$A75,F_Inputs_adjusted!$B:$B,$B75)</f>
        <v>0</v>
      </c>
      <c r="K75" s="38">
        <f ca="1">SUMIFS(F_Inputs_adjusted!U:U,F_Inputs_adjusted!$A:$A,$A75,F_Inputs_adjusted!$B:$B,$B75)</f>
        <v>0</v>
      </c>
      <c r="L75" s="38">
        <f ca="1">SUMIFS(F_Inputs_adjusted!V:V,F_Inputs_adjusted!$A:$A,$A75,F_Inputs_adjusted!$B:$B,$B75)</f>
        <v>0</v>
      </c>
      <c r="M75" s="38">
        <f ca="1">SUMIFS(F_Inputs_adjusted!M:M,F_Inputs_adjusted!$A:$A,$A75,F_Inputs_adjusted!$B:$B,$B75)</f>
        <v>8618.71199666149</v>
      </c>
      <c r="N75" s="38">
        <f ca="1">SUM(Table1[[#This Row],[2023-24]:[2029-30]])</f>
        <v>0</v>
      </c>
    </row>
    <row r="76" spans="1:14">
      <c r="A76" s="18" t="str">
        <f>F_Inputs!A78</f>
        <v>SVE</v>
      </c>
      <c r="B76" s="18" t="str">
        <f>F_Inputs!B78</f>
        <v>CWW12_007TOT_PR24</v>
      </c>
      <c r="C76" s="18" t="str">
        <f>F_Inputs!C78</f>
        <v>EA/NRW environmental programme wastewater (WINEP/NEP) - Continuous river water quality monitoring (WINEP/NEP) wastewater capex - Total</v>
      </c>
      <c r="D76" s="18" t="str">
        <f>F_Inputs!D78</f>
        <v>£m</v>
      </c>
      <c r="E76" s="18" t="str">
        <f>F_Inputs!E78</f>
        <v>Price Review 2024</v>
      </c>
      <c r="F76" s="38">
        <f ca="1">SUMIFS(F_Inputs_adjusted!P:P,F_Inputs_adjusted!$A:$A,$A76,F_Inputs_adjusted!$B:$B,$B76)</f>
        <v>0</v>
      </c>
      <c r="G76" s="38">
        <f ca="1">SUMIFS(F_Inputs_adjusted!Q:Q,F_Inputs_adjusted!$A:$A,$A76,F_Inputs_adjusted!$B:$B,$B76)</f>
        <v>0.7524168125794064</v>
      </c>
      <c r="H76" s="38">
        <f ca="1">SUMIFS(F_Inputs_adjusted!R:R,F_Inputs_adjusted!$A:$A,$A76,F_Inputs_adjusted!$B:$B,$B76)</f>
        <v>0</v>
      </c>
      <c r="I76" s="38">
        <f ca="1">SUMIFS(F_Inputs_adjusted!S:S,F_Inputs_adjusted!$A:$A,$A76,F_Inputs_adjusted!$B:$B,$B76)</f>
        <v>0</v>
      </c>
      <c r="J76" s="38">
        <f ca="1">SUMIFS(F_Inputs_adjusted!T:T,F_Inputs_adjusted!$A:$A,$A76,F_Inputs_adjusted!$B:$B,$B76)</f>
        <v>0</v>
      </c>
      <c r="K76" s="38">
        <f ca="1">SUMIFS(F_Inputs_adjusted!U:U,F_Inputs_adjusted!$A:$A,$A76,F_Inputs_adjusted!$B:$B,$B76)</f>
        <v>0</v>
      </c>
      <c r="L76" s="38">
        <f ca="1">SUMIFS(F_Inputs_adjusted!V:V,F_Inputs_adjusted!$A:$A,$A76,F_Inputs_adjusted!$B:$B,$B76)</f>
        <v>0</v>
      </c>
      <c r="M76" s="38">
        <f ca="1">SUMIFS(F_Inputs_adjusted!M:M,F_Inputs_adjusted!$A:$A,$A76,F_Inputs_adjusted!$B:$B,$B76)</f>
        <v>0</v>
      </c>
      <c r="N76" s="38">
        <f ca="1">SUM(Table1[[#This Row],[2023-24]:[2029-30]])</f>
        <v>0.7524168125794064</v>
      </c>
    </row>
    <row r="77" spans="1:14">
      <c r="A77" s="18" t="str">
        <f>F_Inputs!A79</f>
        <v>SVE</v>
      </c>
      <c r="B77" s="18" t="str">
        <f>F_Inputs!B79</f>
        <v>CWW12_008TOT_PR24</v>
      </c>
      <c r="C77" s="18" t="str">
        <f>F_Inputs!C79</f>
        <v>EA/NRW environmental programme wastewater (WINEP/NEP) - Continuous river water quality monitoring (WINEP/NEP) wastewater opex - Total</v>
      </c>
      <c r="D77" s="18" t="str">
        <f>F_Inputs!D79</f>
        <v>£m</v>
      </c>
      <c r="E77" s="18" t="str">
        <f>F_Inputs!E79</f>
        <v>Price Review 2024</v>
      </c>
      <c r="F77" s="38">
        <f ca="1">SUMIFS(F_Inputs_adjusted!P:P,F_Inputs_adjusted!$A:$A,$A77,F_Inputs_adjusted!$B:$B,$B77)</f>
        <v>0</v>
      </c>
      <c r="G77" s="38">
        <f ca="1">SUMIFS(F_Inputs_adjusted!Q:Q,F_Inputs_adjusted!$A:$A,$A77,F_Inputs_adjusted!$B:$B,$B77)</f>
        <v>0</v>
      </c>
      <c r="H77" s="38">
        <f ca="1">SUMIFS(F_Inputs_adjusted!R:R,F_Inputs_adjusted!$A:$A,$A77,F_Inputs_adjusted!$B:$B,$B77)</f>
        <v>0</v>
      </c>
      <c r="I77" s="38">
        <f ca="1">SUMIFS(F_Inputs_adjusted!S:S,F_Inputs_adjusted!$A:$A,$A77,F_Inputs_adjusted!$B:$B,$B77)</f>
        <v>0</v>
      </c>
      <c r="J77" s="38">
        <f ca="1">SUMIFS(F_Inputs_adjusted!T:T,F_Inputs_adjusted!$A:$A,$A77,F_Inputs_adjusted!$B:$B,$B77)</f>
        <v>0</v>
      </c>
      <c r="K77" s="38">
        <f ca="1">SUMIFS(F_Inputs_adjusted!U:U,F_Inputs_adjusted!$A:$A,$A77,F_Inputs_adjusted!$B:$B,$B77)</f>
        <v>0</v>
      </c>
      <c r="L77" s="38">
        <f ca="1">SUMIFS(F_Inputs_adjusted!V:V,F_Inputs_adjusted!$A:$A,$A77,F_Inputs_adjusted!$B:$B,$B77)</f>
        <v>0</v>
      </c>
      <c r="M77" s="38">
        <f ca="1">SUMIFS(F_Inputs_adjusted!M:M,F_Inputs_adjusted!$A:$A,$A77,F_Inputs_adjusted!$B:$B,$B77)</f>
        <v>0</v>
      </c>
      <c r="N77" s="38">
        <f ca="1">SUM(Table1[[#This Row],[2023-24]:[2029-30]])</f>
        <v>0</v>
      </c>
    </row>
    <row r="78" spans="1:14">
      <c r="A78" s="18" t="str">
        <f>F_Inputs!A80</f>
        <v>SVE</v>
      </c>
      <c r="B78" s="18" t="str">
        <f>F_Inputs!B80</f>
        <v>CWW12_009TOT_PR24</v>
      </c>
      <c r="C78" s="18" t="str">
        <f>F_Inputs!C80</f>
        <v>EA/NRW environmental programme wastewater (WINEP/NEP) - Continuous river water quality monitoring (WINEP/NEP) wastewater totex - Total</v>
      </c>
      <c r="D78" s="18" t="str">
        <f>F_Inputs!D80</f>
        <v>£m</v>
      </c>
      <c r="E78" s="18" t="str">
        <f>F_Inputs!E80</f>
        <v>Price Review 2024</v>
      </c>
      <c r="F78" s="38">
        <f ca="1">SUMIFS(F_Inputs_adjusted!P:P,F_Inputs_adjusted!$A:$A,$A78,F_Inputs_adjusted!$B:$B,$B78)</f>
        <v>0</v>
      </c>
      <c r="G78" s="38">
        <f ca="1">SUMIFS(F_Inputs_adjusted!Q:Q,F_Inputs_adjusted!$A:$A,$A78,F_Inputs_adjusted!$B:$B,$B78)</f>
        <v>0.7524168125794064</v>
      </c>
      <c r="H78" s="38">
        <f ca="1">SUMIFS(F_Inputs_adjusted!R:R,F_Inputs_adjusted!$A:$A,$A78,F_Inputs_adjusted!$B:$B,$B78)</f>
        <v>0</v>
      </c>
      <c r="I78" s="38">
        <f ca="1">SUMIFS(F_Inputs_adjusted!S:S,F_Inputs_adjusted!$A:$A,$A78,F_Inputs_adjusted!$B:$B,$B78)</f>
        <v>0</v>
      </c>
      <c r="J78" s="38">
        <f ca="1">SUMIFS(F_Inputs_adjusted!T:T,F_Inputs_adjusted!$A:$A,$A78,F_Inputs_adjusted!$B:$B,$B78)</f>
        <v>0</v>
      </c>
      <c r="K78" s="38">
        <f ca="1">SUMIFS(F_Inputs_adjusted!U:U,F_Inputs_adjusted!$A:$A,$A78,F_Inputs_adjusted!$B:$B,$B78)</f>
        <v>0</v>
      </c>
      <c r="L78" s="38">
        <f ca="1">SUMIFS(F_Inputs_adjusted!V:V,F_Inputs_adjusted!$A:$A,$A78,F_Inputs_adjusted!$B:$B,$B78)</f>
        <v>0</v>
      </c>
      <c r="M78" s="38">
        <f ca="1">SUMIFS(F_Inputs_adjusted!M:M,F_Inputs_adjusted!$A:$A,$A78,F_Inputs_adjusted!$B:$B,$B78)</f>
        <v>0</v>
      </c>
      <c r="N78" s="38">
        <f ca="1">SUM(Table1[[#This Row],[2023-24]:[2029-30]])</f>
        <v>0.7524168125794064</v>
      </c>
    </row>
    <row r="79" spans="1:14">
      <c r="A79" s="18" t="str">
        <f>F_Inputs!A81</f>
        <v>SVE</v>
      </c>
      <c r="B79" s="18" t="str">
        <f>F_Inputs!B81</f>
        <v>CWW17_007TOT_PR24</v>
      </c>
      <c r="C79" s="18" t="str">
        <f>F_Inputs!C81</f>
        <v>EA/NRW environmental programme wastewater (WINEP/NEP) - Continuous river water quality monitoring (WINEP/NEP) wastewater capex - Total</v>
      </c>
      <c r="D79" s="18" t="str">
        <f>F_Inputs!D81</f>
        <v>£m</v>
      </c>
      <c r="E79" s="18" t="str">
        <f>F_Inputs!E81</f>
        <v>Price Review 2024</v>
      </c>
      <c r="F79" s="38">
        <f ca="1">SUMIFS(F_Inputs_adjusted!P:P,F_Inputs_adjusted!$A:$A,$A79,F_Inputs_adjusted!$B:$B,$B79)</f>
        <v>0</v>
      </c>
      <c r="G79" s="38">
        <f ca="1">SUMIFS(F_Inputs_adjusted!Q:Q,F_Inputs_adjusted!$A:$A,$A79,F_Inputs_adjusted!$B:$B,$B79)</f>
        <v>0</v>
      </c>
      <c r="H79" s="38">
        <f ca="1">SUMIFS(F_Inputs_adjusted!R:R,F_Inputs_adjusted!$A:$A,$A79,F_Inputs_adjusted!$B:$B,$B79)</f>
        <v>0</v>
      </c>
      <c r="I79" s="38">
        <f ca="1">SUMIFS(F_Inputs_adjusted!S:S,F_Inputs_adjusted!$A:$A,$A79,F_Inputs_adjusted!$B:$B,$B79)</f>
        <v>0</v>
      </c>
      <c r="J79" s="38">
        <f ca="1">SUMIFS(F_Inputs_adjusted!T:T,F_Inputs_adjusted!$A:$A,$A79,F_Inputs_adjusted!$B:$B,$B79)</f>
        <v>0</v>
      </c>
      <c r="K79" s="38">
        <f ca="1">SUMIFS(F_Inputs_adjusted!U:U,F_Inputs_adjusted!$A:$A,$A79,F_Inputs_adjusted!$B:$B,$B79)</f>
        <v>0</v>
      </c>
      <c r="L79" s="38">
        <f ca="1">SUMIFS(F_Inputs_adjusted!V:V,F_Inputs_adjusted!$A:$A,$A79,F_Inputs_adjusted!$B:$B,$B79)</f>
        <v>0</v>
      </c>
      <c r="M79" s="38">
        <f ca="1">SUMIFS(F_Inputs_adjusted!M:M,F_Inputs_adjusted!$A:$A,$A79,F_Inputs_adjusted!$B:$B,$B79)</f>
        <v>0</v>
      </c>
      <c r="N79" s="38">
        <f ca="1">SUM(Table1[[#This Row],[2023-24]:[2029-30]])</f>
        <v>0</v>
      </c>
    </row>
    <row r="80" spans="1:14">
      <c r="A80" s="18" t="str">
        <f>F_Inputs!A82</f>
        <v>SVE</v>
      </c>
      <c r="B80" s="18" t="str">
        <f>F_Inputs!B82</f>
        <v>CWW17_008TOT_PR24</v>
      </c>
      <c r="C80" s="18" t="str">
        <f>F_Inputs!C82</f>
        <v>EA/NRW environmental programme wastewater (WINEP/NEP) - Continuous river water quality monitoring (WINEP/NEP) wastewater opex - Total</v>
      </c>
      <c r="D80" s="18" t="str">
        <f>F_Inputs!D82</f>
        <v>£m</v>
      </c>
      <c r="E80" s="18" t="str">
        <f>F_Inputs!E82</f>
        <v>Price Review 2024</v>
      </c>
      <c r="F80" s="38">
        <f ca="1">SUMIFS(F_Inputs_adjusted!P:P,F_Inputs_adjusted!$A:$A,$A80,F_Inputs_adjusted!$B:$B,$B80)</f>
        <v>0</v>
      </c>
      <c r="G80" s="38">
        <f ca="1">SUMIFS(F_Inputs_adjusted!Q:Q,F_Inputs_adjusted!$A:$A,$A80,F_Inputs_adjusted!$B:$B,$B80)</f>
        <v>0</v>
      </c>
      <c r="H80" s="38">
        <f ca="1">SUMIFS(F_Inputs_adjusted!R:R,F_Inputs_adjusted!$A:$A,$A80,F_Inputs_adjusted!$B:$B,$B80)</f>
        <v>0</v>
      </c>
      <c r="I80" s="38">
        <f ca="1">SUMIFS(F_Inputs_adjusted!S:S,F_Inputs_adjusted!$A:$A,$A80,F_Inputs_adjusted!$B:$B,$B80)</f>
        <v>0</v>
      </c>
      <c r="J80" s="38">
        <f ca="1">SUMIFS(F_Inputs_adjusted!T:T,F_Inputs_adjusted!$A:$A,$A80,F_Inputs_adjusted!$B:$B,$B80)</f>
        <v>0</v>
      </c>
      <c r="K80" s="38">
        <f ca="1">SUMIFS(F_Inputs_adjusted!U:U,F_Inputs_adjusted!$A:$A,$A80,F_Inputs_adjusted!$B:$B,$B80)</f>
        <v>0</v>
      </c>
      <c r="L80" s="38">
        <f ca="1">SUMIFS(F_Inputs_adjusted!V:V,F_Inputs_adjusted!$A:$A,$A80,F_Inputs_adjusted!$B:$B,$B80)</f>
        <v>0</v>
      </c>
      <c r="M80" s="38">
        <f ca="1">SUMIFS(F_Inputs_adjusted!M:M,F_Inputs_adjusted!$A:$A,$A80,F_Inputs_adjusted!$B:$B,$B80)</f>
        <v>0</v>
      </c>
      <c r="N80" s="38">
        <f ca="1">SUM(Table1[[#This Row],[2023-24]:[2029-30]])</f>
        <v>0</v>
      </c>
    </row>
    <row r="81" spans="1:14">
      <c r="A81" s="18" t="str">
        <f>F_Inputs!A83</f>
        <v>SVE</v>
      </c>
      <c r="B81" s="18" t="str">
        <f>F_Inputs!B83</f>
        <v>CWW17_009TOT_PR24</v>
      </c>
      <c r="C81" s="18" t="str">
        <f>F_Inputs!C83</f>
        <v>EA/NRW environmental programme wastewater (WINEP/NEP) - Continuous river water quality monitoring (WINEP/NEP) wastewater totex - Total</v>
      </c>
      <c r="D81" s="18" t="str">
        <f>F_Inputs!D83</f>
        <v>£m</v>
      </c>
      <c r="E81" s="18" t="str">
        <f>F_Inputs!E83</f>
        <v>Price Review 2024</v>
      </c>
      <c r="F81" s="38">
        <f ca="1">SUMIFS(F_Inputs_adjusted!P:P,F_Inputs_adjusted!$A:$A,$A81,F_Inputs_adjusted!$B:$B,$B81)</f>
        <v>0</v>
      </c>
      <c r="G81" s="38">
        <f ca="1">SUMIFS(F_Inputs_adjusted!Q:Q,F_Inputs_adjusted!$A:$A,$A81,F_Inputs_adjusted!$B:$B,$B81)</f>
        <v>0</v>
      </c>
      <c r="H81" s="38">
        <f ca="1">SUMIFS(F_Inputs_adjusted!R:R,F_Inputs_adjusted!$A:$A,$A81,F_Inputs_adjusted!$B:$B,$B81)</f>
        <v>0</v>
      </c>
      <c r="I81" s="38">
        <f ca="1">SUMIFS(F_Inputs_adjusted!S:S,F_Inputs_adjusted!$A:$A,$A81,F_Inputs_adjusted!$B:$B,$B81)</f>
        <v>0</v>
      </c>
      <c r="J81" s="38">
        <f ca="1">SUMIFS(F_Inputs_adjusted!T:T,F_Inputs_adjusted!$A:$A,$A81,F_Inputs_adjusted!$B:$B,$B81)</f>
        <v>0</v>
      </c>
      <c r="K81" s="38">
        <f ca="1">SUMIFS(F_Inputs_adjusted!U:U,F_Inputs_adjusted!$A:$A,$A81,F_Inputs_adjusted!$B:$B,$B81)</f>
        <v>0</v>
      </c>
      <c r="L81" s="38">
        <f ca="1">SUMIFS(F_Inputs_adjusted!V:V,F_Inputs_adjusted!$A:$A,$A81,F_Inputs_adjusted!$B:$B,$B81)</f>
        <v>0</v>
      </c>
      <c r="M81" s="38">
        <f ca="1">SUMIFS(F_Inputs_adjusted!M:M,F_Inputs_adjusted!$A:$A,$A81,F_Inputs_adjusted!$B:$B,$B81)</f>
        <v>0</v>
      </c>
      <c r="N81" s="38">
        <f ca="1">SUM(Table1[[#This Row],[2023-24]:[2029-30]])</f>
        <v>0</v>
      </c>
    </row>
    <row r="82" spans="1:14">
      <c r="A82" s="18" t="str">
        <f>F_Inputs!A84</f>
        <v>SVE</v>
      </c>
      <c r="B82" s="18" t="str">
        <f>F_Inputs!B84</f>
        <v>CWW20A_049_PR24</v>
      </c>
      <c r="C82" s="18" t="str">
        <f>F_Inputs!C84</f>
        <v>Network / Storm overflow data - Number of continuous water quality monitor installations</v>
      </c>
      <c r="D82" s="18" t="str">
        <f>F_Inputs!D84</f>
        <v>nr</v>
      </c>
      <c r="E82" s="18" t="str">
        <f>F_Inputs!E84</f>
        <v>Price Review 2024</v>
      </c>
      <c r="F82" s="38">
        <f ca="1">SUMIFS(F_Inputs_adjusted!P:P,F_Inputs_adjusted!$A:$A,$A82,F_Inputs_adjusted!$B:$B,$B82)</f>
        <v>0</v>
      </c>
      <c r="G82" s="38">
        <f ca="1">SUMIFS(F_Inputs_adjusted!Q:Q,F_Inputs_adjusted!$A:$A,$A82,F_Inputs_adjusted!$B:$B,$B82)</f>
        <v>0</v>
      </c>
      <c r="H82" s="38">
        <f ca="1">SUMIFS(F_Inputs_adjusted!R:R,F_Inputs_adjusted!$A:$A,$A82,F_Inputs_adjusted!$B:$B,$B82)</f>
        <v>0</v>
      </c>
      <c r="I82" s="38">
        <f ca="1">SUMIFS(F_Inputs_adjusted!S:S,F_Inputs_adjusted!$A:$A,$A82,F_Inputs_adjusted!$B:$B,$B82)</f>
        <v>0</v>
      </c>
      <c r="J82" s="38">
        <f ca="1">SUMIFS(F_Inputs_adjusted!T:T,F_Inputs_adjusted!$A:$A,$A82,F_Inputs_adjusted!$B:$B,$B82)</f>
        <v>0</v>
      </c>
      <c r="K82" s="38">
        <f ca="1">SUMIFS(F_Inputs_adjusted!U:U,F_Inputs_adjusted!$A:$A,$A82,F_Inputs_adjusted!$B:$B,$B82)</f>
        <v>0</v>
      </c>
      <c r="L82" s="38">
        <f ca="1">SUMIFS(F_Inputs_adjusted!V:V,F_Inputs_adjusted!$A:$A,$A82,F_Inputs_adjusted!$B:$B,$B82)</f>
        <v>0</v>
      </c>
      <c r="M82" s="38">
        <f ca="1">SUMIFS(F_Inputs_adjusted!M:M,F_Inputs_adjusted!$A:$A,$A82,F_Inputs_adjusted!$B:$B,$B82)</f>
        <v>0</v>
      </c>
      <c r="N82" s="38">
        <f ca="1">SUM(Table1[[#This Row],[2023-24]:[2029-30]])</f>
        <v>0</v>
      </c>
    </row>
    <row r="83" spans="1:14">
      <c r="A83" s="18" t="str">
        <f>F_Inputs!A85</f>
        <v>SRN</v>
      </c>
      <c r="B83" s="18" t="str">
        <f>F_Inputs!B85</f>
        <v>CWW3_007TOT_PR24</v>
      </c>
      <c r="C83" s="18" t="str">
        <f>F_Inputs!C85</f>
        <v>EA/NRW environmental programme wastewater (WINEP/NEP) - Continuous river water quality monitoring (WINEP/NEP) wastewater capex - Total</v>
      </c>
      <c r="D83" s="18" t="str">
        <f>F_Inputs!D85</f>
        <v>£m</v>
      </c>
      <c r="E83" s="18" t="str">
        <f>F_Inputs!E85</f>
        <v>Price Review 2024</v>
      </c>
      <c r="F83" s="38">
        <f ca="1">SUMIFS(F_Inputs_adjusted!P:P,F_Inputs_adjusted!$A:$A,$A83,F_Inputs_adjusted!$B:$B,$B83)</f>
        <v>0</v>
      </c>
      <c r="G83" s="38">
        <f ca="1">SUMIFS(F_Inputs_adjusted!Q:Q,F_Inputs_adjusted!$A:$A,$A83,F_Inputs_adjusted!$B:$B,$B83)</f>
        <v>0</v>
      </c>
      <c r="H83" s="38">
        <f ca="1">SUMIFS(F_Inputs_adjusted!R:R,F_Inputs_adjusted!$A:$A,$A83,F_Inputs_adjusted!$B:$B,$B83)</f>
        <v>8.5990000000000002</v>
      </c>
      <c r="I83" s="38">
        <f ca="1">SUMIFS(F_Inputs_adjusted!S:S,F_Inputs_adjusted!$A:$A,$A83,F_Inputs_adjusted!$B:$B,$B83)</f>
        <v>9.8889999999999993</v>
      </c>
      <c r="J83" s="38">
        <f ca="1">SUMIFS(F_Inputs_adjusted!T:T,F_Inputs_adjusted!$A:$A,$A83,F_Inputs_adjusted!$B:$B,$B83)</f>
        <v>9.8889999999999993</v>
      </c>
      <c r="K83" s="38">
        <f ca="1">SUMIFS(F_Inputs_adjusted!U:U,F_Inputs_adjusted!$A:$A,$A83,F_Inputs_adjusted!$B:$B,$B83)</f>
        <v>10.321</v>
      </c>
      <c r="L83" s="38">
        <f ca="1">SUMIFS(F_Inputs_adjusted!V:V,F_Inputs_adjusted!$A:$A,$A83,F_Inputs_adjusted!$B:$B,$B83)</f>
        <v>4.3010000000000002</v>
      </c>
      <c r="M83" s="38">
        <f ca="1">SUMIFS(F_Inputs_adjusted!M:M,F_Inputs_adjusted!$A:$A,$A83,F_Inputs_adjusted!$B:$B,$B83)</f>
        <v>0</v>
      </c>
      <c r="N83" s="38">
        <f ca="1">SUM(Table1[[#This Row],[2023-24]:[2029-30]])</f>
        <v>42.999000000000002</v>
      </c>
    </row>
    <row r="84" spans="1:14">
      <c r="A84" s="18" t="str">
        <f>F_Inputs!A86</f>
        <v>SRN</v>
      </c>
      <c r="B84" s="18" t="str">
        <f>F_Inputs!B86</f>
        <v>CWW3_008TOT_PR24</v>
      </c>
      <c r="C84" s="18" t="str">
        <f>F_Inputs!C86</f>
        <v>EA/NRW environmental programme wastewater (WINEP/NEP) - Continuous river water quality monitoring (WINEP/NEP) wastewater opex - Total</v>
      </c>
      <c r="D84" s="18" t="str">
        <f>F_Inputs!D86</f>
        <v>£m</v>
      </c>
      <c r="E84" s="18" t="str">
        <f>F_Inputs!E86</f>
        <v>Price Review 2024</v>
      </c>
      <c r="F84" s="38">
        <f ca="1">SUMIFS(F_Inputs_adjusted!P:P,F_Inputs_adjusted!$A:$A,$A84,F_Inputs_adjusted!$B:$B,$B84)</f>
        <v>0</v>
      </c>
      <c r="G84" s="38">
        <f ca="1">SUMIFS(F_Inputs_adjusted!Q:Q,F_Inputs_adjusted!$A:$A,$A84,F_Inputs_adjusted!$B:$B,$B84)</f>
        <v>0</v>
      </c>
      <c r="H84" s="38">
        <f ca="1">SUMIFS(F_Inputs_adjusted!R:R,F_Inputs_adjusted!$A:$A,$A84,F_Inputs_adjusted!$B:$B,$B84)</f>
        <v>7.3999999999999996E-2</v>
      </c>
      <c r="I84" s="38">
        <f ca="1">SUMIFS(F_Inputs_adjusted!S:S,F_Inputs_adjusted!$A:$A,$A84,F_Inputs_adjusted!$B:$B,$B84)</f>
        <v>7.3999999999999996E-2</v>
      </c>
      <c r="J84" s="38">
        <f ca="1">SUMIFS(F_Inputs_adjusted!T:T,F_Inputs_adjusted!$A:$A,$A84,F_Inputs_adjusted!$B:$B,$B84)</f>
        <v>0</v>
      </c>
      <c r="K84" s="38">
        <f ca="1">SUMIFS(F_Inputs_adjusted!U:U,F_Inputs_adjusted!$A:$A,$A84,F_Inputs_adjusted!$B:$B,$B84)</f>
        <v>0</v>
      </c>
      <c r="L84" s="38">
        <f ca="1">SUMIFS(F_Inputs_adjusted!V:V,F_Inputs_adjusted!$A:$A,$A84,F_Inputs_adjusted!$B:$B,$B84)</f>
        <v>0</v>
      </c>
      <c r="M84" s="38">
        <f ca="1">SUMIFS(F_Inputs_adjusted!M:M,F_Inputs_adjusted!$A:$A,$A84,F_Inputs_adjusted!$B:$B,$B84)</f>
        <v>0</v>
      </c>
      <c r="N84" s="38">
        <f ca="1">SUM(Table1[[#This Row],[2023-24]:[2029-30]])</f>
        <v>0.14799999999999999</v>
      </c>
    </row>
    <row r="85" spans="1:14">
      <c r="A85" s="18" t="str">
        <f>F_Inputs!A87</f>
        <v>SRN</v>
      </c>
      <c r="B85" s="18" t="str">
        <f>F_Inputs!B87</f>
        <v>CWW3_009TOT_PR24</v>
      </c>
      <c r="C85" s="18" t="str">
        <f>F_Inputs!C87</f>
        <v>EA/NRW environmental programme wastewater (WINEP/NEP) - Continuous river water quality monitoring (WINEP/NEP) wastewater totex - Total</v>
      </c>
      <c r="D85" s="18" t="str">
        <f>F_Inputs!D87</f>
        <v>£m</v>
      </c>
      <c r="E85" s="18" t="str">
        <f>F_Inputs!E87</f>
        <v>Price Review 2024</v>
      </c>
      <c r="F85" s="38">
        <f ca="1">SUMIFS(F_Inputs_adjusted!P:P,F_Inputs_adjusted!$A:$A,$A85,F_Inputs_adjusted!$B:$B,$B85)</f>
        <v>0</v>
      </c>
      <c r="G85" s="38">
        <f ca="1">SUMIFS(F_Inputs_adjusted!Q:Q,F_Inputs_adjusted!$A:$A,$A85,F_Inputs_adjusted!$B:$B,$B85)</f>
        <v>0</v>
      </c>
      <c r="H85" s="38">
        <f ca="1">SUMIFS(F_Inputs_adjusted!R:R,F_Inputs_adjusted!$A:$A,$A85,F_Inputs_adjusted!$B:$B,$B85)</f>
        <v>8.6729999999999983</v>
      </c>
      <c r="I85" s="38">
        <f ca="1">SUMIFS(F_Inputs_adjusted!S:S,F_Inputs_adjusted!$A:$A,$A85,F_Inputs_adjusted!$B:$B,$B85)</f>
        <v>9.9629999999999992</v>
      </c>
      <c r="J85" s="38">
        <f ca="1">SUMIFS(F_Inputs_adjusted!T:T,F_Inputs_adjusted!$A:$A,$A85,F_Inputs_adjusted!$B:$B,$B85)</f>
        <v>9.8889999999999993</v>
      </c>
      <c r="K85" s="38">
        <f ca="1">SUMIFS(F_Inputs_adjusted!U:U,F_Inputs_adjusted!$A:$A,$A85,F_Inputs_adjusted!$B:$B,$B85)</f>
        <v>10.321</v>
      </c>
      <c r="L85" s="38">
        <f ca="1">SUMIFS(F_Inputs_adjusted!V:V,F_Inputs_adjusted!$A:$A,$A85,F_Inputs_adjusted!$B:$B,$B85)</f>
        <v>4.3010000000000002</v>
      </c>
      <c r="M85" s="38">
        <f ca="1">SUMIFS(F_Inputs_adjusted!M:M,F_Inputs_adjusted!$A:$A,$A85,F_Inputs_adjusted!$B:$B,$B85)</f>
        <v>0</v>
      </c>
      <c r="N85" s="38">
        <f ca="1">SUM(Table1[[#This Row],[2023-24]:[2029-30]])</f>
        <v>43.146999999999998</v>
      </c>
    </row>
    <row r="86" spans="1:14">
      <c r="A86" s="18" t="str">
        <f>F_Inputs!A88</f>
        <v>SRN</v>
      </c>
      <c r="B86" s="18" t="str">
        <f>F_Inputs!B88</f>
        <v>CWW20_049_PR24</v>
      </c>
      <c r="C86" s="18" t="str">
        <f>F_Inputs!C88</f>
        <v>Network / Storm overflow data - Number of continuous water quality monitor installations</v>
      </c>
      <c r="D86" s="18" t="str">
        <f>F_Inputs!D88</f>
        <v>nr</v>
      </c>
      <c r="E86" s="18" t="str">
        <f>F_Inputs!E88</f>
        <v>Price Review 2024</v>
      </c>
      <c r="F86" s="38">
        <f ca="1">SUMIFS(F_Inputs_adjusted!P:P,F_Inputs_adjusted!$A:$A,$A86,F_Inputs_adjusted!$B:$B,$B86)</f>
        <v>0</v>
      </c>
      <c r="G86" s="38">
        <f ca="1">SUMIFS(F_Inputs_adjusted!Q:Q,F_Inputs_adjusted!$A:$A,$A86,F_Inputs_adjusted!$B:$B,$B86)</f>
        <v>0</v>
      </c>
      <c r="H86" s="38">
        <f ca="1">SUMIFS(F_Inputs_adjusted!R:R,F_Inputs_adjusted!$A:$A,$A86,F_Inputs_adjusted!$B:$B,$B86)</f>
        <v>0</v>
      </c>
      <c r="I86" s="38">
        <f ca="1">SUMIFS(F_Inputs_adjusted!S:S,F_Inputs_adjusted!$A:$A,$A86,F_Inputs_adjusted!$B:$B,$B86)</f>
        <v>0</v>
      </c>
      <c r="J86" s="38">
        <f ca="1">SUMIFS(F_Inputs_adjusted!T:T,F_Inputs_adjusted!$A:$A,$A86,F_Inputs_adjusted!$B:$B,$B86)</f>
        <v>0</v>
      </c>
      <c r="K86" s="38">
        <f ca="1">SUMIFS(F_Inputs_adjusted!U:U,F_Inputs_adjusted!$A:$A,$A86,F_Inputs_adjusted!$B:$B,$B86)</f>
        <v>0</v>
      </c>
      <c r="L86" s="38">
        <f ca="1">SUMIFS(F_Inputs_adjusted!V:V,F_Inputs_adjusted!$A:$A,$A86,F_Inputs_adjusted!$B:$B,$B86)</f>
        <v>304</v>
      </c>
      <c r="M86" s="38">
        <f ca="1">SUMIFS(F_Inputs_adjusted!M:M,F_Inputs_adjusted!$A:$A,$A86,F_Inputs_adjusted!$B:$B,$B86)</f>
        <v>0</v>
      </c>
      <c r="N86" s="38">
        <f ca="1">SUM(Table1[[#This Row],[2023-24]:[2029-30]])</f>
        <v>304</v>
      </c>
    </row>
    <row r="87" spans="1:14">
      <c r="A87" s="18" t="str">
        <f>F_Inputs!A89</f>
        <v>SRN</v>
      </c>
      <c r="B87" s="18" t="str">
        <f>F_Inputs!B89</f>
        <v>CWW1A_015TOT_PR24</v>
      </c>
      <c r="C87" s="18" t="str">
        <f>F_Inputs!C89</f>
        <v>Net totex - Total</v>
      </c>
      <c r="D87" s="18" t="str">
        <f>F_Inputs!D89</f>
        <v>£m</v>
      </c>
      <c r="E87" s="18" t="str">
        <f>F_Inputs!E89</f>
        <v>Price Review 2024</v>
      </c>
      <c r="F87" s="38">
        <f ca="1">SUMIFS(F_Inputs_adjusted!P:P,F_Inputs_adjusted!$A:$A,$A87,F_Inputs_adjusted!$B:$B,$B87)</f>
        <v>0</v>
      </c>
      <c r="G87" s="38">
        <f ca="1">SUMIFS(F_Inputs_adjusted!Q:Q,F_Inputs_adjusted!$A:$A,$A87,F_Inputs_adjusted!$B:$B,$B87)</f>
        <v>0</v>
      </c>
      <c r="H87" s="38">
        <f ca="1">SUMIFS(F_Inputs_adjusted!R:R,F_Inputs_adjusted!$A:$A,$A87,F_Inputs_adjusted!$B:$B,$B87)</f>
        <v>919.95056665257835</v>
      </c>
      <c r="I87" s="38">
        <f ca="1">SUMIFS(F_Inputs_adjusted!S:S,F_Inputs_adjusted!$A:$A,$A87,F_Inputs_adjusted!$B:$B,$B87)</f>
        <v>1259.3054253890721</v>
      </c>
      <c r="J87" s="38">
        <f ca="1">SUMIFS(F_Inputs_adjusted!T:T,F_Inputs_adjusted!$A:$A,$A87,F_Inputs_adjusted!$B:$B,$B87)</f>
        <v>1000.932312638522</v>
      </c>
      <c r="K87" s="38">
        <f ca="1">SUMIFS(F_Inputs_adjusted!U:U,F_Inputs_adjusted!$A:$A,$A87,F_Inputs_adjusted!$B:$B,$B87)</f>
        <v>1075.9677056653011</v>
      </c>
      <c r="L87" s="38">
        <f ca="1">SUMIFS(F_Inputs_adjusted!V:V,F_Inputs_adjusted!$A:$A,$A87,F_Inputs_adjusted!$B:$B,$B87)</f>
        <v>779.11368189552627</v>
      </c>
      <c r="M87" s="38">
        <f ca="1">SUMIFS(F_Inputs_adjusted!M:M,F_Inputs_adjusted!$A:$A,$A87,F_Inputs_adjusted!$B:$B,$B87)</f>
        <v>0</v>
      </c>
      <c r="N87" s="38">
        <f ca="1">SUM(Table1[[#This Row],[2023-24]:[2029-30]])</f>
        <v>5035.2696922410005</v>
      </c>
    </row>
    <row r="88" spans="1:14">
      <c r="A88" s="18" t="str">
        <f>F_Inputs!A90</f>
        <v>SRN</v>
      </c>
      <c r="B88" s="18" t="str">
        <f>F_Inputs!B90</f>
        <v>PR24_NETTOTEX_WASTE</v>
      </c>
      <c r="C88" s="18" t="str">
        <f>F_Inputs!C90</f>
        <v>PR24 BP Net totex - Total inc. accelerated &amp; transition costs</v>
      </c>
      <c r="D88" s="18" t="str">
        <f>F_Inputs!D90</f>
        <v>£m</v>
      </c>
      <c r="E88" s="18" t="str">
        <f>F_Inputs!E90</f>
        <v>Price Review 2024</v>
      </c>
      <c r="F88" s="38">
        <f ca="1">SUMIFS(F_Inputs_adjusted!P:P,F_Inputs_adjusted!$A:$A,$A88,F_Inputs_adjusted!$B:$B,$B88)</f>
        <v>0</v>
      </c>
      <c r="G88" s="38">
        <f ca="1">SUMIFS(F_Inputs_adjusted!Q:Q,F_Inputs_adjusted!$A:$A,$A88,F_Inputs_adjusted!$B:$B,$B88)</f>
        <v>0</v>
      </c>
      <c r="H88" s="38">
        <f ca="1">SUMIFS(F_Inputs_adjusted!R:R,F_Inputs_adjusted!$A:$A,$A88,F_Inputs_adjusted!$B:$B,$B88)</f>
        <v>0</v>
      </c>
      <c r="I88" s="38">
        <f ca="1">SUMIFS(F_Inputs_adjusted!S:S,F_Inputs_adjusted!$A:$A,$A88,F_Inputs_adjusted!$B:$B,$B88)</f>
        <v>0</v>
      </c>
      <c r="J88" s="38">
        <f ca="1">SUMIFS(F_Inputs_adjusted!T:T,F_Inputs_adjusted!$A:$A,$A88,F_Inputs_adjusted!$B:$B,$B88)</f>
        <v>0</v>
      </c>
      <c r="K88" s="38">
        <f ca="1">SUMIFS(F_Inputs_adjusted!U:U,F_Inputs_adjusted!$A:$A,$A88,F_Inputs_adjusted!$B:$B,$B88)</f>
        <v>0</v>
      </c>
      <c r="L88" s="38">
        <f ca="1">SUMIFS(F_Inputs_adjusted!V:V,F_Inputs_adjusted!$A:$A,$A88,F_Inputs_adjusted!$B:$B,$B88)</f>
        <v>0</v>
      </c>
      <c r="M88" s="38">
        <f ca="1">SUMIFS(F_Inputs_adjusted!M:M,F_Inputs_adjusted!$A:$A,$A88,F_Inputs_adjusted!$B:$B,$B88)</f>
        <v>5114.195692241</v>
      </c>
      <c r="N88" s="38">
        <f ca="1">SUM(Table1[[#This Row],[2023-24]:[2029-30]])</f>
        <v>0</v>
      </c>
    </row>
    <row r="89" spans="1:14">
      <c r="A89" s="18" t="str">
        <f>F_Inputs!A91</f>
        <v>SRN</v>
      </c>
      <c r="B89" s="18" t="str">
        <f>F_Inputs!B91</f>
        <v>CWW12_007TOT_PR24</v>
      </c>
      <c r="C89" s="18" t="str">
        <f>F_Inputs!C91</f>
        <v>EA/NRW environmental programme wastewater (WINEP/NEP) - Continuous river water quality monitoring (WINEP/NEP) wastewater capex - Total</v>
      </c>
      <c r="D89" s="18" t="str">
        <f>F_Inputs!D91</f>
        <v>£m</v>
      </c>
      <c r="E89" s="18" t="str">
        <f>F_Inputs!E91</f>
        <v>Price Review 2024</v>
      </c>
      <c r="F89" s="38">
        <f ca="1">SUMIFS(F_Inputs_adjusted!P:P,F_Inputs_adjusted!$A:$A,$A89,F_Inputs_adjusted!$B:$B,$B89)</f>
        <v>0</v>
      </c>
      <c r="G89" s="38">
        <f ca="1">SUMIFS(F_Inputs_adjusted!Q:Q,F_Inputs_adjusted!$A:$A,$A89,F_Inputs_adjusted!$B:$B,$B89)</f>
        <v>0</v>
      </c>
      <c r="H89" s="38">
        <f ca="1">SUMIFS(F_Inputs_adjusted!R:R,F_Inputs_adjusted!$A:$A,$A89,F_Inputs_adjusted!$B:$B,$B89)</f>
        <v>0</v>
      </c>
      <c r="I89" s="38">
        <f ca="1">SUMIFS(F_Inputs_adjusted!S:S,F_Inputs_adjusted!$A:$A,$A89,F_Inputs_adjusted!$B:$B,$B89)</f>
        <v>0</v>
      </c>
      <c r="J89" s="38">
        <f ca="1">SUMIFS(F_Inputs_adjusted!T:T,F_Inputs_adjusted!$A:$A,$A89,F_Inputs_adjusted!$B:$B,$B89)</f>
        <v>0</v>
      </c>
      <c r="K89" s="38">
        <f ca="1">SUMIFS(F_Inputs_adjusted!U:U,F_Inputs_adjusted!$A:$A,$A89,F_Inputs_adjusted!$B:$B,$B89)</f>
        <v>0</v>
      </c>
      <c r="L89" s="38">
        <f ca="1">SUMIFS(F_Inputs_adjusted!V:V,F_Inputs_adjusted!$A:$A,$A89,F_Inputs_adjusted!$B:$B,$B89)</f>
        <v>0</v>
      </c>
      <c r="M89" s="38">
        <f ca="1">SUMIFS(F_Inputs_adjusted!M:M,F_Inputs_adjusted!$A:$A,$A89,F_Inputs_adjusted!$B:$B,$B89)</f>
        <v>0</v>
      </c>
      <c r="N89" s="38">
        <f ca="1">SUM(Table1[[#This Row],[2023-24]:[2029-30]])</f>
        <v>0</v>
      </c>
    </row>
    <row r="90" spans="1:14">
      <c r="A90" s="18" t="str">
        <f>F_Inputs!A92</f>
        <v>SRN</v>
      </c>
      <c r="B90" s="18" t="str">
        <f>F_Inputs!B92</f>
        <v>CWW12_008TOT_PR24</v>
      </c>
      <c r="C90" s="18" t="str">
        <f>F_Inputs!C92</f>
        <v>EA/NRW environmental programme wastewater (WINEP/NEP) - Continuous river water quality monitoring (WINEP/NEP) wastewater opex - Total</v>
      </c>
      <c r="D90" s="18" t="str">
        <f>F_Inputs!D92</f>
        <v>£m</v>
      </c>
      <c r="E90" s="18" t="str">
        <f>F_Inputs!E92</f>
        <v>Price Review 2024</v>
      </c>
      <c r="F90" s="38">
        <f ca="1">SUMIFS(F_Inputs_adjusted!P:P,F_Inputs_adjusted!$A:$A,$A90,F_Inputs_adjusted!$B:$B,$B90)</f>
        <v>0</v>
      </c>
      <c r="G90" s="38">
        <f ca="1">SUMIFS(F_Inputs_adjusted!Q:Q,F_Inputs_adjusted!$A:$A,$A90,F_Inputs_adjusted!$B:$B,$B90)</f>
        <v>0</v>
      </c>
      <c r="H90" s="38">
        <f ca="1">SUMIFS(F_Inputs_adjusted!R:R,F_Inputs_adjusted!$A:$A,$A90,F_Inputs_adjusted!$B:$B,$B90)</f>
        <v>0</v>
      </c>
      <c r="I90" s="38">
        <f ca="1">SUMIFS(F_Inputs_adjusted!S:S,F_Inputs_adjusted!$A:$A,$A90,F_Inputs_adjusted!$B:$B,$B90)</f>
        <v>0</v>
      </c>
      <c r="J90" s="38">
        <f ca="1">SUMIFS(F_Inputs_adjusted!T:T,F_Inputs_adjusted!$A:$A,$A90,F_Inputs_adjusted!$B:$B,$B90)</f>
        <v>0</v>
      </c>
      <c r="K90" s="38">
        <f ca="1">SUMIFS(F_Inputs_adjusted!U:U,F_Inputs_adjusted!$A:$A,$A90,F_Inputs_adjusted!$B:$B,$B90)</f>
        <v>0</v>
      </c>
      <c r="L90" s="38">
        <f ca="1">SUMIFS(F_Inputs_adjusted!V:V,F_Inputs_adjusted!$A:$A,$A90,F_Inputs_adjusted!$B:$B,$B90)</f>
        <v>0</v>
      </c>
      <c r="M90" s="38">
        <f ca="1">SUMIFS(F_Inputs_adjusted!M:M,F_Inputs_adjusted!$A:$A,$A90,F_Inputs_adjusted!$B:$B,$B90)</f>
        <v>0</v>
      </c>
      <c r="N90" s="38">
        <f ca="1">SUM(Table1[[#This Row],[2023-24]:[2029-30]])</f>
        <v>0</v>
      </c>
    </row>
    <row r="91" spans="1:14">
      <c r="A91" s="18" t="str">
        <f>F_Inputs!A93</f>
        <v>SRN</v>
      </c>
      <c r="B91" s="18" t="str">
        <f>F_Inputs!B93</f>
        <v>CWW12_009TOT_PR24</v>
      </c>
      <c r="C91" s="18" t="str">
        <f>F_Inputs!C93</f>
        <v>EA/NRW environmental programme wastewater (WINEP/NEP) - Continuous river water quality monitoring (WINEP/NEP) wastewater totex - Total</v>
      </c>
      <c r="D91" s="18" t="str">
        <f>F_Inputs!D93</f>
        <v>£m</v>
      </c>
      <c r="E91" s="18" t="str">
        <f>F_Inputs!E93</f>
        <v>Price Review 2024</v>
      </c>
      <c r="F91" s="38">
        <f ca="1">SUMIFS(F_Inputs_adjusted!P:P,F_Inputs_adjusted!$A:$A,$A91,F_Inputs_adjusted!$B:$B,$B91)</f>
        <v>0</v>
      </c>
      <c r="G91" s="38">
        <f ca="1">SUMIFS(F_Inputs_adjusted!Q:Q,F_Inputs_adjusted!$A:$A,$A91,F_Inputs_adjusted!$B:$B,$B91)</f>
        <v>0</v>
      </c>
      <c r="H91" s="38">
        <f ca="1">SUMIFS(F_Inputs_adjusted!R:R,F_Inputs_adjusted!$A:$A,$A91,F_Inputs_adjusted!$B:$B,$B91)</f>
        <v>0</v>
      </c>
      <c r="I91" s="38">
        <f ca="1">SUMIFS(F_Inputs_adjusted!S:S,F_Inputs_adjusted!$A:$A,$A91,F_Inputs_adjusted!$B:$B,$B91)</f>
        <v>0</v>
      </c>
      <c r="J91" s="38">
        <f ca="1">SUMIFS(F_Inputs_adjusted!T:T,F_Inputs_adjusted!$A:$A,$A91,F_Inputs_adjusted!$B:$B,$B91)</f>
        <v>0</v>
      </c>
      <c r="K91" s="38">
        <f ca="1">SUMIFS(F_Inputs_adjusted!U:U,F_Inputs_adjusted!$A:$A,$A91,F_Inputs_adjusted!$B:$B,$B91)</f>
        <v>0</v>
      </c>
      <c r="L91" s="38">
        <f ca="1">SUMIFS(F_Inputs_adjusted!V:V,F_Inputs_adjusted!$A:$A,$A91,F_Inputs_adjusted!$B:$B,$B91)</f>
        <v>0</v>
      </c>
      <c r="M91" s="38">
        <f ca="1">SUMIFS(F_Inputs_adjusted!M:M,F_Inputs_adjusted!$A:$A,$A91,F_Inputs_adjusted!$B:$B,$B91)</f>
        <v>0</v>
      </c>
      <c r="N91" s="38">
        <f ca="1">SUM(Table1[[#This Row],[2023-24]:[2029-30]])</f>
        <v>0</v>
      </c>
    </row>
    <row r="92" spans="1:14">
      <c r="A92" s="18" t="str">
        <f>F_Inputs!A94</f>
        <v>SRN</v>
      </c>
      <c r="B92" s="18" t="str">
        <f>F_Inputs!B94</f>
        <v>CWW17_007TOT_PR24</v>
      </c>
      <c r="C92" s="18" t="str">
        <f>F_Inputs!C94</f>
        <v>EA/NRW environmental programme wastewater (WINEP/NEP) - Continuous river water quality monitoring (WINEP/NEP) wastewater capex - Total</v>
      </c>
      <c r="D92" s="18" t="str">
        <f>F_Inputs!D94</f>
        <v>£m</v>
      </c>
      <c r="E92" s="18" t="str">
        <f>F_Inputs!E94</f>
        <v>Price Review 2024</v>
      </c>
      <c r="F92" s="38">
        <f ca="1">SUMIFS(F_Inputs_adjusted!P:P,F_Inputs_adjusted!$A:$A,$A92,F_Inputs_adjusted!$B:$B,$B92)</f>
        <v>0</v>
      </c>
      <c r="G92" s="38">
        <f ca="1">SUMIFS(F_Inputs_adjusted!Q:Q,F_Inputs_adjusted!$A:$A,$A92,F_Inputs_adjusted!$B:$B,$B92)</f>
        <v>0</v>
      </c>
      <c r="H92" s="38">
        <f ca="1">SUMIFS(F_Inputs_adjusted!R:R,F_Inputs_adjusted!$A:$A,$A92,F_Inputs_adjusted!$B:$B,$B92)</f>
        <v>0</v>
      </c>
      <c r="I92" s="38">
        <f ca="1">SUMIFS(F_Inputs_adjusted!S:S,F_Inputs_adjusted!$A:$A,$A92,F_Inputs_adjusted!$B:$B,$B92)</f>
        <v>0</v>
      </c>
      <c r="J92" s="38">
        <f ca="1">SUMIFS(F_Inputs_adjusted!T:T,F_Inputs_adjusted!$A:$A,$A92,F_Inputs_adjusted!$B:$B,$B92)</f>
        <v>0</v>
      </c>
      <c r="K92" s="38">
        <f ca="1">SUMIFS(F_Inputs_adjusted!U:U,F_Inputs_adjusted!$A:$A,$A92,F_Inputs_adjusted!$B:$B,$B92)</f>
        <v>0</v>
      </c>
      <c r="L92" s="38">
        <f ca="1">SUMIFS(F_Inputs_adjusted!V:V,F_Inputs_adjusted!$A:$A,$A92,F_Inputs_adjusted!$B:$B,$B92)</f>
        <v>0</v>
      </c>
      <c r="M92" s="38">
        <f ca="1">SUMIFS(F_Inputs_adjusted!M:M,F_Inputs_adjusted!$A:$A,$A92,F_Inputs_adjusted!$B:$B,$B92)</f>
        <v>0</v>
      </c>
      <c r="N92" s="38">
        <f ca="1">SUM(Table1[[#This Row],[2023-24]:[2029-30]])</f>
        <v>0</v>
      </c>
    </row>
    <row r="93" spans="1:14">
      <c r="A93" s="18" t="str">
        <f>F_Inputs!A95</f>
        <v>SRN</v>
      </c>
      <c r="B93" s="18" t="str">
        <f>F_Inputs!B95</f>
        <v>CWW17_008TOT_PR24</v>
      </c>
      <c r="C93" s="18" t="str">
        <f>F_Inputs!C95</f>
        <v>EA/NRW environmental programme wastewater (WINEP/NEP) - Continuous river water quality monitoring (WINEP/NEP) wastewater opex - Total</v>
      </c>
      <c r="D93" s="18" t="str">
        <f>F_Inputs!D95</f>
        <v>£m</v>
      </c>
      <c r="E93" s="18" t="str">
        <f>F_Inputs!E95</f>
        <v>Price Review 2024</v>
      </c>
      <c r="F93" s="38">
        <f ca="1">SUMIFS(F_Inputs_adjusted!P:P,F_Inputs_adjusted!$A:$A,$A93,F_Inputs_adjusted!$B:$B,$B93)</f>
        <v>0</v>
      </c>
      <c r="G93" s="38">
        <f ca="1">SUMIFS(F_Inputs_adjusted!Q:Q,F_Inputs_adjusted!$A:$A,$A93,F_Inputs_adjusted!$B:$B,$B93)</f>
        <v>0</v>
      </c>
      <c r="H93" s="38">
        <f ca="1">SUMIFS(F_Inputs_adjusted!R:R,F_Inputs_adjusted!$A:$A,$A93,F_Inputs_adjusted!$B:$B,$B93)</f>
        <v>0</v>
      </c>
      <c r="I93" s="38">
        <f ca="1">SUMIFS(F_Inputs_adjusted!S:S,F_Inputs_adjusted!$A:$A,$A93,F_Inputs_adjusted!$B:$B,$B93)</f>
        <v>0</v>
      </c>
      <c r="J93" s="38">
        <f ca="1">SUMIFS(F_Inputs_adjusted!T:T,F_Inputs_adjusted!$A:$A,$A93,F_Inputs_adjusted!$B:$B,$B93)</f>
        <v>0</v>
      </c>
      <c r="K93" s="38">
        <f ca="1">SUMIFS(F_Inputs_adjusted!U:U,F_Inputs_adjusted!$A:$A,$A93,F_Inputs_adjusted!$B:$B,$B93)</f>
        <v>0</v>
      </c>
      <c r="L93" s="38">
        <f ca="1">SUMIFS(F_Inputs_adjusted!V:V,F_Inputs_adjusted!$A:$A,$A93,F_Inputs_adjusted!$B:$B,$B93)</f>
        <v>0</v>
      </c>
      <c r="M93" s="38">
        <f ca="1">SUMIFS(F_Inputs_adjusted!M:M,F_Inputs_adjusted!$A:$A,$A93,F_Inputs_adjusted!$B:$B,$B93)</f>
        <v>0</v>
      </c>
      <c r="N93" s="38">
        <f ca="1">SUM(Table1[[#This Row],[2023-24]:[2029-30]])</f>
        <v>0</v>
      </c>
    </row>
    <row r="94" spans="1:14">
      <c r="A94" s="18" t="str">
        <f>F_Inputs!A96</f>
        <v>SRN</v>
      </c>
      <c r="B94" s="18" t="str">
        <f>F_Inputs!B96</f>
        <v>CWW17_009TOT_PR24</v>
      </c>
      <c r="C94" s="18" t="str">
        <f>F_Inputs!C96</f>
        <v>EA/NRW environmental programme wastewater (WINEP/NEP) - Continuous river water quality monitoring (WINEP/NEP) wastewater totex - Total</v>
      </c>
      <c r="D94" s="18" t="str">
        <f>F_Inputs!D96</f>
        <v>£m</v>
      </c>
      <c r="E94" s="18" t="str">
        <f>F_Inputs!E96</f>
        <v>Price Review 2024</v>
      </c>
      <c r="F94" s="38">
        <f ca="1">SUMIFS(F_Inputs_adjusted!P:P,F_Inputs_adjusted!$A:$A,$A94,F_Inputs_adjusted!$B:$B,$B94)</f>
        <v>0</v>
      </c>
      <c r="G94" s="38">
        <f ca="1">SUMIFS(F_Inputs_adjusted!Q:Q,F_Inputs_adjusted!$A:$A,$A94,F_Inputs_adjusted!$B:$B,$B94)</f>
        <v>0</v>
      </c>
      <c r="H94" s="38">
        <f ca="1">SUMIFS(F_Inputs_adjusted!R:R,F_Inputs_adjusted!$A:$A,$A94,F_Inputs_adjusted!$B:$B,$B94)</f>
        <v>0</v>
      </c>
      <c r="I94" s="38">
        <f ca="1">SUMIFS(F_Inputs_adjusted!S:S,F_Inputs_adjusted!$A:$A,$A94,F_Inputs_adjusted!$B:$B,$B94)</f>
        <v>0</v>
      </c>
      <c r="J94" s="38">
        <f ca="1">SUMIFS(F_Inputs_adjusted!T:T,F_Inputs_adjusted!$A:$A,$A94,F_Inputs_adjusted!$B:$B,$B94)</f>
        <v>0</v>
      </c>
      <c r="K94" s="38">
        <f ca="1">SUMIFS(F_Inputs_adjusted!U:U,F_Inputs_adjusted!$A:$A,$A94,F_Inputs_adjusted!$B:$B,$B94)</f>
        <v>0</v>
      </c>
      <c r="L94" s="38">
        <f ca="1">SUMIFS(F_Inputs_adjusted!V:V,F_Inputs_adjusted!$A:$A,$A94,F_Inputs_adjusted!$B:$B,$B94)</f>
        <v>0</v>
      </c>
      <c r="M94" s="38">
        <f ca="1">SUMIFS(F_Inputs_adjusted!M:M,F_Inputs_adjusted!$A:$A,$A94,F_Inputs_adjusted!$B:$B,$B94)</f>
        <v>0</v>
      </c>
      <c r="N94" s="38">
        <f ca="1">SUM(Table1[[#This Row],[2023-24]:[2029-30]])</f>
        <v>0</v>
      </c>
    </row>
    <row r="95" spans="1:14">
      <c r="A95" s="18" t="str">
        <f>F_Inputs!A97</f>
        <v>SRN</v>
      </c>
      <c r="B95" s="18" t="str">
        <f>F_Inputs!B97</f>
        <v>CWW20A_049_PR24</v>
      </c>
      <c r="C95" s="18" t="str">
        <f>F_Inputs!C97</f>
        <v>Network / Storm overflow data - Number of continuous water quality monitor installations</v>
      </c>
      <c r="D95" s="18" t="str">
        <f>F_Inputs!D97</f>
        <v>nr</v>
      </c>
      <c r="E95" s="18" t="str">
        <f>F_Inputs!E97</f>
        <v>Price Review 2024</v>
      </c>
      <c r="F95" s="38">
        <f ca="1">SUMIFS(F_Inputs_adjusted!P:P,F_Inputs_adjusted!$A:$A,$A95,F_Inputs_adjusted!$B:$B,$B95)</f>
        <v>0</v>
      </c>
      <c r="G95" s="38">
        <f ca="1">SUMIFS(F_Inputs_adjusted!Q:Q,F_Inputs_adjusted!$A:$A,$A95,F_Inputs_adjusted!$B:$B,$B95)</f>
        <v>0</v>
      </c>
      <c r="H95" s="38">
        <f ca="1">SUMIFS(F_Inputs_adjusted!R:R,F_Inputs_adjusted!$A:$A,$A95,F_Inputs_adjusted!$B:$B,$B95)</f>
        <v>0</v>
      </c>
      <c r="I95" s="38">
        <f ca="1">SUMIFS(F_Inputs_adjusted!S:S,F_Inputs_adjusted!$A:$A,$A95,F_Inputs_adjusted!$B:$B,$B95)</f>
        <v>0</v>
      </c>
      <c r="J95" s="38">
        <f ca="1">SUMIFS(F_Inputs_adjusted!T:T,F_Inputs_adjusted!$A:$A,$A95,F_Inputs_adjusted!$B:$B,$B95)</f>
        <v>0</v>
      </c>
      <c r="K95" s="38">
        <f ca="1">SUMIFS(F_Inputs_adjusted!U:U,F_Inputs_adjusted!$A:$A,$A95,F_Inputs_adjusted!$B:$B,$B95)</f>
        <v>0</v>
      </c>
      <c r="L95" s="38">
        <f ca="1">SUMIFS(F_Inputs_adjusted!V:V,F_Inputs_adjusted!$A:$A,$A95,F_Inputs_adjusted!$B:$B,$B95)</f>
        <v>0</v>
      </c>
      <c r="M95" s="38">
        <f ca="1">SUMIFS(F_Inputs_adjusted!M:M,F_Inputs_adjusted!$A:$A,$A95,F_Inputs_adjusted!$B:$B,$B95)</f>
        <v>0</v>
      </c>
      <c r="N95" s="38">
        <f ca="1">SUM(Table1[[#This Row],[2023-24]:[2029-30]])</f>
        <v>0</v>
      </c>
    </row>
    <row r="96" spans="1:14">
      <c r="A96" s="18" t="str">
        <f>F_Inputs!A98</f>
        <v>TMS</v>
      </c>
      <c r="B96" s="18" t="str">
        <f>F_Inputs!B98</f>
        <v>CWW3_007TOT_PR24</v>
      </c>
      <c r="C96" s="18" t="str">
        <f>F_Inputs!C98</f>
        <v>EA/NRW environmental programme wastewater (WINEP/NEP) - Continuous river water quality monitoring (WINEP/NEP) wastewater capex - Total</v>
      </c>
      <c r="D96" s="18" t="str">
        <f>F_Inputs!D98</f>
        <v>£m</v>
      </c>
      <c r="E96" s="18" t="str">
        <f>F_Inputs!E98</f>
        <v>Price Review 2024</v>
      </c>
      <c r="F96" s="38">
        <f ca="1">SUMIFS(F_Inputs_adjusted!P:P,F_Inputs_adjusted!$A:$A,$A96,F_Inputs_adjusted!$B:$B,$B96)</f>
        <v>0</v>
      </c>
      <c r="G96" s="38">
        <f ca="1">SUMIFS(F_Inputs_adjusted!Q:Q,F_Inputs_adjusted!$A:$A,$A96,F_Inputs_adjusted!$B:$B,$B96)</f>
        <v>0</v>
      </c>
      <c r="H96" s="38">
        <f ca="1">SUMIFS(F_Inputs_adjusted!R:R,F_Inputs_adjusted!$A:$A,$A96,F_Inputs_adjusted!$B:$B,$B96)</f>
        <v>16.802</v>
      </c>
      <c r="I96" s="38">
        <f ca="1">SUMIFS(F_Inputs_adjusted!S:S,F_Inputs_adjusted!$A:$A,$A96,F_Inputs_adjusted!$B:$B,$B96)</f>
        <v>18.073</v>
      </c>
      <c r="J96" s="38">
        <f ca="1">SUMIFS(F_Inputs_adjusted!T:T,F_Inputs_adjusted!$A:$A,$A96,F_Inputs_adjusted!$B:$B,$B96)</f>
        <v>4.2389999999999999</v>
      </c>
      <c r="K96" s="38">
        <f ca="1">SUMIFS(F_Inputs_adjusted!U:U,F_Inputs_adjusted!$A:$A,$A96,F_Inputs_adjusted!$B:$B,$B96)</f>
        <v>2.129</v>
      </c>
      <c r="L96" s="38">
        <f ca="1">SUMIFS(F_Inputs_adjusted!V:V,F_Inputs_adjusted!$A:$A,$A96,F_Inputs_adjusted!$B:$B,$B96)</f>
        <v>2.1379999999999999</v>
      </c>
      <c r="M96" s="38">
        <f ca="1">SUMIFS(F_Inputs_adjusted!M:M,F_Inputs_adjusted!$A:$A,$A96,F_Inputs_adjusted!$B:$B,$B96)</f>
        <v>0</v>
      </c>
      <c r="N96" s="38">
        <f ca="1">SUM(Table1[[#This Row],[2023-24]:[2029-30]])</f>
        <v>43.380999999999993</v>
      </c>
    </row>
    <row r="97" spans="1:14">
      <c r="A97" s="18" t="str">
        <f>F_Inputs!A99</f>
        <v>TMS</v>
      </c>
      <c r="B97" s="18" t="str">
        <f>F_Inputs!B99</f>
        <v>CWW3_008TOT_PR24</v>
      </c>
      <c r="C97" s="18" t="str">
        <f>F_Inputs!C99</f>
        <v>EA/NRW environmental programme wastewater (WINEP/NEP) - Continuous river water quality monitoring (WINEP/NEP) wastewater opex - Total</v>
      </c>
      <c r="D97" s="18" t="str">
        <f>F_Inputs!D99</f>
        <v>£m</v>
      </c>
      <c r="E97" s="18" t="str">
        <f>F_Inputs!E99</f>
        <v>Price Review 2024</v>
      </c>
      <c r="F97" s="38">
        <f ca="1">SUMIFS(F_Inputs_adjusted!P:P,F_Inputs_adjusted!$A:$A,$A97,F_Inputs_adjusted!$B:$B,$B97)</f>
        <v>0</v>
      </c>
      <c r="G97" s="38">
        <f ca="1">SUMIFS(F_Inputs_adjusted!Q:Q,F_Inputs_adjusted!$A:$A,$A97,F_Inputs_adjusted!$B:$B,$B97)</f>
        <v>0</v>
      </c>
      <c r="H97" s="38">
        <f ca="1">SUMIFS(F_Inputs_adjusted!R:R,F_Inputs_adjusted!$A:$A,$A97,F_Inputs_adjusted!$B:$B,$B97)</f>
        <v>0</v>
      </c>
      <c r="I97" s="38">
        <f ca="1">SUMIFS(F_Inputs_adjusted!S:S,F_Inputs_adjusted!$A:$A,$A97,F_Inputs_adjusted!$B:$B,$B97)</f>
        <v>1.6E-2</v>
      </c>
      <c r="J97" s="38">
        <f ca="1">SUMIFS(F_Inputs_adjusted!T:T,F_Inputs_adjusted!$A:$A,$A97,F_Inputs_adjusted!$B:$B,$B97)</f>
        <v>1.829</v>
      </c>
      <c r="K97" s="38">
        <f ca="1">SUMIFS(F_Inputs_adjusted!U:U,F_Inputs_adjusted!$A:$A,$A97,F_Inputs_adjusted!$B:$B,$B97)</f>
        <v>3.641</v>
      </c>
      <c r="L97" s="38">
        <f ca="1">SUMIFS(F_Inputs_adjusted!V:V,F_Inputs_adjusted!$A:$A,$A97,F_Inputs_adjusted!$B:$B,$B97)</f>
        <v>4.1189999999999998</v>
      </c>
      <c r="M97" s="38">
        <f ca="1">SUMIFS(F_Inputs_adjusted!M:M,F_Inputs_adjusted!$A:$A,$A97,F_Inputs_adjusted!$B:$B,$B97)</f>
        <v>0</v>
      </c>
      <c r="N97" s="38">
        <f ca="1">SUM(Table1[[#This Row],[2023-24]:[2029-30]])</f>
        <v>9.6050000000000004</v>
      </c>
    </row>
    <row r="98" spans="1:14">
      <c r="A98" s="18" t="str">
        <f>F_Inputs!A100</f>
        <v>TMS</v>
      </c>
      <c r="B98" s="18" t="str">
        <f>F_Inputs!B100</f>
        <v>CWW3_009TOT_PR24</v>
      </c>
      <c r="C98" s="18" t="str">
        <f>F_Inputs!C100</f>
        <v>EA/NRW environmental programme wastewater (WINEP/NEP) - Continuous river water quality monitoring (WINEP/NEP) wastewater totex - Total</v>
      </c>
      <c r="D98" s="18" t="str">
        <f>F_Inputs!D100</f>
        <v>£m</v>
      </c>
      <c r="E98" s="18" t="str">
        <f>F_Inputs!E100</f>
        <v>Price Review 2024</v>
      </c>
      <c r="F98" s="38">
        <f ca="1">SUMIFS(F_Inputs_adjusted!P:P,F_Inputs_adjusted!$A:$A,$A98,F_Inputs_adjusted!$B:$B,$B98)</f>
        <v>0</v>
      </c>
      <c r="G98" s="38">
        <f ca="1">SUMIFS(F_Inputs_adjusted!Q:Q,F_Inputs_adjusted!$A:$A,$A98,F_Inputs_adjusted!$B:$B,$B98)</f>
        <v>0</v>
      </c>
      <c r="H98" s="38">
        <f ca="1">SUMIFS(F_Inputs_adjusted!R:R,F_Inputs_adjusted!$A:$A,$A98,F_Inputs_adjusted!$B:$B,$B98)</f>
        <v>16.802</v>
      </c>
      <c r="I98" s="38">
        <f ca="1">SUMIFS(F_Inputs_adjusted!S:S,F_Inputs_adjusted!$A:$A,$A98,F_Inputs_adjusted!$B:$B,$B98)</f>
        <v>18.088999999999999</v>
      </c>
      <c r="J98" s="38">
        <f ca="1">SUMIFS(F_Inputs_adjusted!T:T,F_Inputs_adjusted!$A:$A,$A98,F_Inputs_adjusted!$B:$B,$B98)</f>
        <v>6.0679999999999996</v>
      </c>
      <c r="K98" s="38">
        <f ca="1">SUMIFS(F_Inputs_adjusted!U:U,F_Inputs_adjusted!$A:$A,$A98,F_Inputs_adjusted!$B:$B,$B98)</f>
        <v>5.77</v>
      </c>
      <c r="L98" s="38">
        <f ca="1">SUMIFS(F_Inputs_adjusted!V:V,F_Inputs_adjusted!$A:$A,$A98,F_Inputs_adjusted!$B:$B,$B98)</f>
        <v>6.2569999999999997</v>
      </c>
      <c r="M98" s="38">
        <f ca="1">SUMIFS(F_Inputs_adjusted!M:M,F_Inputs_adjusted!$A:$A,$A98,F_Inputs_adjusted!$B:$B,$B98)</f>
        <v>0</v>
      </c>
      <c r="N98" s="38">
        <f ca="1">SUM(Table1[[#This Row],[2023-24]:[2029-30]])</f>
        <v>52.985999999999997</v>
      </c>
    </row>
    <row r="99" spans="1:14">
      <c r="A99" s="18" t="str">
        <f>F_Inputs!A101</f>
        <v>TMS</v>
      </c>
      <c r="B99" s="18" t="str">
        <f>F_Inputs!B101</f>
        <v>CWW20_049_PR24</v>
      </c>
      <c r="C99" s="18" t="str">
        <f>F_Inputs!C101</f>
        <v>Network / Storm overflow data - Number of continuous water quality monitor installations</v>
      </c>
      <c r="D99" s="18" t="str">
        <f>F_Inputs!D101</f>
        <v>nr</v>
      </c>
      <c r="E99" s="18" t="str">
        <f>F_Inputs!E101</f>
        <v>Price Review 2024</v>
      </c>
      <c r="F99" s="38">
        <f ca="1">SUMIFS(F_Inputs_adjusted!P:P,F_Inputs_adjusted!$A:$A,$A99,F_Inputs_adjusted!$B:$B,$B99)</f>
        <v>0</v>
      </c>
      <c r="G99" s="38">
        <f ca="1">SUMIFS(F_Inputs_adjusted!Q:Q,F_Inputs_adjusted!$A:$A,$A99,F_Inputs_adjusted!$B:$B,$B99)</f>
        <v>0</v>
      </c>
      <c r="H99" s="38">
        <f ca="1">SUMIFS(F_Inputs_adjusted!R:R,F_Inputs_adjusted!$A:$A,$A99,F_Inputs_adjusted!$B:$B,$B99)</f>
        <v>63</v>
      </c>
      <c r="I99" s="38">
        <f ca="1">SUMIFS(F_Inputs_adjusted!S:S,F_Inputs_adjusted!$A:$A,$A99,F_Inputs_adjusted!$B:$B,$B99)</f>
        <v>63</v>
      </c>
      <c r="J99" s="38">
        <f ca="1">SUMIFS(F_Inputs_adjusted!T:T,F_Inputs_adjusted!$A:$A,$A99,F_Inputs_adjusted!$B:$B,$B99)</f>
        <v>63</v>
      </c>
      <c r="K99" s="38">
        <f ca="1">SUMIFS(F_Inputs_adjusted!U:U,F_Inputs_adjusted!$A:$A,$A99,F_Inputs_adjusted!$B:$B,$B99)</f>
        <v>63</v>
      </c>
      <c r="L99" s="38">
        <f ca="1">SUMIFS(F_Inputs_adjusted!V:V,F_Inputs_adjusted!$A:$A,$A99,F_Inputs_adjusted!$B:$B,$B99)</f>
        <v>62</v>
      </c>
      <c r="M99" s="38">
        <f ca="1">SUMIFS(F_Inputs_adjusted!M:M,F_Inputs_adjusted!$A:$A,$A99,F_Inputs_adjusted!$B:$B,$B99)</f>
        <v>0</v>
      </c>
      <c r="N99" s="38">
        <f ca="1">SUM(Table1[[#This Row],[2023-24]:[2029-30]])</f>
        <v>314</v>
      </c>
    </row>
    <row r="100" spans="1:14">
      <c r="A100" s="18" t="str">
        <f>F_Inputs!A102</f>
        <v>TMS</v>
      </c>
      <c r="B100" s="18" t="str">
        <f>F_Inputs!B102</f>
        <v>CWW1A_015TOT_PR24</v>
      </c>
      <c r="C100" s="18" t="str">
        <f>F_Inputs!C102</f>
        <v>Net totex - Total</v>
      </c>
      <c r="D100" s="18" t="str">
        <f>F_Inputs!D102</f>
        <v>£m</v>
      </c>
      <c r="E100" s="18" t="str">
        <f>F_Inputs!E102</f>
        <v>Price Review 2024</v>
      </c>
      <c r="F100" s="38">
        <f ca="1">SUMIFS(F_Inputs_adjusted!P:P,F_Inputs_adjusted!$A:$A,$A100,F_Inputs_adjusted!$B:$B,$B100)</f>
        <v>0</v>
      </c>
      <c r="G100" s="38">
        <f ca="1">SUMIFS(F_Inputs_adjusted!Q:Q,F_Inputs_adjusted!$A:$A,$A100,F_Inputs_adjusted!$B:$B,$B100)</f>
        <v>0</v>
      </c>
      <c r="H100" s="38">
        <f ca="1">SUMIFS(F_Inputs_adjusted!R:R,F_Inputs_adjusted!$A:$A,$A100,F_Inputs_adjusted!$B:$B,$B100)</f>
        <v>2156.088348550431</v>
      </c>
      <c r="I100" s="38">
        <f ca="1">SUMIFS(F_Inputs_adjusted!S:S,F_Inputs_adjusted!$A:$A,$A100,F_Inputs_adjusted!$B:$B,$B100)</f>
        <v>2269.5018217217062</v>
      </c>
      <c r="J100" s="38">
        <f ca="1">SUMIFS(F_Inputs_adjusted!T:T,F_Inputs_adjusted!$A:$A,$A100,F_Inputs_adjusted!$B:$B,$B100)</f>
        <v>2162.2729400750991</v>
      </c>
      <c r="K100" s="38">
        <f ca="1">SUMIFS(F_Inputs_adjusted!U:U,F_Inputs_adjusted!$A:$A,$A100,F_Inputs_adjusted!$B:$B,$B100)</f>
        <v>2632.1222877084529</v>
      </c>
      <c r="L100" s="38">
        <f ca="1">SUMIFS(F_Inputs_adjusted!V:V,F_Inputs_adjusted!$A:$A,$A100,F_Inputs_adjusted!$B:$B,$B100)</f>
        <v>3555.488399766793</v>
      </c>
      <c r="M100" s="38">
        <f ca="1">SUMIFS(F_Inputs_adjusted!M:M,F_Inputs_adjusted!$A:$A,$A100,F_Inputs_adjusted!$B:$B,$B100)</f>
        <v>0</v>
      </c>
      <c r="N100" s="38">
        <f ca="1">SUM(Table1[[#This Row],[2023-24]:[2029-30]])</f>
        <v>12775.473797822482</v>
      </c>
    </row>
    <row r="101" spans="1:14">
      <c r="A101" s="18" t="str">
        <f>F_Inputs!A103</f>
        <v>TMS</v>
      </c>
      <c r="B101" s="18" t="str">
        <f>F_Inputs!B103</f>
        <v>PR24_NETTOTEX_WASTE</v>
      </c>
      <c r="C101" s="18" t="str">
        <f>F_Inputs!C103</f>
        <v>PR24 BP Net totex - Total inc. accelerated &amp; transition costs</v>
      </c>
      <c r="D101" s="18" t="str">
        <f>F_Inputs!D103</f>
        <v>£m</v>
      </c>
      <c r="E101" s="18" t="str">
        <f>F_Inputs!E103</f>
        <v>Price Review 2024</v>
      </c>
      <c r="F101" s="38">
        <f ca="1">SUMIFS(F_Inputs_adjusted!P:P,F_Inputs_adjusted!$A:$A,$A101,F_Inputs_adjusted!$B:$B,$B101)</f>
        <v>0</v>
      </c>
      <c r="G101" s="38">
        <f ca="1">SUMIFS(F_Inputs_adjusted!Q:Q,F_Inputs_adjusted!$A:$A,$A101,F_Inputs_adjusted!$B:$B,$B101)</f>
        <v>0</v>
      </c>
      <c r="H101" s="38">
        <f ca="1">SUMIFS(F_Inputs_adjusted!R:R,F_Inputs_adjusted!$A:$A,$A101,F_Inputs_adjusted!$B:$B,$B101)</f>
        <v>0</v>
      </c>
      <c r="I101" s="38">
        <f ca="1">SUMIFS(F_Inputs_adjusted!S:S,F_Inputs_adjusted!$A:$A,$A101,F_Inputs_adjusted!$B:$B,$B101)</f>
        <v>0</v>
      </c>
      <c r="J101" s="38">
        <f ca="1">SUMIFS(F_Inputs_adjusted!T:T,F_Inputs_adjusted!$A:$A,$A101,F_Inputs_adjusted!$B:$B,$B101)</f>
        <v>0</v>
      </c>
      <c r="K101" s="38">
        <f ca="1">SUMIFS(F_Inputs_adjusted!U:U,F_Inputs_adjusted!$A:$A,$A101,F_Inputs_adjusted!$B:$B,$B101)</f>
        <v>0</v>
      </c>
      <c r="L101" s="38">
        <f ca="1">SUMIFS(F_Inputs_adjusted!V:V,F_Inputs_adjusted!$A:$A,$A101,F_Inputs_adjusted!$B:$B,$B101)</f>
        <v>0</v>
      </c>
      <c r="M101" s="38">
        <f ca="1">SUMIFS(F_Inputs_adjusted!M:M,F_Inputs_adjusted!$A:$A,$A101,F_Inputs_adjusted!$B:$B,$B101)</f>
        <v>12775.473797822482</v>
      </c>
      <c r="N101" s="38">
        <f ca="1">SUM(Table1[[#This Row],[2023-24]:[2029-30]])</f>
        <v>0</v>
      </c>
    </row>
    <row r="102" spans="1:14">
      <c r="A102" s="18" t="str">
        <f>F_Inputs!A104</f>
        <v>TMS</v>
      </c>
      <c r="B102" s="18" t="str">
        <f>F_Inputs!B104</f>
        <v>CWW12_007TOT_PR24</v>
      </c>
      <c r="C102" s="18" t="str">
        <f>F_Inputs!C104</f>
        <v>EA/NRW environmental programme wastewater (WINEP/NEP) - Continuous river water quality monitoring (WINEP/NEP) wastewater capex - Total</v>
      </c>
      <c r="D102" s="18" t="str">
        <f>F_Inputs!D104</f>
        <v>£m</v>
      </c>
      <c r="E102" s="18" t="str">
        <f>F_Inputs!E104</f>
        <v>Price Review 2024</v>
      </c>
      <c r="F102" s="38">
        <f ca="1">SUMIFS(F_Inputs_adjusted!P:P,F_Inputs_adjusted!$A:$A,$A102,F_Inputs_adjusted!$B:$B,$B102)</f>
        <v>0</v>
      </c>
      <c r="G102" s="38">
        <f ca="1">SUMIFS(F_Inputs_adjusted!Q:Q,F_Inputs_adjusted!$A:$A,$A102,F_Inputs_adjusted!$B:$B,$B102)</f>
        <v>0</v>
      </c>
      <c r="H102" s="38">
        <f ca="1">SUMIFS(F_Inputs_adjusted!R:R,F_Inputs_adjusted!$A:$A,$A102,F_Inputs_adjusted!$B:$B,$B102)</f>
        <v>0</v>
      </c>
      <c r="I102" s="38">
        <f ca="1">SUMIFS(F_Inputs_adjusted!S:S,F_Inputs_adjusted!$A:$A,$A102,F_Inputs_adjusted!$B:$B,$B102)</f>
        <v>0</v>
      </c>
      <c r="J102" s="38">
        <f ca="1">SUMIFS(F_Inputs_adjusted!T:T,F_Inputs_adjusted!$A:$A,$A102,F_Inputs_adjusted!$B:$B,$B102)</f>
        <v>0</v>
      </c>
      <c r="K102" s="38">
        <f ca="1">SUMIFS(F_Inputs_adjusted!U:U,F_Inputs_adjusted!$A:$A,$A102,F_Inputs_adjusted!$B:$B,$B102)</f>
        <v>0</v>
      </c>
      <c r="L102" s="38">
        <f ca="1">SUMIFS(F_Inputs_adjusted!V:V,F_Inputs_adjusted!$A:$A,$A102,F_Inputs_adjusted!$B:$B,$B102)</f>
        <v>0</v>
      </c>
      <c r="M102" s="38">
        <f ca="1">SUMIFS(F_Inputs_adjusted!M:M,F_Inputs_adjusted!$A:$A,$A102,F_Inputs_adjusted!$B:$B,$B102)</f>
        <v>0</v>
      </c>
      <c r="N102" s="38">
        <f ca="1">SUM(Table1[[#This Row],[2023-24]:[2029-30]])</f>
        <v>0</v>
      </c>
    </row>
    <row r="103" spans="1:14">
      <c r="A103" s="18" t="str">
        <f>F_Inputs!A105</f>
        <v>TMS</v>
      </c>
      <c r="B103" s="18" t="str">
        <f>F_Inputs!B105</f>
        <v>CWW12_008TOT_PR24</v>
      </c>
      <c r="C103" s="18" t="str">
        <f>F_Inputs!C105</f>
        <v>EA/NRW environmental programme wastewater (WINEP/NEP) - Continuous river water quality monitoring (WINEP/NEP) wastewater opex - Total</v>
      </c>
      <c r="D103" s="18" t="str">
        <f>F_Inputs!D105</f>
        <v>£m</v>
      </c>
      <c r="E103" s="18" t="str">
        <f>F_Inputs!E105</f>
        <v>Price Review 2024</v>
      </c>
      <c r="F103" s="38">
        <f ca="1">SUMIFS(F_Inputs_adjusted!P:P,F_Inputs_adjusted!$A:$A,$A103,F_Inputs_adjusted!$B:$B,$B103)</f>
        <v>0</v>
      </c>
      <c r="G103" s="38">
        <f ca="1">SUMIFS(F_Inputs_adjusted!Q:Q,F_Inputs_adjusted!$A:$A,$A103,F_Inputs_adjusted!$B:$B,$B103)</f>
        <v>0</v>
      </c>
      <c r="H103" s="38">
        <f ca="1">SUMIFS(F_Inputs_adjusted!R:R,F_Inputs_adjusted!$A:$A,$A103,F_Inputs_adjusted!$B:$B,$B103)</f>
        <v>0</v>
      </c>
      <c r="I103" s="38">
        <f ca="1">SUMIFS(F_Inputs_adjusted!S:S,F_Inputs_adjusted!$A:$A,$A103,F_Inputs_adjusted!$B:$B,$B103)</f>
        <v>0</v>
      </c>
      <c r="J103" s="38">
        <f ca="1">SUMIFS(F_Inputs_adjusted!T:T,F_Inputs_adjusted!$A:$A,$A103,F_Inputs_adjusted!$B:$B,$B103)</f>
        <v>0</v>
      </c>
      <c r="K103" s="38">
        <f ca="1">SUMIFS(F_Inputs_adjusted!U:U,F_Inputs_adjusted!$A:$A,$A103,F_Inputs_adjusted!$B:$B,$B103)</f>
        <v>0</v>
      </c>
      <c r="L103" s="38">
        <f ca="1">SUMIFS(F_Inputs_adjusted!V:V,F_Inputs_adjusted!$A:$A,$A103,F_Inputs_adjusted!$B:$B,$B103)</f>
        <v>0</v>
      </c>
      <c r="M103" s="38">
        <f ca="1">SUMIFS(F_Inputs_adjusted!M:M,F_Inputs_adjusted!$A:$A,$A103,F_Inputs_adjusted!$B:$B,$B103)</f>
        <v>0</v>
      </c>
      <c r="N103" s="38">
        <f ca="1">SUM(Table1[[#This Row],[2023-24]:[2029-30]])</f>
        <v>0</v>
      </c>
    </row>
    <row r="104" spans="1:14">
      <c r="A104" s="18" t="str">
        <f>F_Inputs!A106</f>
        <v>TMS</v>
      </c>
      <c r="B104" s="18" t="str">
        <f>F_Inputs!B106</f>
        <v>CWW12_009TOT_PR24</v>
      </c>
      <c r="C104" s="18" t="str">
        <f>F_Inputs!C106</f>
        <v>EA/NRW environmental programme wastewater (WINEP/NEP) - Continuous river water quality monitoring (WINEP/NEP) wastewater totex - Total</v>
      </c>
      <c r="D104" s="18" t="str">
        <f>F_Inputs!D106</f>
        <v>£m</v>
      </c>
      <c r="E104" s="18" t="str">
        <f>F_Inputs!E106</f>
        <v>Price Review 2024</v>
      </c>
      <c r="F104" s="38">
        <f ca="1">SUMIFS(F_Inputs_adjusted!P:P,F_Inputs_adjusted!$A:$A,$A104,F_Inputs_adjusted!$B:$B,$B104)</f>
        <v>0</v>
      </c>
      <c r="G104" s="38">
        <f ca="1">SUMIFS(F_Inputs_adjusted!Q:Q,F_Inputs_adjusted!$A:$A,$A104,F_Inputs_adjusted!$B:$B,$B104)</f>
        <v>0</v>
      </c>
      <c r="H104" s="38">
        <f ca="1">SUMIFS(F_Inputs_adjusted!R:R,F_Inputs_adjusted!$A:$A,$A104,F_Inputs_adjusted!$B:$B,$B104)</f>
        <v>0</v>
      </c>
      <c r="I104" s="38">
        <f ca="1">SUMIFS(F_Inputs_adjusted!S:S,F_Inputs_adjusted!$A:$A,$A104,F_Inputs_adjusted!$B:$B,$B104)</f>
        <v>0</v>
      </c>
      <c r="J104" s="38">
        <f ca="1">SUMIFS(F_Inputs_adjusted!T:T,F_Inputs_adjusted!$A:$A,$A104,F_Inputs_adjusted!$B:$B,$B104)</f>
        <v>0</v>
      </c>
      <c r="K104" s="38">
        <f ca="1">SUMIFS(F_Inputs_adjusted!U:U,F_Inputs_adjusted!$A:$A,$A104,F_Inputs_adjusted!$B:$B,$B104)</f>
        <v>0</v>
      </c>
      <c r="L104" s="38">
        <f ca="1">SUMIFS(F_Inputs_adjusted!V:V,F_Inputs_adjusted!$A:$A,$A104,F_Inputs_adjusted!$B:$B,$B104)</f>
        <v>0</v>
      </c>
      <c r="M104" s="38">
        <f ca="1">SUMIFS(F_Inputs_adjusted!M:M,F_Inputs_adjusted!$A:$A,$A104,F_Inputs_adjusted!$B:$B,$B104)</f>
        <v>0</v>
      </c>
      <c r="N104" s="38">
        <f ca="1">SUM(Table1[[#This Row],[2023-24]:[2029-30]])</f>
        <v>0</v>
      </c>
    </row>
    <row r="105" spans="1:14">
      <c r="A105" s="18" t="str">
        <f>F_Inputs!A107</f>
        <v>TMS</v>
      </c>
      <c r="B105" s="18" t="str">
        <f>F_Inputs!B107</f>
        <v>CWW17_007TOT_PR24</v>
      </c>
      <c r="C105" s="18" t="str">
        <f>F_Inputs!C107</f>
        <v>EA/NRW environmental programme wastewater (WINEP/NEP) - Continuous river water quality monitoring (WINEP/NEP) wastewater capex - Total</v>
      </c>
      <c r="D105" s="18" t="str">
        <f>F_Inputs!D107</f>
        <v>£m</v>
      </c>
      <c r="E105" s="18" t="str">
        <f>F_Inputs!E107</f>
        <v>Price Review 2024</v>
      </c>
      <c r="F105" s="38">
        <f ca="1">SUMIFS(F_Inputs_adjusted!P:P,F_Inputs_adjusted!$A:$A,$A105,F_Inputs_adjusted!$B:$B,$B105)</f>
        <v>0</v>
      </c>
      <c r="G105" s="38">
        <f ca="1">SUMIFS(F_Inputs_adjusted!Q:Q,F_Inputs_adjusted!$A:$A,$A105,F_Inputs_adjusted!$B:$B,$B105)</f>
        <v>0</v>
      </c>
      <c r="H105" s="38">
        <f ca="1">SUMIFS(F_Inputs_adjusted!R:R,F_Inputs_adjusted!$A:$A,$A105,F_Inputs_adjusted!$B:$B,$B105)</f>
        <v>0</v>
      </c>
      <c r="I105" s="38">
        <f ca="1">SUMIFS(F_Inputs_adjusted!S:S,F_Inputs_adjusted!$A:$A,$A105,F_Inputs_adjusted!$B:$B,$B105)</f>
        <v>0</v>
      </c>
      <c r="J105" s="38">
        <f ca="1">SUMIFS(F_Inputs_adjusted!T:T,F_Inputs_adjusted!$A:$A,$A105,F_Inputs_adjusted!$B:$B,$B105)</f>
        <v>0</v>
      </c>
      <c r="K105" s="38">
        <f ca="1">SUMIFS(F_Inputs_adjusted!U:U,F_Inputs_adjusted!$A:$A,$A105,F_Inputs_adjusted!$B:$B,$B105)</f>
        <v>0</v>
      </c>
      <c r="L105" s="38">
        <f ca="1">SUMIFS(F_Inputs_adjusted!V:V,F_Inputs_adjusted!$A:$A,$A105,F_Inputs_adjusted!$B:$B,$B105)</f>
        <v>0</v>
      </c>
      <c r="M105" s="38">
        <f ca="1">SUMIFS(F_Inputs_adjusted!M:M,F_Inputs_adjusted!$A:$A,$A105,F_Inputs_adjusted!$B:$B,$B105)</f>
        <v>0</v>
      </c>
      <c r="N105" s="38">
        <f ca="1">SUM(Table1[[#This Row],[2023-24]:[2029-30]])</f>
        <v>0</v>
      </c>
    </row>
    <row r="106" spans="1:14">
      <c r="A106" s="18" t="str">
        <f>F_Inputs!A108</f>
        <v>TMS</v>
      </c>
      <c r="B106" s="18" t="str">
        <f>F_Inputs!B108</f>
        <v>CWW17_008TOT_PR24</v>
      </c>
      <c r="C106" s="18" t="str">
        <f>F_Inputs!C108</f>
        <v>EA/NRW environmental programme wastewater (WINEP/NEP) - Continuous river water quality monitoring (WINEP/NEP) wastewater opex - Total</v>
      </c>
      <c r="D106" s="18" t="str">
        <f>F_Inputs!D108</f>
        <v>£m</v>
      </c>
      <c r="E106" s="18" t="str">
        <f>F_Inputs!E108</f>
        <v>Price Review 2024</v>
      </c>
      <c r="F106" s="38">
        <f ca="1">SUMIFS(F_Inputs_adjusted!P:P,F_Inputs_adjusted!$A:$A,$A106,F_Inputs_adjusted!$B:$B,$B106)</f>
        <v>0</v>
      </c>
      <c r="G106" s="38">
        <f ca="1">SUMIFS(F_Inputs_adjusted!Q:Q,F_Inputs_adjusted!$A:$A,$A106,F_Inputs_adjusted!$B:$B,$B106)</f>
        <v>0</v>
      </c>
      <c r="H106" s="38">
        <f ca="1">SUMIFS(F_Inputs_adjusted!R:R,F_Inputs_adjusted!$A:$A,$A106,F_Inputs_adjusted!$B:$B,$B106)</f>
        <v>0</v>
      </c>
      <c r="I106" s="38">
        <f ca="1">SUMIFS(F_Inputs_adjusted!S:S,F_Inputs_adjusted!$A:$A,$A106,F_Inputs_adjusted!$B:$B,$B106)</f>
        <v>0</v>
      </c>
      <c r="J106" s="38">
        <f ca="1">SUMIFS(F_Inputs_adjusted!T:T,F_Inputs_adjusted!$A:$A,$A106,F_Inputs_adjusted!$B:$B,$B106)</f>
        <v>0</v>
      </c>
      <c r="K106" s="38">
        <f ca="1">SUMIFS(F_Inputs_adjusted!U:U,F_Inputs_adjusted!$A:$A,$A106,F_Inputs_adjusted!$B:$B,$B106)</f>
        <v>0</v>
      </c>
      <c r="L106" s="38">
        <f ca="1">SUMIFS(F_Inputs_adjusted!V:V,F_Inputs_adjusted!$A:$A,$A106,F_Inputs_adjusted!$B:$B,$B106)</f>
        <v>0</v>
      </c>
      <c r="M106" s="38">
        <f ca="1">SUMIFS(F_Inputs_adjusted!M:M,F_Inputs_adjusted!$A:$A,$A106,F_Inputs_adjusted!$B:$B,$B106)</f>
        <v>0</v>
      </c>
      <c r="N106" s="38">
        <f ca="1">SUM(Table1[[#This Row],[2023-24]:[2029-30]])</f>
        <v>0</v>
      </c>
    </row>
    <row r="107" spans="1:14">
      <c r="A107" s="18" t="str">
        <f>F_Inputs!A109</f>
        <v>TMS</v>
      </c>
      <c r="B107" s="18" t="str">
        <f>F_Inputs!B109</f>
        <v>CWW17_009TOT_PR24</v>
      </c>
      <c r="C107" s="18" t="str">
        <f>F_Inputs!C109</f>
        <v>EA/NRW environmental programme wastewater (WINEP/NEP) - Continuous river water quality monitoring (WINEP/NEP) wastewater totex - Total</v>
      </c>
      <c r="D107" s="18" t="str">
        <f>F_Inputs!D109</f>
        <v>£m</v>
      </c>
      <c r="E107" s="18" t="str">
        <f>F_Inputs!E109</f>
        <v>Price Review 2024</v>
      </c>
      <c r="F107" s="38">
        <f ca="1">SUMIFS(F_Inputs_adjusted!P:P,F_Inputs_adjusted!$A:$A,$A107,F_Inputs_adjusted!$B:$B,$B107)</f>
        <v>0</v>
      </c>
      <c r="G107" s="38">
        <f ca="1">SUMIFS(F_Inputs_adjusted!Q:Q,F_Inputs_adjusted!$A:$A,$A107,F_Inputs_adjusted!$B:$B,$B107)</f>
        <v>0</v>
      </c>
      <c r="H107" s="38">
        <f ca="1">SUMIFS(F_Inputs_adjusted!R:R,F_Inputs_adjusted!$A:$A,$A107,F_Inputs_adjusted!$B:$B,$B107)</f>
        <v>0</v>
      </c>
      <c r="I107" s="38">
        <f ca="1">SUMIFS(F_Inputs_adjusted!S:S,F_Inputs_adjusted!$A:$A,$A107,F_Inputs_adjusted!$B:$B,$B107)</f>
        <v>0</v>
      </c>
      <c r="J107" s="38">
        <f ca="1">SUMIFS(F_Inputs_adjusted!T:T,F_Inputs_adjusted!$A:$A,$A107,F_Inputs_adjusted!$B:$B,$B107)</f>
        <v>0</v>
      </c>
      <c r="K107" s="38">
        <f ca="1">SUMIFS(F_Inputs_adjusted!U:U,F_Inputs_adjusted!$A:$A,$A107,F_Inputs_adjusted!$B:$B,$B107)</f>
        <v>0</v>
      </c>
      <c r="L107" s="38">
        <f ca="1">SUMIFS(F_Inputs_adjusted!V:V,F_Inputs_adjusted!$A:$A,$A107,F_Inputs_adjusted!$B:$B,$B107)</f>
        <v>0</v>
      </c>
      <c r="M107" s="38">
        <f ca="1">SUMIFS(F_Inputs_adjusted!M:M,F_Inputs_adjusted!$A:$A,$A107,F_Inputs_adjusted!$B:$B,$B107)</f>
        <v>0</v>
      </c>
      <c r="N107" s="38">
        <f ca="1">SUM(Table1[[#This Row],[2023-24]:[2029-30]])</f>
        <v>0</v>
      </c>
    </row>
    <row r="108" spans="1:14">
      <c r="A108" s="18" t="str">
        <f>F_Inputs!A110</f>
        <v>TMS</v>
      </c>
      <c r="B108" s="18" t="str">
        <f>F_Inputs!B110</f>
        <v>CWW20A_049_PR24</v>
      </c>
      <c r="C108" s="18" t="str">
        <f>F_Inputs!C110</f>
        <v>Network / Storm overflow data - Number of continuous water quality monitor installations</v>
      </c>
      <c r="D108" s="18" t="str">
        <f>F_Inputs!D110</f>
        <v>nr</v>
      </c>
      <c r="E108" s="18" t="str">
        <f>F_Inputs!E110</f>
        <v>Price Review 2024</v>
      </c>
      <c r="F108" s="38">
        <f ca="1">SUMIFS(F_Inputs_adjusted!P:P,F_Inputs_adjusted!$A:$A,$A108,F_Inputs_adjusted!$B:$B,$B108)</f>
        <v>0</v>
      </c>
      <c r="G108" s="38">
        <f ca="1">SUMIFS(F_Inputs_adjusted!Q:Q,F_Inputs_adjusted!$A:$A,$A108,F_Inputs_adjusted!$B:$B,$B108)</f>
        <v>0</v>
      </c>
      <c r="H108" s="38">
        <f ca="1">SUMIFS(F_Inputs_adjusted!R:R,F_Inputs_adjusted!$A:$A,$A108,F_Inputs_adjusted!$B:$B,$B108)</f>
        <v>0</v>
      </c>
      <c r="I108" s="38">
        <f ca="1">SUMIFS(F_Inputs_adjusted!S:S,F_Inputs_adjusted!$A:$A,$A108,F_Inputs_adjusted!$B:$B,$B108)</f>
        <v>0</v>
      </c>
      <c r="J108" s="38">
        <f ca="1">SUMIFS(F_Inputs_adjusted!T:T,F_Inputs_adjusted!$A:$A,$A108,F_Inputs_adjusted!$B:$B,$B108)</f>
        <v>0</v>
      </c>
      <c r="K108" s="38">
        <f ca="1">SUMIFS(F_Inputs_adjusted!U:U,F_Inputs_adjusted!$A:$A,$A108,F_Inputs_adjusted!$B:$B,$B108)</f>
        <v>0</v>
      </c>
      <c r="L108" s="38">
        <f ca="1">SUMIFS(F_Inputs_adjusted!V:V,F_Inputs_adjusted!$A:$A,$A108,F_Inputs_adjusted!$B:$B,$B108)</f>
        <v>0</v>
      </c>
      <c r="M108" s="38">
        <f ca="1">SUMIFS(F_Inputs_adjusted!M:M,F_Inputs_adjusted!$A:$A,$A108,F_Inputs_adjusted!$B:$B,$B108)</f>
        <v>0</v>
      </c>
      <c r="N108" s="38">
        <f ca="1">SUM(Table1[[#This Row],[2023-24]:[2029-30]])</f>
        <v>0</v>
      </c>
    </row>
    <row r="109" spans="1:14">
      <c r="A109" s="18" t="str">
        <f>F_Inputs!A111</f>
        <v>NWT</v>
      </c>
      <c r="B109" s="18" t="str">
        <f>F_Inputs!B111</f>
        <v>CWW3_007TOT_PR24</v>
      </c>
      <c r="C109" s="18" t="str">
        <f>F_Inputs!C111</f>
        <v>EA/NRW environmental programme wastewater (WINEP/NEP) - Continuous river water quality monitoring (WINEP/NEP) wastewater capex - Total</v>
      </c>
      <c r="D109" s="18" t="str">
        <f>F_Inputs!D111</f>
        <v>£m</v>
      </c>
      <c r="E109" s="18" t="str">
        <f>F_Inputs!E111</f>
        <v>Price Review 2024</v>
      </c>
      <c r="F109" s="38">
        <f ca="1">SUMIFS(F_Inputs_adjusted!P:P,F_Inputs_adjusted!$A:$A,$A109,F_Inputs_adjusted!$B:$B,$B109)</f>
        <v>0</v>
      </c>
      <c r="G109" s="38">
        <f ca="1">SUMIFS(F_Inputs_adjusted!Q:Q,F_Inputs_adjusted!$A:$A,$A109,F_Inputs_adjusted!$B:$B,$B109)</f>
        <v>0</v>
      </c>
      <c r="H109" s="38">
        <f ca="1">SUMIFS(F_Inputs_adjusted!R:R,F_Inputs_adjusted!$A:$A,$A109,F_Inputs_adjusted!$B:$B,$B109)</f>
        <v>15.435637619025091</v>
      </c>
      <c r="I109" s="38">
        <f ca="1">SUMIFS(F_Inputs_adjusted!S:S,F_Inputs_adjusted!$A:$A,$A109,F_Inputs_adjusted!$B:$B,$B109)</f>
        <v>15.70148092064675</v>
      </c>
      <c r="J109" s="38">
        <f ca="1">SUMIFS(F_Inputs_adjusted!T:T,F_Inputs_adjusted!$A:$A,$A109,F_Inputs_adjusted!$B:$B,$B109)</f>
        <v>15.58367351202409</v>
      </c>
      <c r="K109" s="38">
        <f ca="1">SUMIFS(F_Inputs_adjusted!U:U,F_Inputs_adjusted!$A:$A,$A109,F_Inputs_adjusted!$B:$B,$B109)</f>
        <v>15.826570619297771</v>
      </c>
      <c r="L109" s="38">
        <f ca="1">SUMIFS(F_Inputs_adjusted!V:V,F_Inputs_adjusted!$A:$A,$A109,F_Inputs_adjusted!$B:$B,$B109)</f>
        <v>15.777759122782401</v>
      </c>
      <c r="M109" s="38">
        <f ca="1">SUMIFS(F_Inputs_adjusted!M:M,F_Inputs_adjusted!$A:$A,$A109,F_Inputs_adjusted!$B:$B,$B109)</f>
        <v>0</v>
      </c>
      <c r="N109" s="38">
        <f ca="1">SUM(Table1[[#This Row],[2023-24]:[2029-30]])</f>
        <v>78.325121793776106</v>
      </c>
    </row>
    <row r="110" spans="1:14">
      <c r="A110" s="18" t="str">
        <f>F_Inputs!A112</f>
        <v>NWT</v>
      </c>
      <c r="B110" s="18" t="str">
        <f>F_Inputs!B112</f>
        <v>CWW3_008TOT_PR24</v>
      </c>
      <c r="C110" s="18" t="str">
        <f>F_Inputs!C112</f>
        <v>EA/NRW environmental programme wastewater (WINEP/NEP) - Continuous river water quality monitoring (WINEP/NEP) wastewater opex - Total</v>
      </c>
      <c r="D110" s="18" t="str">
        <f>F_Inputs!D112</f>
        <v>£m</v>
      </c>
      <c r="E110" s="18" t="str">
        <f>F_Inputs!E112</f>
        <v>Price Review 2024</v>
      </c>
      <c r="F110" s="38">
        <f ca="1">SUMIFS(F_Inputs_adjusted!P:P,F_Inputs_adjusted!$A:$A,$A110,F_Inputs_adjusted!$B:$B,$B110)</f>
        <v>0</v>
      </c>
      <c r="G110" s="38">
        <f ca="1">SUMIFS(F_Inputs_adjusted!Q:Q,F_Inputs_adjusted!$A:$A,$A110,F_Inputs_adjusted!$B:$B,$B110)</f>
        <v>0</v>
      </c>
      <c r="H110" s="38">
        <f ca="1">SUMIFS(F_Inputs_adjusted!R:R,F_Inputs_adjusted!$A:$A,$A110,F_Inputs_adjusted!$B:$B,$B110)</f>
        <v>0</v>
      </c>
      <c r="I110" s="38">
        <f ca="1">SUMIFS(F_Inputs_adjusted!S:S,F_Inputs_adjusted!$A:$A,$A110,F_Inputs_adjusted!$B:$B,$B110)</f>
        <v>0.64911110014635798</v>
      </c>
      <c r="J110" s="38">
        <f ca="1">SUMIFS(F_Inputs_adjusted!T:T,F_Inputs_adjusted!$A:$A,$A110,F_Inputs_adjusted!$B:$B,$B110)</f>
        <v>1.288481705494434</v>
      </c>
      <c r="K110" s="38">
        <f ca="1">SUMIFS(F_Inputs_adjusted!U:U,F_Inputs_adjusted!$A:$A,$A110,F_Inputs_adjusted!$B:$B,$B110)</f>
        <v>1.962847208773969</v>
      </c>
      <c r="L110" s="38">
        <f ca="1">SUMIFS(F_Inputs_adjusted!V:V,F_Inputs_adjusted!$A:$A,$A110,F_Inputs_adjusted!$B:$B,$B110)</f>
        <v>2.6090579949223458</v>
      </c>
      <c r="M110" s="38">
        <f ca="1">SUMIFS(F_Inputs_adjusted!M:M,F_Inputs_adjusted!$A:$A,$A110,F_Inputs_adjusted!$B:$B,$B110)</f>
        <v>0</v>
      </c>
      <c r="N110" s="38">
        <f ca="1">SUM(Table1[[#This Row],[2023-24]:[2029-30]])</f>
        <v>6.509498009337106</v>
      </c>
    </row>
    <row r="111" spans="1:14">
      <c r="A111" s="18" t="str">
        <f>F_Inputs!A113</f>
        <v>NWT</v>
      </c>
      <c r="B111" s="18" t="str">
        <f>F_Inputs!B113</f>
        <v>CWW3_009TOT_PR24</v>
      </c>
      <c r="C111" s="18" t="str">
        <f>F_Inputs!C113</f>
        <v>EA/NRW environmental programme wastewater (WINEP/NEP) - Continuous river water quality monitoring (WINEP/NEP) wastewater totex - Total</v>
      </c>
      <c r="D111" s="18" t="str">
        <f>F_Inputs!D113</f>
        <v>£m</v>
      </c>
      <c r="E111" s="18" t="str">
        <f>F_Inputs!E113</f>
        <v>Price Review 2024</v>
      </c>
      <c r="F111" s="38">
        <f ca="1">SUMIFS(F_Inputs_adjusted!P:P,F_Inputs_adjusted!$A:$A,$A111,F_Inputs_adjusted!$B:$B,$B111)</f>
        <v>0</v>
      </c>
      <c r="G111" s="38">
        <f ca="1">SUMIFS(F_Inputs_adjusted!Q:Q,F_Inputs_adjusted!$A:$A,$A111,F_Inputs_adjusted!$B:$B,$B111)</f>
        <v>0</v>
      </c>
      <c r="H111" s="38">
        <f ca="1">SUMIFS(F_Inputs_adjusted!R:R,F_Inputs_adjusted!$A:$A,$A111,F_Inputs_adjusted!$B:$B,$B111)</f>
        <v>15.435637619025091</v>
      </c>
      <c r="I111" s="38">
        <f ca="1">SUMIFS(F_Inputs_adjusted!S:S,F_Inputs_adjusted!$A:$A,$A111,F_Inputs_adjusted!$B:$B,$B111)</f>
        <v>16.350592020793108</v>
      </c>
      <c r="J111" s="38">
        <f ca="1">SUMIFS(F_Inputs_adjusted!T:T,F_Inputs_adjusted!$A:$A,$A111,F_Inputs_adjusted!$B:$B,$B111)</f>
        <v>16.872155217518529</v>
      </c>
      <c r="K111" s="38">
        <f ca="1">SUMIFS(F_Inputs_adjusted!U:U,F_Inputs_adjusted!$A:$A,$A111,F_Inputs_adjusted!$B:$B,$B111)</f>
        <v>17.789417828071741</v>
      </c>
      <c r="L111" s="38">
        <f ca="1">SUMIFS(F_Inputs_adjusted!V:V,F_Inputs_adjusted!$A:$A,$A111,F_Inputs_adjusted!$B:$B,$B111)</f>
        <v>18.386817117704751</v>
      </c>
      <c r="M111" s="38">
        <f ca="1">SUMIFS(F_Inputs_adjusted!M:M,F_Inputs_adjusted!$A:$A,$A111,F_Inputs_adjusted!$B:$B,$B111)</f>
        <v>0</v>
      </c>
      <c r="N111" s="38">
        <f ca="1">SUM(Table1[[#This Row],[2023-24]:[2029-30]])</f>
        <v>84.834619803113227</v>
      </c>
    </row>
    <row r="112" spans="1:14">
      <c r="A112" s="18" t="str">
        <f>F_Inputs!A114</f>
        <v>NWT</v>
      </c>
      <c r="B112" s="18" t="str">
        <f>F_Inputs!B114</f>
        <v>CWW20_049_PR24</v>
      </c>
      <c r="C112" s="18" t="str">
        <f>F_Inputs!C114</f>
        <v>Network / Storm overflow data - Number of continuous water quality monitor installations</v>
      </c>
      <c r="D112" s="18" t="str">
        <f>F_Inputs!D114</f>
        <v>nr</v>
      </c>
      <c r="E112" s="18" t="str">
        <f>F_Inputs!E114</f>
        <v>Price Review 2024</v>
      </c>
      <c r="F112" s="38">
        <f ca="1">SUMIFS(F_Inputs_adjusted!P:P,F_Inputs_adjusted!$A:$A,$A112,F_Inputs_adjusted!$B:$B,$B112)</f>
        <v>0</v>
      </c>
      <c r="G112" s="38">
        <f ca="1">SUMIFS(F_Inputs_adjusted!Q:Q,F_Inputs_adjusted!$A:$A,$A112,F_Inputs_adjusted!$B:$B,$B112)</f>
        <v>0</v>
      </c>
      <c r="H112" s="38">
        <f ca="1">SUMIFS(F_Inputs_adjusted!R:R,F_Inputs_adjusted!$A:$A,$A112,F_Inputs_adjusted!$B:$B,$B112)</f>
        <v>120</v>
      </c>
      <c r="I112" s="38">
        <f ca="1">SUMIFS(F_Inputs_adjusted!S:S,F_Inputs_adjusted!$A:$A,$A112,F_Inputs_adjusted!$B:$B,$B112)</f>
        <v>120</v>
      </c>
      <c r="J112" s="38">
        <f ca="1">SUMIFS(F_Inputs_adjusted!T:T,F_Inputs_adjusted!$A:$A,$A112,F_Inputs_adjusted!$B:$B,$B112)</f>
        <v>120</v>
      </c>
      <c r="K112" s="38">
        <f ca="1">SUMIFS(F_Inputs_adjusted!U:U,F_Inputs_adjusted!$A:$A,$A112,F_Inputs_adjusted!$B:$B,$B112)</f>
        <v>120</v>
      </c>
      <c r="L112" s="38">
        <f ca="1">SUMIFS(F_Inputs_adjusted!V:V,F_Inputs_adjusted!$A:$A,$A112,F_Inputs_adjusted!$B:$B,$B112)</f>
        <v>153</v>
      </c>
      <c r="M112" s="38">
        <f ca="1">SUMIFS(F_Inputs_adjusted!M:M,F_Inputs_adjusted!$A:$A,$A112,F_Inputs_adjusted!$B:$B,$B112)</f>
        <v>0</v>
      </c>
      <c r="N112" s="38">
        <f ca="1">SUM(Table1[[#This Row],[2023-24]:[2029-30]])</f>
        <v>633</v>
      </c>
    </row>
    <row r="113" spans="1:14">
      <c r="A113" s="18" t="str">
        <f>F_Inputs!A115</f>
        <v>NWT</v>
      </c>
      <c r="B113" s="18" t="str">
        <f>F_Inputs!B115</f>
        <v>CWW1A_015TOT_PR24</v>
      </c>
      <c r="C113" s="18" t="str">
        <f>F_Inputs!C115</f>
        <v>Net totex - Total</v>
      </c>
      <c r="D113" s="18" t="str">
        <f>F_Inputs!D115</f>
        <v>£m</v>
      </c>
      <c r="E113" s="18" t="str">
        <f>F_Inputs!E115</f>
        <v>Price Review 2024</v>
      </c>
      <c r="F113" s="38">
        <f ca="1">SUMIFS(F_Inputs_adjusted!P:P,F_Inputs_adjusted!$A:$A,$A113,F_Inputs_adjusted!$B:$B,$B113)</f>
        <v>0</v>
      </c>
      <c r="G113" s="38">
        <f ca="1">SUMIFS(F_Inputs_adjusted!Q:Q,F_Inputs_adjusted!$A:$A,$A113,F_Inputs_adjusted!$B:$B,$B113)</f>
        <v>0</v>
      </c>
      <c r="H113" s="38">
        <f ca="1">SUMIFS(F_Inputs_adjusted!R:R,F_Inputs_adjusted!$A:$A,$A113,F_Inputs_adjusted!$B:$B,$B113)</f>
        <v>1569.795902040561</v>
      </c>
      <c r="I113" s="38">
        <f ca="1">SUMIFS(F_Inputs_adjusted!S:S,F_Inputs_adjusted!$A:$A,$A113,F_Inputs_adjusted!$B:$B,$B113)</f>
        <v>1881.302270640045</v>
      </c>
      <c r="J113" s="38">
        <f ca="1">SUMIFS(F_Inputs_adjusted!T:T,F_Inputs_adjusted!$A:$A,$A113,F_Inputs_adjusted!$B:$B,$B113)</f>
        <v>2189.086577264356</v>
      </c>
      <c r="K113" s="38">
        <f ca="1">SUMIFS(F_Inputs_adjusted!U:U,F_Inputs_adjusted!$A:$A,$A113,F_Inputs_adjusted!$B:$B,$B113)</f>
        <v>1888.0217791000509</v>
      </c>
      <c r="L113" s="38">
        <f ca="1">SUMIFS(F_Inputs_adjusted!V:V,F_Inputs_adjusted!$A:$A,$A113,F_Inputs_adjusted!$B:$B,$B113)</f>
        <v>1139.8668159399281</v>
      </c>
      <c r="M113" s="38">
        <f ca="1">SUMIFS(F_Inputs_adjusted!M:M,F_Inputs_adjusted!$A:$A,$A113,F_Inputs_adjusted!$B:$B,$B113)</f>
        <v>0</v>
      </c>
      <c r="N113" s="38">
        <f ca="1">SUM(Table1[[#This Row],[2023-24]:[2029-30]])</f>
        <v>8668.0733449849395</v>
      </c>
    </row>
    <row r="114" spans="1:14">
      <c r="A114" s="18" t="str">
        <f>F_Inputs!A116</f>
        <v>NWT</v>
      </c>
      <c r="B114" s="18" t="str">
        <f>F_Inputs!B116</f>
        <v>PR24_NETTOTEX_WASTE</v>
      </c>
      <c r="C114" s="18" t="str">
        <f>F_Inputs!C116</f>
        <v>PR24 BP Net totex - Total inc. accelerated &amp; transition costs</v>
      </c>
      <c r="D114" s="18" t="str">
        <f>F_Inputs!D116</f>
        <v>£m</v>
      </c>
      <c r="E114" s="18" t="str">
        <f>F_Inputs!E116</f>
        <v>Price Review 2024</v>
      </c>
      <c r="F114" s="38">
        <f ca="1">SUMIFS(F_Inputs_adjusted!P:P,F_Inputs_adjusted!$A:$A,$A114,F_Inputs_adjusted!$B:$B,$B114)</f>
        <v>0</v>
      </c>
      <c r="G114" s="38">
        <f ca="1">SUMIFS(F_Inputs_adjusted!Q:Q,F_Inputs_adjusted!$A:$A,$A114,F_Inputs_adjusted!$B:$B,$B114)</f>
        <v>0</v>
      </c>
      <c r="H114" s="38">
        <f ca="1">SUMIFS(F_Inputs_adjusted!R:R,F_Inputs_adjusted!$A:$A,$A114,F_Inputs_adjusted!$B:$B,$B114)</f>
        <v>0</v>
      </c>
      <c r="I114" s="38">
        <f ca="1">SUMIFS(F_Inputs_adjusted!S:S,F_Inputs_adjusted!$A:$A,$A114,F_Inputs_adjusted!$B:$B,$B114)</f>
        <v>0</v>
      </c>
      <c r="J114" s="38">
        <f ca="1">SUMIFS(F_Inputs_adjusted!T:T,F_Inputs_adjusted!$A:$A,$A114,F_Inputs_adjusted!$B:$B,$B114)</f>
        <v>0</v>
      </c>
      <c r="K114" s="38">
        <f ca="1">SUMIFS(F_Inputs_adjusted!U:U,F_Inputs_adjusted!$A:$A,$A114,F_Inputs_adjusted!$B:$B,$B114)</f>
        <v>0</v>
      </c>
      <c r="L114" s="38">
        <f ca="1">SUMIFS(F_Inputs_adjusted!V:V,F_Inputs_adjusted!$A:$A,$A114,F_Inputs_adjusted!$B:$B,$B114)</f>
        <v>0</v>
      </c>
      <c r="M114" s="38">
        <f ca="1">SUMIFS(F_Inputs_adjusted!M:M,F_Inputs_adjusted!$A:$A,$A114,F_Inputs_adjusted!$B:$B,$B114)</f>
        <v>8993.1795747355063</v>
      </c>
      <c r="N114" s="38">
        <f ca="1">SUM(Table1[[#This Row],[2023-24]:[2029-30]])</f>
        <v>0</v>
      </c>
    </row>
    <row r="115" spans="1:14">
      <c r="A115" s="18" t="str">
        <f>F_Inputs!A117</f>
        <v>NWT</v>
      </c>
      <c r="B115" s="18" t="str">
        <f>F_Inputs!B117</f>
        <v>CWW12_007TOT_PR24</v>
      </c>
      <c r="C115" s="18" t="str">
        <f>F_Inputs!C117</f>
        <v>EA/NRW environmental programme wastewater (WINEP/NEP) - Continuous river water quality monitoring (WINEP/NEP) wastewater capex - Total</v>
      </c>
      <c r="D115" s="18" t="str">
        <f>F_Inputs!D117</f>
        <v>£m</v>
      </c>
      <c r="E115" s="18" t="str">
        <f>F_Inputs!E117</f>
        <v>Price Review 2024</v>
      </c>
      <c r="F115" s="38">
        <f ca="1">SUMIFS(F_Inputs_adjusted!P:P,F_Inputs_adjusted!$A:$A,$A115,F_Inputs_adjusted!$B:$B,$B115)</f>
        <v>0</v>
      </c>
      <c r="G115" s="38">
        <f ca="1">SUMIFS(F_Inputs_adjusted!Q:Q,F_Inputs_adjusted!$A:$A,$A115,F_Inputs_adjusted!$B:$B,$B115)</f>
        <v>0</v>
      </c>
      <c r="H115" s="38">
        <f ca="1">SUMIFS(F_Inputs_adjusted!R:R,F_Inputs_adjusted!$A:$A,$A115,F_Inputs_adjusted!$B:$B,$B115)</f>
        <v>0</v>
      </c>
      <c r="I115" s="38">
        <f ca="1">SUMIFS(F_Inputs_adjusted!S:S,F_Inputs_adjusted!$A:$A,$A115,F_Inputs_adjusted!$B:$B,$B115)</f>
        <v>0</v>
      </c>
      <c r="J115" s="38">
        <f ca="1">SUMIFS(F_Inputs_adjusted!T:T,F_Inputs_adjusted!$A:$A,$A115,F_Inputs_adjusted!$B:$B,$B115)</f>
        <v>0</v>
      </c>
      <c r="K115" s="38">
        <f ca="1">SUMIFS(F_Inputs_adjusted!U:U,F_Inputs_adjusted!$A:$A,$A115,F_Inputs_adjusted!$B:$B,$B115)</f>
        <v>0</v>
      </c>
      <c r="L115" s="38">
        <f ca="1">SUMIFS(F_Inputs_adjusted!V:V,F_Inputs_adjusted!$A:$A,$A115,F_Inputs_adjusted!$B:$B,$B115)</f>
        <v>0</v>
      </c>
      <c r="M115" s="38">
        <f ca="1">SUMIFS(F_Inputs_adjusted!M:M,F_Inputs_adjusted!$A:$A,$A115,F_Inputs_adjusted!$B:$B,$B115)</f>
        <v>0</v>
      </c>
      <c r="N115" s="38">
        <f ca="1">SUM(Table1[[#This Row],[2023-24]:[2029-30]])</f>
        <v>0</v>
      </c>
    </row>
    <row r="116" spans="1:14">
      <c r="A116" s="18" t="str">
        <f>F_Inputs!A118</f>
        <v>NWT</v>
      </c>
      <c r="B116" s="18" t="str">
        <f>F_Inputs!B118</f>
        <v>CWW12_008TOT_PR24</v>
      </c>
      <c r="C116" s="18" t="str">
        <f>F_Inputs!C118</f>
        <v>EA/NRW environmental programme wastewater (WINEP/NEP) - Continuous river water quality monitoring (WINEP/NEP) wastewater opex - Total</v>
      </c>
      <c r="D116" s="18" t="str">
        <f>F_Inputs!D118</f>
        <v>£m</v>
      </c>
      <c r="E116" s="18" t="str">
        <f>F_Inputs!E118</f>
        <v>Price Review 2024</v>
      </c>
      <c r="F116" s="38">
        <f ca="1">SUMIFS(F_Inputs_adjusted!P:P,F_Inputs_adjusted!$A:$A,$A116,F_Inputs_adjusted!$B:$B,$B116)</f>
        <v>0</v>
      </c>
      <c r="G116" s="38">
        <f ca="1">SUMIFS(F_Inputs_adjusted!Q:Q,F_Inputs_adjusted!$A:$A,$A116,F_Inputs_adjusted!$B:$B,$B116)</f>
        <v>0</v>
      </c>
      <c r="H116" s="38">
        <f ca="1">SUMIFS(F_Inputs_adjusted!R:R,F_Inputs_adjusted!$A:$A,$A116,F_Inputs_adjusted!$B:$B,$B116)</f>
        <v>0</v>
      </c>
      <c r="I116" s="38">
        <f ca="1">SUMIFS(F_Inputs_adjusted!S:S,F_Inputs_adjusted!$A:$A,$A116,F_Inputs_adjusted!$B:$B,$B116)</f>
        <v>0</v>
      </c>
      <c r="J116" s="38">
        <f ca="1">SUMIFS(F_Inputs_adjusted!T:T,F_Inputs_adjusted!$A:$A,$A116,F_Inputs_adjusted!$B:$B,$B116)</f>
        <v>0</v>
      </c>
      <c r="K116" s="38">
        <f ca="1">SUMIFS(F_Inputs_adjusted!U:U,F_Inputs_adjusted!$A:$A,$A116,F_Inputs_adjusted!$B:$B,$B116)</f>
        <v>0</v>
      </c>
      <c r="L116" s="38">
        <f ca="1">SUMIFS(F_Inputs_adjusted!V:V,F_Inputs_adjusted!$A:$A,$A116,F_Inputs_adjusted!$B:$B,$B116)</f>
        <v>0</v>
      </c>
      <c r="M116" s="38">
        <f ca="1">SUMIFS(F_Inputs_adjusted!M:M,F_Inputs_adjusted!$A:$A,$A116,F_Inputs_adjusted!$B:$B,$B116)</f>
        <v>0</v>
      </c>
      <c r="N116" s="38">
        <f ca="1">SUM(Table1[[#This Row],[2023-24]:[2029-30]])</f>
        <v>0</v>
      </c>
    </row>
    <row r="117" spans="1:14">
      <c r="A117" s="18" t="str">
        <f>F_Inputs!A119</f>
        <v>NWT</v>
      </c>
      <c r="B117" s="18" t="str">
        <f>F_Inputs!B119</f>
        <v>CWW12_009TOT_PR24</v>
      </c>
      <c r="C117" s="18" t="str">
        <f>F_Inputs!C119</f>
        <v>EA/NRW environmental programme wastewater (WINEP/NEP) - Continuous river water quality monitoring (WINEP/NEP) wastewater totex - Total</v>
      </c>
      <c r="D117" s="18" t="str">
        <f>F_Inputs!D119</f>
        <v>£m</v>
      </c>
      <c r="E117" s="18" t="str">
        <f>F_Inputs!E119</f>
        <v>Price Review 2024</v>
      </c>
      <c r="F117" s="38">
        <f ca="1">SUMIFS(F_Inputs_adjusted!P:P,F_Inputs_adjusted!$A:$A,$A117,F_Inputs_adjusted!$B:$B,$B117)</f>
        <v>0</v>
      </c>
      <c r="G117" s="38">
        <f ca="1">SUMIFS(F_Inputs_adjusted!Q:Q,F_Inputs_adjusted!$A:$A,$A117,F_Inputs_adjusted!$B:$B,$B117)</f>
        <v>0</v>
      </c>
      <c r="H117" s="38">
        <f ca="1">SUMIFS(F_Inputs_adjusted!R:R,F_Inputs_adjusted!$A:$A,$A117,F_Inputs_adjusted!$B:$B,$B117)</f>
        <v>0</v>
      </c>
      <c r="I117" s="38">
        <f ca="1">SUMIFS(F_Inputs_adjusted!S:S,F_Inputs_adjusted!$A:$A,$A117,F_Inputs_adjusted!$B:$B,$B117)</f>
        <v>0</v>
      </c>
      <c r="J117" s="38">
        <f ca="1">SUMIFS(F_Inputs_adjusted!T:T,F_Inputs_adjusted!$A:$A,$A117,F_Inputs_adjusted!$B:$B,$B117)</f>
        <v>0</v>
      </c>
      <c r="K117" s="38">
        <f ca="1">SUMIFS(F_Inputs_adjusted!U:U,F_Inputs_adjusted!$A:$A,$A117,F_Inputs_adjusted!$B:$B,$B117)</f>
        <v>0</v>
      </c>
      <c r="L117" s="38">
        <f ca="1">SUMIFS(F_Inputs_adjusted!V:V,F_Inputs_adjusted!$A:$A,$A117,F_Inputs_adjusted!$B:$B,$B117)</f>
        <v>0</v>
      </c>
      <c r="M117" s="38">
        <f ca="1">SUMIFS(F_Inputs_adjusted!M:M,F_Inputs_adjusted!$A:$A,$A117,F_Inputs_adjusted!$B:$B,$B117)</f>
        <v>0</v>
      </c>
      <c r="N117" s="38">
        <f ca="1">SUM(Table1[[#This Row],[2023-24]:[2029-30]])</f>
        <v>0</v>
      </c>
    </row>
    <row r="118" spans="1:14">
      <c r="A118" s="18" t="str">
        <f>F_Inputs!A120</f>
        <v>NWT</v>
      </c>
      <c r="B118" s="18" t="str">
        <f>F_Inputs!B120</f>
        <v>CWW17_007TOT_PR24</v>
      </c>
      <c r="C118" s="18" t="str">
        <f>F_Inputs!C120</f>
        <v>EA/NRW environmental programme wastewater (WINEP/NEP) - Continuous river water quality monitoring (WINEP/NEP) wastewater capex - Total</v>
      </c>
      <c r="D118" s="18" t="str">
        <f>F_Inputs!D120</f>
        <v>£m</v>
      </c>
      <c r="E118" s="18" t="str">
        <f>F_Inputs!E120</f>
        <v>Price Review 2024</v>
      </c>
      <c r="F118" s="38">
        <f ca="1">SUMIFS(F_Inputs_adjusted!P:P,F_Inputs_adjusted!$A:$A,$A118,F_Inputs_adjusted!$B:$B,$B118)</f>
        <v>0</v>
      </c>
      <c r="G118" s="38">
        <f ca="1">SUMIFS(F_Inputs_adjusted!Q:Q,F_Inputs_adjusted!$A:$A,$A118,F_Inputs_adjusted!$B:$B,$B118)</f>
        <v>0</v>
      </c>
      <c r="H118" s="38">
        <f ca="1">SUMIFS(F_Inputs_adjusted!R:R,F_Inputs_adjusted!$A:$A,$A118,F_Inputs_adjusted!$B:$B,$B118)</f>
        <v>0</v>
      </c>
      <c r="I118" s="38">
        <f ca="1">SUMIFS(F_Inputs_adjusted!S:S,F_Inputs_adjusted!$A:$A,$A118,F_Inputs_adjusted!$B:$B,$B118)</f>
        <v>0</v>
      </c>
      <c r="J118" s="38">
        <f ca="1">SUMIFS(F_Inputs_adjusted!T:T,F_Inputs_adjusted!$A:$A,$A118,F_Inputs_adjusted!$B:$B,$B118)</f>
        <v>0</v>
      </c>
      <c r="K118" s="38">
        <f ca="1">SUMIFS(F_Inputs_adjusted!U:U,F_Inputs_adjusted!$A:$A,$A118,F_Inputs_adjusted!$B:$B,$B118)</f>
        <v>0</v>
      </c>
      <c r="L118" s="38">
        <f ca="1">SUMIFS(F_Inputs_adjusted!V:V,F_Inputs_adjusted!$A:$A,$A118,F_Inputs_adjusted!$B:$B,$B118)</f>
        <v>0</v>
      </c>
      <c r="M118" s="38">
        <f ca="1">SUMIFS(F_Inputs_adjusted!M:M,F_Inputs_adjusted!$A:$A,$A118,F_Inputs_adjusted!$B:$B,$B118)</f>
        <v>0</v>
      </c>
      <c r="N118" s="38">
        <f ca="1">SUM(Table1[[#This Row],[2023-24]:[2029-30]])</f>
        <v>0</v>
      </c>
    </row>
    <row r="119" spans="1:14">
      <c r="A119" s="18" t="str">
        <f>F_Inputs!A121</f>
        <v>NWT</v>
      </c>
      <c r="B119" s="18" t="str">
        <f>F_Inputs!B121</f>
        <v>CWW17_008TOT_PR24</v>
      </c>
      <c r="C119" s="18" t="str">
        <f>F_Inputs!C121</f>
        <v>EA/NRW environmental programme wastewater (WINEP/NEP) - Continuous river water quality monitoring (WINEP/NEP) wastewater opex - Total</v>
      </c>
      <c r="D119" s="18" t="str">
        <f>F_Inputs!D121</f>
        <v>£m</v>
      </c>
      <c r="E119" s="18" t="str">
        <f>F_Inputs!E121</f>
        <v>Price Review 2024</v>
      </c>
      <c r="F119" s="38">
        <f ca="1">SUMIFS(F_Inputs_adjusted!P:P,F_Inputs_adjusted!$A:$A,$A119,F_Inputs_adjusted!$B:$B,$B119)</f>
        <v>0</v>
      </c>
      <c r="G119" s="38">
        <f ca="1">SUMIFS(F_Inputs_adjusted!Q:Q,F_Inputs_adjusted!$A:$A,$A119,F_Inputs_adjusted!$B:$B,$B119)</f>
        <v>0</v>
      </c>
      <c r="H119" s="38">
        <f ca="1">SUMIFS(F_Inputs_adjusted!R:R,F_Inputs_adjusted!$A:$A,$A119,F_Inputs_adjusted!$B:$B,$B119)</f>
        <v>0</v>
      </c>
      <c r="I119" s="38">
        <f ca="1">SUMIFS(F_Inputs_adjusted!S:S,F_Inputs_adjusted!$A:$A,$A119,F_Inputs_adjusted!$B:$B,$B119)</f>
        <v>0</v>
      </c>
      <c r="J119" s="38">
        <f ca="1">SUMIFS(F_Inputs_adjusted!T:T,F_Inputs_adjusted!$A:$A,$A119,F_Inputs_adjusted!$B:$B,$B119)</f>
        <v>0</v>
      </c>
      <c r="K119" s="38">
        <f ca="1">SUMIFS(F_Inputs_adjusted!U:U,F_Inputs_adjusted!$A:$A,$A119,F_Inputs_adjusted!$B:$B,$B119)</f>
        <v>0</v>
      </c>
      <c r="L119" s="38">
        <f ca="1">SUMIFS(F_Inputs_adjusted!V:V,F_Inputs_adjusted!$A:$A,$A119,F_Inputs_adjusted!$B:$B,$B119)</f>
        <v>0</v>
      </c>
      <c r="M119" s="38">
        <f ca="1">SUMIFS(F_Inputs_adjusted!M:M,F_Inputs_adjusted!$A:$A,$A119,F_Inputs_adjusted!$B:$B,$B119)</f>
        <v>0</v>
      </c>
      <c r="N119" s="38">
        <f ca="1">SUM(Table1[[#This Row],[2023-24]:[2029-30]])</f>
        <v>0</v>
      </c>
    </row>
    <row r="120" spans="1:14">
      <c r="A120" s="18" t="str">
        <f>F_Inputs!A122</f>
        <v>NWT</v>
      </c>
      <c r="B120" s="18" t="str">
        <f>F_Inputs!B122</f>
        <v>CWW17_009TOT_PR24</v>
      </c>
      <c r="C120" s="18" t="str">
        <f>F_Inputs!C122</f>
        <v>EA/NRW environmental programme wastewater (WINEP/NEP) - Continuous river water quality monitoring (WINEP/NEP) wastewater totex - Total</v>
      </c>
      <c r="D120" s="18" t="str">
        <f>F_Inputs!D122</f>
        <v>£m</v>
      </c>
      <c r="E120" s="18" t="str">
        <f>F_Inputs!E122</f>
        <v>Price Review 2024</v>
      </c>
      <c r="F120" s="38">
        <f ca="1">SUMIFS(F_Inputs_adjusted!P:P,F_Inputs_adjusted!$A:$A,$A120,F_Inputs_adjusted!$B:$B,$B120)</f>
        <v>0</v>
      </c>
      <c r="G120" s="38">
        <f ca="1">SUMIFS(F_Inputs_adjusted!Q:Q,F_Inputs_adjusted!$A:$A,$A120,F_Inputs_adjusted!$B:$B,$B120)</f>
        <v>0</v>
      </c>
      <c r="H120" s="38">
        <f ca="1">SUMIFS(F_Inputs_adjusted!R:R,F_Inputs_adjusted!$A:$A,$A120,F_Inputs_adjusted!$B:$B,$B120)</f>
        <v>0</v>
      </c>
      <c r="I120" s="38">
        <f ca="1">SUMIFS(F_Inputs_adjusted!S:S,F_Inputs_adjusted!$A:$A,$A120,F_Inputs_adjusted!$B:$B,$B120)</f>
        <v>0</v>
      </c>
      <c r="J120" s="38">
        <f ca="1">SUMIFS(F_Inputs_adjusted!T:T,F_Inputs_adjusted!$A:$A,$A120,F_Inputs_adjusted!$B:$B,$B120)</f>
        <v>0</v>
      </c>
      <c r="K120" s="38">
        <f ca="1">SUMIFS(F_Inputs_adjusted!U:U,F_Inputs_adjusted!$A:$A,$A120,F_Inputs_adjusted!$B:$B,$B120)</f>
        <v>0</v>
      </c>
      <c r="L120" s="38">
        <f ca="1">SUMIFS(F_Inputs_adjusted!V:V,F_Inputs_adjusted!$A:$A,$A120,F_Inputs_adjusted!$B:$B,$B120)</f>
        <v>0</v>
      </c>
      <c r="M120" s="38">
        <f ca="1">SUMIFS(F_Inputs_adjusted!M:M,F_Inputs_adjusted!$A:$A,$A120,F_Inputs_adjusted!$B:$B,$B120)</f>
        <v>0</v>
      </c>
      <c r="N120" s="38">
        <f ca="1">SUM(Table1[[#This Row],[2023-24]:[2029-30]])</f>
        <v>0</v>
      </c>
    </row>
    <row r="121" spans="1:14">
      <c r="A121" s="18" t="str">
        <f>F_Inputs!A123</f>
        <v>NWT</v>
      </c>
      <c r="B121" s="18" t="str">
        <f>F_Inputs!B123</f>
        <v>CWW20A_049_PR24</v>
      </c>
      <c r="C121" s="18" t="str">
        <f>F_Inputs!C123</f>
        <v>Network / Storm overflow data - Number of continuous water quality monitor installations</v>
      </c>
      <c r="D121" s="18" t="str">
        <f>F_Inputs!D123</f>
        <v>nr</v>
      </c>
      <c r="E121" s="18" t="str">
        <f>F_Inputs!E123</f>
        <v>Price Review 2024</v>
      </c>
      <c r="F121" s="38">
        <f ca="1">SUMIFS(F_Inputs_adjusted!P:P,F_Inputs_adjusted!$A:$A,$A121,F_Inputs_adjusted!$B:$B,$B121)</f>
        <v>0</v>
      </c>
      <c r="G121" s="38">
        <f ca="1">SUMIFS(F_Inputs_adjusted!Q:Q,F_Inputs_adjusted!$A:$A,$A121,F_Inputs_adjusted!$B:$B,$B121)</f>
        <v>0</v>
      </c>
      <c r="H121" s="38">
        <f ca="1">SUMIFS(F_Inputs_adjusted!R:R,F_Inputs_adjusted!$A:$A,$A121,F_Inputs_adjusted!$B:$B,$B121)</f>
        <v>0</v>
      </c>
      <c r="I121" s="38">
        <f ca="1">SUMIFS(F_Inputs_adjusted!S:S,F_Inputs_adjusted!$A:$A,$A121,F_Inputs_adjusted!$B:$B,$B121)</f>
        <v>0</v>
      </c>
      <c r="J121" s="38">
        <f ca="1">SUMIFS(F_Inputs_adjusted!T:T,F_Inputs_adjusted!$A:$A,$A121,F_Inputs_adjusted!$B:$B,$B121)</f>
        <v>0</v>
      </c>
      <c r="K121" s="38">
        <f ca="1">SUMIFS(F_Inputs_adjusted!U:U,F_Inputs_adjusted!$A:$A,$A121,F_Inputs_adjusted!$B:$B,$B121)</f>
        <v>0</v>
      </c>
      <c r="L121" s="38">
        <f ca="1">SUMIFS(F_Inputs_adjusted!V:V,F_Inputs_adjusted!$A:$A,$A121,F_Inputs_adjusted!$B:$B,$B121)</f>
        <v>0</v>
      </c>
      <c r="M121" s="38">
        <f ca="1">SUMIFS(F_Inputs_adjusted!M:M,F_Inputs_adjusted!$A:$A,$A121,F_Inputs_adjusted!$B:$B,$B121)</f>
        <v>0</v>
      </c>
      <c r="N121" s="38">
        <f ca="1">SUM(Table1[[#This Row],[2023-24]:[2029-30]])</f>
        <v>0</v>
      </c>
    </row>
    <row r="122" spans="1:14">
      <c r="A122" s="18" t="str">
        <f>F_Inputs!A124</f>
        <v>WSX</v>
      </c>
      <c r="B122" s="18" t="str">
        <f>F_Inputs!B124</f>
        <v>CWW3_007TOT_PR24</v>
      </c>
      <c r="C122" s="18" t="str">
        <f>F_Inputs!C124</f>
        <v>EA/NRW environmental programme wastewater (WINEP/NEP) - Continuous river water quality monitoring (WINEP/NEP) wastewater capex - Total</v>
      </c>
      <c r="D122" s="18" t="str">
        <f>F_Inputs!D124</f>
        <v>£m</v>
      </c>
      <c r="E122" s="18" t="str">
        <f>F_Inputs!E124</f>
        <v>Price Review 2024</v>
      </c>
      <c r="F122" s="38">
        <f ca="1">SUMIFS(F_Inputs_adjusted!P:P,F_Inputs_adjusted!$A:$A,$A122,F_Inputs_adjusted!$B:$B,$B122)</f>
        <v>0</v>
      </c>
      <c r="G122" s="38">
        <f ca="1">SUMIFS(F_Inputs_adjusted!Q:Q,F_Inputs_adjusted!$A:$A,$A122,F_Inputs_adjusted!$B:$B,$B122)</f>
        <v>0</v>
      </c>
      <c r="H122" s="38">
        <f ca="1">SUMIFS(F_Inputs_adjusted!R:R,F_Inputs_adjusted!$A:$A,$A122,F_Inputs_adjusted!$B:$B,$B122)</f>
        <v>9.0309339999999985</v>
      </c>
      <c r="I122" s="38">
        <f ca="1">SUMIFS(F_Inputs_adjusted!S:S,F_Inputs_adjusted!$A:$A,$A122,F_Inputs_adjusted!$B:$B,$B122)</f>
        <v>9.3488150000000001</v>
      </c>
      <c r="J122" s="38">
        <f ca="1">SUMIFS(F_Inputs_adjusted!T:T,F_Inputs_adjusted!$A:$A,$A122,F_Inputs_adjusted!$B:$B,$B122)</f>
        <v>10.235889999999999</v>
      </c>
      <c r="K122" s="38">
        <f ca="1">SUMIFS(F_Inputs_adjusted!U:U,F_Inputs_adjusted!$A:$A,$A122,F_Inputs_adjusted!$B:$B,$B122)</f>
        <v>9.5546430000000004</v>
      </c>
      <c r="L122" s="38">
        <f ca="1">SUMIFS(F_Inputs_adjusted!V:V,F_Inputs_adjusted!$A:$A,$A122,F_Inputs_adjusted!$B:$B,$B122)</f>
        <v>11.518822</v>
      </c>
      <c r="M122" s="38">
        <f ca="1">SUMIFS(F_Inputs_adjusted!M:M,F_Inputs_adjusted!$A:$A,$A122,F_Inputs_adjusted!$B:$B,$B122)</f>
        <v>0</v>
      </c>
      <c r="N122" s="38">
        <f ca="1">SUM(Table1[[#This Row],[2023-24]:[2029-30]])</f>
        <v>49.689103999999993</v>
      </c>
    </row>
    <row r="123" spans="1:14">
      <c r="A123" s="18" t="str">
        <f>F_Inputs!A125</f>
        <v>WSX</v>
      </c>
      <c r="B123" s="18" t="str">
        <f>F_Inputs!B125</f>
        <v>CWW3_008TOT_PR24</v>
      </c>
      <c r="C123" s="18" t="str">
        <f>F_Inputs!C125</f>
        <v>EA/NRW environmental programme wastewater (WINEP/NEP) - Continuous river water quality monitoring (WINEP/NEP) wastewater opex - Total</v>
      </c>
      <c r="D123" s="18" t="str">
        <f>F_Inputs!D125</f>
        <v>£m</v>
      </c>
      <c r="E123" s="18" t="str">
        <f>F_Inputs!E125</f>
        <v>Price Review 2024</v>
      </c>
      <c r="F123" s="38">
        <f ca="1">SUMIFS(F_Inputs_adjusted!P:P,F_Inputs_adjusted!$A:$A,$A123,F_Inputs_adjusted!$B:$B,$B123)</f>
        <v>0</v>
      </c>
      <c r="G123" s="38">
        <f ca="1">SUMIFS(F_Inputs_adjusted!Q:Q,F_Inputs_adjusted!$A:$A,$A123,F_Inputs_adjusted!$B:$B,$B123)</f>
        <v>0</v>
      </c>
      <c r="H123" s="38">
        <f ca="1">SUMIFS(F_Inputs_adjusted!R:R,F_Inputs_adjusted!$A:$A,$A123,F_Inputs_adjusted!$B:$B,$B123)</f>
        <v>0.98157799999999995</v>
      </c>
      <c r="I123" s="38">
        <f ca="1">SUMIFS(F_Inputs_adjusted!S:S,F_Inputs_adjusted!$A:$A,$A123,F_Inputs_adjusted!$B:$B,$B123)</f>
        <v>2.3942929999999998</v>
      </c>
      <c r="J123" s="38">
        <f ca="1">SUMIFS(F_Inputs_adjusted!T:T,F_Inputs_adjusted!$A:$A,$A123,F_Inputs_adjusted!$B:$B,$B123)</f>
        <v>2.3160430000000001</v>
      </c>
      <c r="K123" s="38">
        <f ca="1">SUMIFS(F_Inputs_adjusted!U:U,F_Inputs_adjusted!$A:$A,$A123,F_Inputs_adjusted!$B:$B,$B123)</f>
        <v>2.2070690000000002</v>
      </c>
      <c r="L123" s="38">
        <f ca="1">SUMIFS(F_Inputs_adjusted!V:V,F_Inputs_adjusted!$A:$A,$A123,F_Inputs_adjusted!$B:$B,$B123)</f>
        <v>3.0465270000000002</v>
      </c>
      <c r="M123" s="38">
        <f ca="1">SUMIFS(F_Inputs_adjusted!M:M,F_Inputs_adjusted!$A:$A,$A123,F_Inputs_adjusted!$B:$B,$B123)</f>
        <v>0</v>
      </c>
      <c r="N123" s="38">
        <f ca="1">SUM(Table1[[#This Row],[2023-24]:[2029-30]])</f>
        <v>10.945509999999999</v>
      </c>
    </row>
    <row r="124" spans="1:14">
      <c r="A124" s="18" t="str">
        <f>F_Inputs!A126</f>
        <v>WSX</v>
      </c>
      <c r="B124" s="18" t="str">
        <f>F_Inputs!B126</f>
        <v>CWW3_009TOT_PR24</v>
      </c>
      <c r="C124" s="18" t="str">
        <f>F_Inputs!C126</f>
        <v>EA/NRW environmental programme wastewater (WINEP/NEP) - Continuous river water quality monitoring (WINEP/NEP) wastewater totex - Total</v>
      </c>
      <c r="D124" s="18" t="str">
        <f>F_Inputs!D126</f>
        <v>£m</v>
      </c>
      <c r="E124" s="18" t="str">
        <f>F_Inputs!E126</f>
        <v>Price Review 2024</v>
      </c>
      <c r="F124" s="38">
        <f ca="1">SUMIFS(F_Inputs_adjusted!P:P,F_Inputs_adjusted!$A:$A,$A124,F_Inputs_adjusted!$B:$B,$B124)</f>
        <v>0</v>
      </c>
      <c r="G124" s="38">
        <f ca="1">SUMIFS(F_Inputs_adjusted!Q:Q,F_Inputs_adjusted!$A:$A,$A124,F_Inputs_adjusted!$B:$B,$B124)</f>
        <v>0</v>
      </c>
      <c r="H124" s="38">
        <f ca="1">SUMIFS(F_Inputs_adjusted!R:R,F_Inputs_adjusted!$A:$A,$A124,F_Inputs_adjusted!$B:$B,$B124)</f>
        <v>10.012511999999999</v>
      </c>
      <c r="I124" s="38">
        <f ca="1">SUMIFS(F_Inputs_adjusted!S:S,F_Inputs_adjusted!$A:$A,$A124,F_Inputs_adjusted!$B:$B,$B124)</f>
        <v>11.743107999999999</v>
      </c>
      <c r="J124" s="38">
        <f ca="1">SUMIFS(F_Inputs_adjusted!T:T,F_Inputs_adjusted!$A:$A,$A124,F_Inputs_adjusted!$B:$B,$B124)</f>
        <v>12.551933</v>
      </c>
      <c r="K124" s="38">
        <f ca="1">SUMIFS(F_Inputs_adjusted!U:U,F_Inputs_adjusted!$A:$A,$A124,F_Inputs_adjusted!$B:$B,$B124)</f>
        <v>11.761711999999999</v>
      </c>
      <c r="L124" s="38">
        <f ca="1">SUMIFS(F_Inputs_adjusted!V:V,F_Inputs_adjusted!$A:$A,$A124,F_Inputs_adjusted!$B:$B,$B124)</f>
        <v>14.565348999999999</v>
      </c>
      <c r="M124" s="38">
        <f ca="1">SUMIFS(F_Inputs_adjusted!M:M,F_Inputs_adjusted!$A:$A,$A124,F_Inputs_adjusted!$B:$B,$B124)</f>
        <v>0</v>
      </c>
      <c r="N124" s="38">
        <f ca="1">SUM(Table1[[#This Row],[2023-24]:[2029-30]])</f>
        <v>60.634613999999999</v>
      </c>
    </row>
    <row r="125" spans="1:14">
      <c r="A125" s="18" t="str">
        <f>F_Inputs!A127</f>
        <v>WSX</v>
      </c>
      <c r="B125" s="18" t="str">
        <f>F_Inputs!B127</f>
        <v>CWW20_049_PR24</v>
      </c>
      <c r="C125" s="18" t="str">
        <f>F_Inputs!C127</f>
        <v>Network / Storm overflow data - Number of continuous water quality monitor installations</v>
      </c>
      <c r="D125" s="18" t="str">
        <f>F_Inputs!D127</f>
        <v>nr</v>
      </c>
      <c r="E125" s="18" t="str">
        <f>F_Inputs!E127</f>
        <v>Price Review 2024</v>
      </c>
      <c r="F125" s="38">
        <f ca="1">SUMIFS(F_Inputs_adjusted!P:P,F_Inputs_adjusted!$A:$A,$A125,F_Inputs_adjusted!$B:$B,$B125)</f>
        <v>0</v>
      </c>
      <c r="G125" s="38">
        <f ca="1">SUMIFS(F_Inputs_adjusted!Q:Q,F_Inputs_adjusted!$A:$A,$A125,F_Inputs_adjusted!$B:$B,$B125)</f>
        <v>0</v>
      </c>
      <c r="H125" s="38">
        <f ca="1">SUMIFS(F_Inputs_adjusted!R:R,F_Inputs_adjusted!$A:$A,$A125,F_Inputs_adjusted!$B:$B,$B125)</f>
        <v>10</v>
      </c>
      <c r="I125" s="38">
        <f ca="1">SUMIFS(F_Inputs_adjusted!S:S,F_Inputs_adjusted!$A:$A,$A125,F_Inputs_adjusted!$B:$B,$B125)</f>
        <v>100</v>
      </c>
      <c r="J125" s="38">
        <f ca="1">SUMIFS(F_Inputs_adjusted!T:T,F_Inputs_adjusted!$A:$A,$A125,F_Inputs_adjusted!$B:$B,$B125)</f>
        <v>100</v>
      </c>
      <c r="K125" s="38">
        <f ca="1">SUMIFS(F_Inputs_adjusted!U:U,F_Inputs_adjusted!$A:$A,$A125,F_Inputs_adjusted!$B:$B,$B125)</f>
        <v>120</v>
      </c>
      <c r="L125" s="38">
        <f ca="1">SUMIFS(F_Inputs_adjusted!V:V,F_Inputs_adjusted!$A:$A,$A125,F_Inputs_adjusted!$B:$B,$B125)</f>
        <v>140</v>
      </c>
      <c r="M125" s="38">
        <f ca="1">SUMIFS(F_Inputs_adjusted!M:M,F_Inputs_adjusted!$A:$A,$A125,F_Inputs_adjusted!$B:$B,$B125)</f>
        <v>0</v>
      </c>
      <c r="N125" s="38">
        <f ca="1">SUM(Table1[[#This Row],[2023-24]:[2029-30]])</f>
        <v>470</v>
      </c>
    </row>
    <row r="126" spans="1:14">
      <c r="A126" s="18" t="str">
        <f>F_Inputs!A128</f>
        <v>WSX</v>
      </c>
      <c r="B126" s="18" t="str">
        <f>F_Inputs!B128</f>
        <v>CWW1A_015TOT_PR24</v>
      </c>
      <c r="C126" s="18" t="str">
        <f>F_Inputs!C128</f>
        <v>Net totex - Total</v>
      </c>
      <c r="D126" s="18" t="str">
        <f>F_Inputs!D128</f>
        <v>£m</v>
      </c>
      <c r="E126" s="18" t="str">
        <f>F_Inputs!E128</f>
        <v>Price Review 2024</v>
      </c>
      <c r="F126" s="38">
        <f ca="1">SUMIFS(F_Inputs_adjusted!P:P,F_Inputs_adjusted!$A:$A,$A126,F_Inputs_adjusted!$B:$B,$B126)</f>
        <v>0</v>
      </c>
      <c r="G126" s="38">
        <f ca="1">SUMIFS(F_Inputs_adjusted!Q:Q,F_Inputs_adjusted!$A:$A,$A126,F_Inputs_adjusted!$B:$B,$B126)</f>
        <v>0</v>
      </c>
      <c r="H126" s="38">
        <f ca="1">SUMIFS(F_Inputs_adjusted!R:R,F_Inputs_adjusted!$A:$A,$A126,F_Inputs_adjusted!$B:$B,$B126)</f>
        <v>526.33093822919</v>
      </c>
      <c r="I126" s="38">
        <f ca="1">SUMIFS(F_Inputs_adjusted!S:S,F_Inputs_adjusted!$A:$A,$A126,F_Inputs_adjusted!$B:$B,$B126)</f>
        <v>558.80413455846633</v>
      </c>
      <c r="J126" s="38">
        <f ca="1">SUMIFS(F_Inputs_adjusted!T:T,F_Inputs_adjusted!$A:$A,$A126,F_Inputs_adjusted!$B:$B,$B126)</f>
        <v>575.36301598312627</v>
      </c>
      <c r="K126" s="38">
        <f ca="1">SUMIFS(F_Inputs_adjusted!U:U,F_Inputs_adjusted!$A:$A,$A126,F_Inputs_adjusted!$B:$B,$B126)</f>
        <v>837.08372922394676</v>
      </c>
      <c r="L126" s="38">
        <f ca="1">SUMIFS(F_Inputs_adjusted!V:V,F_Inputs_adjusted!$A:$A,$A126,F_Inputs_adjusted!$B:$B,$B126)</f>
        <v>1152.392571151533</v>
      </c>
      <c r="M126" s="38">
        <f ca="1">SUMIFS(F_Inputs_adjusted!M:M,F_Inputs_adjusted!$A:$A,$A126,F_Inputs_adjusted!$B:$B,$B126)</f>
        <v>0</v>
      </c>
      <c r="N126" s="38">
        <f ca="1">SUM(Table1[[#This Row],[2023-24]:[2029-30]])</f>
        <v>3649.9743891462622</v>
      </c>
    </row>
    <row r="127" spans="1:14">
      <c r="A127" s="18" t="str">
        <f>F_Inputs!A129</f>
        <v>WSX</v>
      </c>
      <c r="B127" s="18" t="str">
        <f>F_Inputs!B129</f>
        <v>PR24_NETTOTEX_WASTE</v>
      </c>
      <c r="C127" s="18" t="str">
        <f>F_Inputs!C129</f>
        <v>PR24 BP Net totex - Total inc. accelerated &amp; transition costs</v>
      </c>
      <c r="D127" s="18" t="str">
        <f>F_Inputs!D129</f>
        <v>£m</v>
      </c>
      <c r="E127" s="18" t="str">
        <f>F_Inputs!E129</f>
        <v>Price Review 2024</v>
      </c>
      <c r="F127" s="38">
        <f ca="1">SUMIFS(F_Inputs_adjusted!P:P,F_Inputs_adjusted!$A:$A,$A127,F_Inputs_adjusted!$B:$B,$B127)</f>
        <v>0</v>
      </c>
      <c r="G127" s="38">
        <f ca="1">SUMIFS(F_Inputs_adjusted!Q:Q,F_Inputs_adjusted!$A:$A,$A127,F_Inputs_adjusted!$B:$B,$B127)</f>
        <v>0</v>
      </c>
      <c r="H127" s="38">
        <f ca="1">SUMIFS(F_Inputs_adjusted!R:R,F_Inputs_adjusted!$A:$A,$A127,F_Inputs_adjusted!$B:$B,$B127)</f>
        <v>0</v>
      </c>
      <c r="I127" s="38">
        <f ca="1">SUMIFS(F_Inputs_adjusted!S:S,F_Inputs_adjusted!$A:$A,$A127,F_Inputs_adjusted!$B:$B,$B127)</f>
        <v>0</v>
      </c>
      <c r="J127" s="38">
        <f ca="1">SUMIFS(F_Inputs_adjusted!T:T,F_Inputs_adjusted!$A:$A,$A127,F_Inputs_adjusted!$B:$B,$B127)</f>
        <v>0</v>
      </c>
      <c r="K127" s="38">
        <f ca="1">SUMIFS(F_Inputs_adjusted!U:U,F_Inputs_adjusted!$A:$A,$A127,F_Inputs_adjusted!$B:$B,$B127)</f>
        <v>0</v>
      </c>
      <c r="L127" s="38">
        <f ca="1">SUMIFS(F_Inputs_adjusted!V:V,F_Inputs_adjusted!$A:$A,$A127,F_Inputs_adjusted!$B:$B,$B127)</f>
        <v>0</v>
      </c>
      <c r="M127" s="38">
        <f ca="1">SUMIFS(F_Inputs_adjusted!M:M,F_Inputs_adjusted!$A:$A,$A127,F_Inputs_adjusted!$B:$B,$B127)</f>
        <v>3717.8809591462623</v>
      </c>
      <c r="N127" s="38">
        <f ca="1">SUM(Table1[[#This Row],[2023-24]:[2029-30]])</f>
        <v>0</v>
      </c>
    </row>
    <row r="128" spans="1:14">
      <c r="A128" s="18" t="str">
        <f>F_Inputs!A130</f>
        <v>WSX</v>
      </c>
      <c r="B128" s="18" t="str">
        <f>F_Inputs!B130</f>
        <v>CWW12_007TOT_PR24</v>
      </c>
      <c r="C128" s="18" t="str">
        <f>F_Inputs!C130</f>
        <v>EA/NRW environmental programme wastewater (WINEP/NEP) - Continuous river water quality monitoring (WINEP/NEP) wastewater capex - Total</v>
      </c>
      <c r="D128" s="18" t="str">
        <f>F_Inputs!D130</f>
        <v>£m</v>
      </c>
      <c r="E128" s="18" t="str">
        <f>F_Inputs!E130</f>
        <v>Price Review 2024</v>
      </c>
      <c r="F128" s="38">
        <f ca="1">SUMIFS(F_Inputs_adjusted!P:P,F_Inputs_adjusted!$A:$A,$A128,F_Inputs_adjusted!$B:$B,$B128)</f>
        <v>0.17294799999999999</v>
      </c>
      <c r="G128" s="38">
        <f ca="1">SUMIFS(F_Inputs_adjusted!Q:Q,F_Inputs_adjusted!$A:$A,$A128,F_Inputs_adjusted!$B:$B,$B128)</f>
        <v>1.662501</v>
      </c>
      <c r="H128" s="38">
        <f ca="1">SUMIFS(F_Inputs_adjusted!R:R,F_Inputs_adjusted!$A:$A,$A128,F_Inputs_adjusted!$B:$B,$B128)</f>
        <v>0</v>
      </c>
      <c r="I128" s="38">
        <f ca="1">SUMIFS(F_Inputs_adjusted!S:S,F_Inputs_adjusted!$A:$A,$A128,F_Inputs_adjusted!$B:$B,$B128)</f>
        <v>0</v>
      </c>
      <c r="J128" s="38">
        <f ca="1">SUMIFS(F_Inputs_adjusted!T:T,F_Inputs_adjusted!$A:$A,$A128,F_Inputs_adjusted!$B:$B,$B128)</f>
        <v>0</v>
      </c>
      <c r="K128" s="38">
        <f ca="1">SUMIFS(F_Inputs_adjusted!U:U,F_Inputs_adjusted!$A:$A,$A128,F_Inputs_adjusted!$B:$B,$B128)</f>
        <v>0</v>
      </c>
      <c r="L128" s="38">
        <f ca="1">SUMIFS(F_Inputs_adjusted!V:V,F_Inputs_adjusted!$A:$A,$A128,F_Inputs_adjusted!$B:$B,$B128)</f>
        <v>0</v>
      </c>
      <c r="M128" s="38">
        <f ca="1">SUMIFS(F_Inputs_adjusted!M:M,F_Inputs_adjusted!$A:$A,$A128,F_Inputs_adjusted!$B:$B,$B128)</f>
        <v>0</v>
      </c>
      <c r="N128" s="38">
        <f ca="1">SUM(Table1[[#This Row],[2023-24]:[2029-30]])</f>
        <v>1.8354490000000001</v>
      </c>
    </row>
    <row r="129" spans="1:14">
      <c r="A129" s="18" t="str">
        <f>F_Inputs!A131</f>
        <v>WSX</v>
      </c>
      <c r="B129" s="18" t="str">
        <f>F_Inputs!B131</f>
        <v>CWW12_008TOT_PR24</v>
      </c>
      <c r="C129" s="18" t="str">
        <f>F_Inputs!C131</f>
        <v>EA/NRW environmental programme wastewater (WINEP/NEP) - Continuous river water quality monitoring (WINEP/NEP) wastewater opex - Total</v>
      </c>
      <c r="D129" s="18" t="str">
        <f>F_Inputs!D131</f>
        <v>£m</v>
      </c>
      <c r="E129" s="18" t="str">
        <f>F_Inputs!E131</f>
        <v>Price Review 2024</v>
      </c>
      <c r="F129" s="38">
        <f ca="1">SUMIFS(F_Inputs_adjusted!P:P,F_Inputs_adjusted!$A:$A,$A129,F_Inputs_adjusted!$B:$B,$B129)</f>
        <v>0</v>
      </c>
      <c r="G129" s="38">
        <f ca="1">SUMIFS(F_Inputs_adjusted!Q:Q,F_Inputs_adjusted!$A:$A,$A129,F_Inputs_adjusted!$B:$B,$B129)</f>
        <v>0.12524299999999999</v>
      </c>
      <c r="H129" s="38">
        <f ca="1">SUMIFS(F_Inputs_adjusted!R:R,F_Inputs_adjusted!$A:$A,$A129,F_Inputs_adjusted!$B:$B,$B129)</f>
        <v>0</v>
      </c>
      <c r="I129" s="38">
        <f ca="1">SUMIFS(F_Inputs_adjusted!S:S,F_Inputs_adjusted!$A:$A,$A129,F_Inputs_adjusted!$B:$B,$B129)</f>
        <v>0</v>
      </c>
      <c r="J129" s="38">
        <f ca="1">SUMIFS(F_Inputs_adjusted!T:T,F_Inputs_adjusted!$A:$A,$A129,F_Inputs_adjusted!$B:$B,$B129)</f>
        <v>0</v>
      </c>
      <c r="K129" s="38">
        <f ca="1">SUMIFS(F_Inputs_adjusted!U:U,F_Inputs_adjusted!$A:$A,$A129,F_Inputs_adjusted!$B:$B,$B129)</f>
        <v>0</v>
      </c>
      <c r="L129" s="38">
        <f ca="1">SUMIFS(F_Inputs_adjusted!V:V,F_Inputs_adjusted!$A:$A,$A129,F_Inputs_adjusted!$B:$B,$B129)</f>
        <v>0</v>
      </c>
      <c r="M129" s="38">
        <f ca="1">SUMIFS(F_Inputs_adjusted!M:M,F_Inputs_adjusted!$A:$A,$A129,F_Inputs_adjusted!$B:$B,$B129)</f>
        <v>0</v>
      </c>
      <c r="N129" s="38">
        <f ca="1">SUM(Table1[[#This Row],[2023-24]:[2029-30]])</f>
        <v>0.12524299999999999</v>
      </c>
    </row>
    <row r="130" spans="1:14">
      <c r="A130" s="18" t="str">
        <f>F_Inputs!A132</f>
        <v>WSX</v>
      </c>
      <c r="B130" s="18" t="str">
        <f>F_Inputs!B132</f>
        <v>CWW12_009TOT_PR24</v>
      </c>
      <c r="C130" s="18" t="str">
        <f>F_Inputs!C132</f>
        <v>EA/NRW environmental programme wastewater (WINEP/NEP) - Continuous river water quality monitoring (WINEP/NEP) wastewater totex - Total</v>
      </c>
      <c r="D130" s="18" t="str">
        <f>F_Inputs!D132</f>
        <v>£m</v>
      </c>
      <c r="E130" s="18" t="str">
        <f>F_Inputs!E132</f>
        <v>Price Review 2024</v>
      </c>
      <c r="F130" s="38">
        <f ca="1">SUMIFS(F_Inputs_adjusted!P:P,F_Inputs_adjusted!$A:$A,$A130,F_Inputs_adjusted!$B:$B,$B130)</f>
        <v>0.17294799999999999</v>
      </c>
      <c r="G130" s="38">
        <f ca="1">SUMIFS(F_Inputs_adjusted!Q:Q,F_Inputs_adjusted!$A:$A,$A130,F_Inputs_adjusted!$B:$B,$B130)</f>
        <v>1.787744</v>
      </c>
      <c r="H130" s="38">
        <f ca="1">SUMIFS(F_Inputs_adjusted!R:R,F_Inputs_adjusted!$A:$A,$A130,F_Inputs_adjusted!$B:$B,$B130)</f>
        <v>0</v>
      </c>
      <c r="I130" s="38">
        <f ca="1">SUMIFS(F_Inputs_adjusted!S:S,F_Inputs_adjusted!$A:$A,$A130,F_Inputs_adjusted!$B:$B,$B130)</f>
        <v>0</v>
      </c>
      <c r="J130" s="38">
        <f ca="1">SUMIFS(F_Inputs_adjusted!T:T,F_Inputs_adjusted!$A:$A,$A130,F_Inputs_adjusted!$B:$B,$B130)</f>
        <v>0</v>
      </c>
      <c r="K130" s="38">
        <f ca="1">SUMIFS(F_Inputs_adjusted!U:U,F_Inputs_adjusted!$A:$A,$A130,F_Inputs_adjusted!$B:$B,$B130)</f>
        <v>0</v>
      </c>
      <c r="L130" s="38">
        <f ca="1">SUMIFS(F_Inputs_adjusted!V:V,F_Inputs_adjusted!$A:$A,$A130,F_Inputs_adjusted!$B:$B,$B130)</f>
        <v>0</v>
      </c>
      <c r="M130" s="38">
        <f ca="1">SUMIFS(F_Inputs_adjusted!M:M,F_Inputs_adjusted!$A:$A,$A130,F_Inputs_adjusted!$B:$B,$B130)</f>
        <v>0</v>
      </c>
      <c r="N130" s="38">
        <f ca="1">SUM(Table1[[#This Row],[2023-24]:[2029-30]])</f>
        <v>1.9606919999999999</v>
      </c>
    </row>
    <row r="131" spans="1:14">
      <c r="A131" s="18" t="str">
        <f>F_Inputs!A133</f>
        <v>WSX</v>
      </c>
      <c r="B131" s="18" t="str">
        <f>F_Inputs!B133</f>
        <v>CWW17_007TOT_PR24</v>
      </c>
      <c r="C131" s="18" t="str">
        <f>F_Inputs!C133</f>
        <v>EA/NRW environmental programme wastewater (WINEP/NEP) - Continuous river water quality monitoring (WINEP/NEP) wastewater capex - Total</v>
      </c>
      <c r="D131" s="18" t="str">
        <f>F_Inputs!D133</f>
        <v>£m</v>
      </c>
      <c r="E131" s="18" t="str">
        <f>F_Inputs!E133</f>
        <v>Price Review 2024</v>
      </c>
      <c r="F131" s="38">
        <f ca="1">SUMIFS(F_Inputs_adjusted!P:P,F_Inputs_adjusted!$A:$A,$A131,F_Inputs_adjusted!$B:$B,$B131)</f>
        <v>0</v>
      </c>
      <c r="G131" s="38">
        <f ca="1">SUMIFS(F_Inputs_adjusted!Q:Q,F_Inputs_adjusted!$A:$A,$A131,F_Inputs_adjusted!$B:$B,$B131)</f>
        <v>0</v>
      </c>
      <c r="H131" s="38">
        <f ca="1">SUMIFS(F_Inputs_adjusted!R:R,F_Inputs_adjusted!$A:$A,$A131,F_Inputs_adjusted!$B:$B,$B131)</f>
        <v>0</v>
      </c>
      <c r="I131" s="38">
        <f ca="1">SUMIFS(F_Inputs_adjusted!S:S,F_Inputs_adjusted!$A:$A,$A131,F_Inputs_adjusted!$B:$B,$B131)</f>
        <v>0</v>
      </c>
      <c r="J131" s="38">
        <f ca="1">SUMIFS(F_Inputs_adjusted!T:T,F_Inputs_adjusted!$A:$A,$A131,F_Inputs_adjusted!$B:$B,$B131)</f>
        <v>0</v>
      </c>
      <c r="K131" s="38">
        <f ca="1">SUMIFS(F_Inputs_adjusted!U:U,F_Inputs_adjusted!$A:$A,$A131,F_Inputs_adjusted!$B:$B,$B131)</f>
        <v>0</v>
      </c>
      <c r="L131" s="38">
        <f ca="1">SUMIFS(F_Inputs_adjusted!V:V,F_Inputs_adjusted!$A:$A,$A131,F_Inputs_adjusted!$B:$B,$B131)</f>
        <v>0</v>
      </c>
      <c r="M131" s="38">
        <f ca="1">SUMIFS(F_Inputs_adjusted!M:M,F_Inputs_adjusted!$A:$A,$A131,F_Inputs_adjusted!$B:$B,$B131)</f>
        <v>0</v>
      </c>
      <c r="N131" s="38">
        <f ca="1">SUM(Table1[[#This Row],[2023-24]:[2029-30]])</f>
        <v>0</v>
      </c>
    </row>
    <row r="132" spans="1:14">
      <c r="A132" s="18" t="str">
        <f>F_Inputs!A134</f>
        <v>WSX</v>
      </c>
      <c r="B132" s="18" t="str">
        <f>F_Inputs!B134</f>
        <v>CWW17_008TOT_PR24</v>
      </c>
      <c r="C132" s="18" t="str">
        <f>F_Inputs!C134</f>
        <v>EA/NRW environmental programme wastewater (WINEP/NEP) - Continuous river water quality monitoring (WINEP/NEP) wastewater opex - Total</v>
      </c>
      <c r="D132" s="18" t="str">
        <f>F_Inputs!D134</f>
        <v>£m</v>
      </c>
      <c r="E132" s="18" t="str">
        <f>F_Inputs!E134</f>
        <v>Price Review 2024</v>
      </c>
      <c r="F132" s="38">
        <f ca="1">SUMIFS(F_Inputs_adjusted!P:P,F_Inputs_adjusted!$A:$A,$A132,F_Inputs_adjusted!$B:$B,$B132)</f>
        <v>0</v>
      </c>
      <c r="G132" s="38">
        <f ca="1">SUMIFS(F_Inputs_adjusted!Q:Q,F_Inputs_adjusted!$A:$A,$A132,F_Inputs_adjusted!$B:$B,$B132)</f>
        <v>0</v>
      </c>
      <c r="H132" s="38">
        <f ca="1">SUMIFS(F_Inputs_adjusted!R:R,F_Inputs_adjusted!$A:$A,$A132,F_Inputs_adjusted!$B:$B,$B132)</f>
        <v>0</v>
      </c>
      <c r="I132" s="38">
        <f ca="1">SUMIFS(F_Inputs_adjusted!S:S,F_Inputs_adjusted!$A:$A,$A132,F_Inputs_adjusted!$B:$B,$B132)</f>
        <v>0</v>
      </c>
      <c r="J132" s="38">
        <f ca="1">SUMIFS(F_Inputs_adjusted!T:T,F_Inputs_adjusted!$A:$A,$A132,F_Inputs_adjusted!$B:$B,$B132)</f>
        <v>0</v>
      </c>
      <c r="K132" s="38">
        <f ca="1">SUMIFS(F_Inputs_adjusted!U:U,F_Inputs_adjusted!$A:$A,$A132,F_Inputs_adjusted!$B:$B,$B132)</f>
        <v>0</v>
      </c>
      <c r="L132" s="38">
        <f ca="1">SUMIFS(F_Inputs_adjusted!V:V,F_Inputs_adjusted!$A:$A,$A132,F_Inputs_adjusted!$B:$B,$B132)</f>
        <v>0</v>
      </c>
      <c r="M132" s="38">
        <f ca="1">SUMIFS(F_Inputs_adjusted!M:M,F_Inputs_adjusted!$A:$A,$A132,F_Inputs_adjusted!$B:$B,$B132)</f>
        <v>0</v>
      </c>
      <c r="N132" s="38">
        <f ca="1">SUM(Table1[[#This Row],[2023-24]:[2029-30]])</f>
        <v>0</v>
      </c>
    </row>
    <row r="133" spans="1:14">
      <c r="A133" s="18" t="str">
        <f>F_Inputs!A135</f>
        <v>WSX</v>
      </c>
      <c r="B133" s="18" t="str">
        <f>F_Inputs!B135</f>
        <v>CWW17_009TOT_PR24</v>
      </c>
      <c r="C133" s="18" t="str">
        <f>F_Inputs!C135</f>
        <v>EA/NRW environmental programme wastewater (WINEP/NEP) - Continuous river water quality monitoring (WINEP/NEP) wastewater totex - Total</v>
      </c>
      <c r="D133" s="18" t="str">
        <f>F_Inputs!D135</f>
        <v>£m</v>
      </c>
      <c r="E133" s="18" t="str">
        <f>F_Inputs!E135</f>
        <v>Price Review 2024</v>
      </c>
      <c r="F133" s="38">
        <f ca="1">SUMIFS(F_Inputs_adjusted!P:P,F_Inputs_adjusted!$A:$A,$A133,F_Inputs_adjusted!$B:$B,$B133)</f>
        <v>0</v>
      </c>
      <c r="G133" s="38">
        <f ca="1">SUMIFS(F_Inputs_adjusted!Q:Q,F_Inputs_adjusted!$A:$A,$A133,F_Inputs_adjusted!$B:$B,$B133)</f>
        <v>0</v>
      </c>
      <c r="H133" s="38">
        <f ca="1">SUMIFS(F_Inputs_adjusted!R:R,F_Inputs_adjusted!$A:$A,$A133,F_Inputs_adjusted!$B:$B,$B133)</f>
        <v>0</v>
      </c>
      <c r="I133" s="38">
        <f ca="1">SUMIFS(F_Inputs_adjusted!S:S,F_Inputs_adjusted!$A:$A,$A133,F_Inputs_adjusted!$B:$B,$B133)</f>
        <v>0</v>
      </c>
      <c r="J133" s="38">
        <f ca="1">SUMIFS(F_Inputs_adjusted!T:T,F_Inputs_adjusted!$A:$A,$A133,F_Inputs_adjusted!$B:$B,$B133)</f>
        <v>0</v>
      </c>
      <c r="K133" s="38">
        <f ca="1">SUMIFS(F_Inputs_adjusted!U:U,F_Inputs_adjusted!$A:$A,$A133,F_Inputs_adjusted!$B:$B,$B133)</f>
        <v>0</v>
      </c>
      <c r="L133" s="38">
        <f ca="1">SUMIFS(F_Inputs_adjusted!V:V,F_Inputs_adjusted!$A:$A,$A133,F_Inputs_adjusted!$B:$B,$B133)</f>
        <v>0</v>
      </c>
      <c r="M133" s="38">
        <f ca="1">SUMIFS(F_Inputs_adjusted!M:M,F_Inputs_adjusted!$A:$A,$A133,F_Inputs_adjusted!$B:$B,$B133)</f>
        <v>0</v>
      </c>
      <c r="N133" s="38">
        <f ca="1">SUM(Table1[[#This Row],[2023-24]:[2029-30]])</f>
        <v>0</v>
      </c>
    </row>
    <row r="134" spans="1:14">
      <c r="A134" s="18" t="str">
        <f>F_Inputs!A136</f>
        <v>WSX</v>
      </c>
      <c r="B134" s="18" t="str">
        <f>F_Inputs!B136</f>
        <v>CWW20A_049_PR24</v>
      </c>
      <c r="C134" s="18" t="str">
        <f>F_Inputs!C136</f>
        <v>Network / Storm overflow data - Number of continuous water quality monitor installations</v>
      </c>
      <c r="D134" s="18" t="str">
        <f>F_Inputs!D136</f>
        <v>nr</v>
      </c>
      <c r="E134" s="18" t="str">
        <f>F_Inputs!E136</f>
        <v>Price Review 2024</v>
      </c>
      <c r="F134" s="38">
        <f ca="1">SUMIFS(F_Inputs_adjusted!P:P,F_Inputs_adjusted!$A:$A,$A134,F_Inputs_adjusted!$B:$B,$B134)</f>
        <v>0</v>
      </c>
      <c r="G134" s="38">
        <f ca="1">SUMIFS(F_Inputs_adjusted!Q:Q,F_Inputs_adjusted!$A:$A,$A134,F_Inputs_adjusted!$B:$B,$B134)</f>
        <v>0</v>
      </c>
      <c r="H134" s="38">
        <f ca="1">SUMIFS(F_Inputs_adjusted!R:R,F_Inputs_adjusted!$A:$A,$A134,F_Inputs_adjusted!$B:$B,$B134)</f>
        <v>0</v>
      </c>
      <c r="I134" s="38">
        <f ca="1">SUMIFS(F_Inputs_adjusted!S:S,F_Inputs_adjusted!$A:$A,$A134,F_Inputs_adjusted!$B:$B,$B134)</f>
        <v>0</v>
      </c>
      <c r="J134" s="38">
        <f ca="1">SUMIFS(F_Inputs_adjusted!T:T,F_Inputs_adjusted!$A:$A,$A134,F_Inputs_adjusted!$B:$B,$B134)</f>
        <v>0</v>
      </c>
      <c r="K134" s="38">
        <f ca="1">SUMIFS(F_Inputs_adjusted!U:U,F_Inputs_adjusted!$A:$A,$A134,F_Inputs_adjusted!$B:$B,$B134)</f>
        <v>0</v>
      </c>
      <c r="L134" s="38">
        <f ca="1">SUMIFS(F_Inputs_adjusted!V:V,F_Inputs_adjusted!$A:$A,$A134,F_Inputs_adjusted!$B:$B,$B134)</f>
        <v>0</v>
      </c>
      <c r="M134" s="38">
        <f ca="1">SUMIFS(F_Inputs_adjusted!M:M,F_Inputs_adjusted!$A:$A,$A134,F_Inputs_adjusted!$B:$B,$B134)</f>
        <v>0</v>
      </c>
      <c r="N134" s="38">
        <f ca="1">SUM(Table1[[#This Row],[2023-24]:[2029-30]])</f>
        <v>0</v>
      </c>
    </row>
    <row r="135" spans="1:14">
      <c r="A135" s="18" t="str">
        <f>F_Inputs!A137</f>
        <v>YKY</v>
      </c>
      <c r="B135" s="18" t="str">
        <f>F_Inputs!B137</f>
        <v>CWW3_007TOT_PR24</v>
      </c>
      <c r="C135" s="18" t="str">
        <f>F_Inputs!C137</f>
        <v>EA/NRW environmental programme wastewater (WINEP/NEP) - Continuous river water quality monitoring (WINEP/NEP) wastewater capex - Total</v>
      </c>
      <c r="D135" s="18" t="str">
        <f>F_Inputs!D137</f>
        <v>£m</v>
      </c>
      <c r="E135" s="18" t="str">
        <f>F_Inputs!E137</f>
        <v>Price Review 2024</v>
      </c>
      <c r="F135" s="38">
        <f ca="1">SUMIFS(F_Inputs_adjusted!P:P,F_Inputs_adjusted!$A:$A,$A135,F_Inputs_adjusted!$B:$B,$B135)</f>
        <v>0</v>
      </c>
      <c r="G135" s="38">
        <f ca="1">SUMIFS(F_Inputs_adjusted!Q:Q,F_Inputs_adjusted!$A:$A,$A135,F_Inputs_adjusted!$B:$B,$B135)</f>
        <v>0</v>
      </c>
      <c r="H135" s="38">
        <f ca="1">SUMIFS(F_Inputs_adjusted!R:R,F_Inputs_adjusted!$A:$A,$A135,F_Inputs_adjusted!$B:$B,$B135)</f>
        <v>2.1726719999999999</v>
      </c>
      <c r="I135" s="38">
        <f ca="1">SUMIFS(F_Inputs_adjusted!S:S,F_Inputs_adjusted!$A:$A,$A135,F_Inputs_adjusted!$B:$B,$B135)</f>
        <v>4.050376</v>
      </c>
      <c r="J135" s="38">
        <f ca="1">SUMIFS(F_Inputs_adjusted!T:T,F_Inputs_adjusted!$A:$A,$A135,F_Inputs_adjusted!$B:$B,$B135)</f>
        <v>14.1244672</v>
      </c>
      <c r="K135" s="38">
        <f ca="1">SUMIFS(F_Inputs_adjusted!U:U,F_Inputs_adjusted!$A:$A,$A135,F_Inputs_adjusted!$B:$B,$B135)</f>
        <v>26.174924799999999</v>
      </c>
      <c r="L135" s="38">
        <f ca="1">SUMIFS(F_Inputs_adjusted!V:V,F_Inputs_adjusted!$A:$A,$A135,F_Inputs_adjusted!$B:$B,$B135)</f>
        <v>26.174924799999999</v>
      </c>
      <c r="M135" s="38">
        <f ca="1">SUMIFS(F_Inputs_adjusted!M:M,F_Inputs_adjusted!$A:$A,$A135,F_Inputs_adjusted!$B:$B,$B135)</f>
        <v>0</v>
      </c>
      <c r="N135" s="38">
        <f ca="1">SUM(Table1[[#This Row],[2023-24]:[2029-30]])</f>
        <v>72.697364800000003</v>
      </c>
    </row>
    <row r="136" spans="1:14">
      <c r="A136" s="18" t="str">
        <f>F_Inputs!A138</f>
        <v>YKY</v>
      </c>
      <c r="B136" s="18" t="str">
        <f>F_Inputs!B138</f>
        <v>CWW3_008TOT_PR24</v>
      </c>
      <c r="C136" s="18" t="str">
        <f>F_Inputs!C138</f>
        <v>EA/NRW environmental programme wastewater (WINEP/NEP) - Continuous river water quality monitoring (WINEP/NEP) wastewater opex - Total</v>
      </c>
      <c r="D136" s="18" t="str">
        <f>F_Inputs!D138</f>
        <v>£m</v>
      </c>
      <c r="E136" s="18" t="str">
        <f>F_Inputs!E138</f>
        <v>Price Review 2024</v>
      </c>
      <c r="F136" s="38">
        <f ca="1">SUMIFS(F_Inputs_adjusted!P:P,F_Inputs_adjusted!$A:$A,$A136,F_Inputs_adjusted!$B:$B,$B136)</f>
        <v>0</v>
      </c>
      <c r="G136" s="38">
        <f ca="1">SUMIFS(F_Inputs_adjusted!Q:Q,F_Inputs_adjusted!$A:$A,$A136,F_Inputs_adjusted!$B:$B,$B136)</f>
        <v>0</v>
      </c>
      <c r="H136" s="38">
        <f ca="1">SUMIFS(F_Inputs_adjusted!R:R,F_Inputs_adjusted!$A:$A,$A136,F_Inputs_adjusted!$B:$B,$B136)</f>
        <v>2.624000000000001</v>
      </c>
      <c r="I136" s="38">
        <f ca="1">SUMIFS(F_Inputs_adjusted!S:S,F_Inputs_adjusted!$A:$A,$A136,F_Inputs_adjusted!$B:$B,$B136)</f>
        <v>2.6823055999999998</v>
      </c>
      <c r="J136" s="38">
        <f ca="1">SUMIFS(F_Inputs_adjusted!T:T,F_Inputs_adjusted!$A:$A,$A136,F_Inputs_adjusted!$B:$B,$B136)</f>
        <v>1.6594176</v>
      </c>
      <c r="K136" s="38">
        <f ca="1">SUMIFS(F_Inputs_adjusted!U:U,F_Inputs_adjusted!$A:$A,$A136,F_Inputs_adjusted!$B:$B,$B136)</f>
        <v>5.4253824000000002</v>
      </c>
      <c r="L136" s="38">
        <f ca="1">SUMIFS(F_Inputs_adjusted!V:V,F_Inputs_adjusted!$A:$A,$A136,F_Inputs_adjusted!$B:$B,$B136)</f>
        <v>12.4052224</v>
      </c>
      <c r="M136" s="38">
        <f ca="1">SUMIFS(F_Inputs_adjusted!M:M,F_Inputs_adjusted!$A:$A,$A136,F_Inputs_adjusted!$B:$B,$B136)</f>
        <v>0</v>
      </c>
      <c r="N136" s="38">
        <f ca="1">SUM(Table1[[#This Row],[2023-24]:[2029-30]])</f>
        <v>24.796328000000003</v>
      </c>
    </row>
    <row r="137" spans="1:14">
      <c r="A137" s="18" t="str">
        <f>F_Inputs!A139</f>
        <v>YKY</v>
      </c>
      <c r="B137" s="18" t="str">
        <f>F_Inputs!B139</f>
        <v>CWW3_009TOT_PR24</v>
      </c>
      <c r="C137" s="18" t="str">
        <f>F_Inputs!C139</f>
        <v>EA/NRW environmental programme wastewater (WINEP/NEP) - Continuous river water quality monitoring (WINEP/NEP) wastewater totex - Total</v>
      </c>
      <c r="D137" s="18" t="str">
        <f>F_Inputs!D139</f>
        <v>£m</v>
      </c>
      <c r="E137" s="18" t="str">
        <f>F_Inputs!E139</f>
        <v>Price Review 2024</v>
      </c>
      <c r="F137" s="38">
        <f ca="1">SUMIFS(F_Inputs_adjusted!P:P,F_Inputs_adjusted!$A:$A,$A137,F_Inputs_adjusted!$B:$B,$B137)</f>
        <v>0</v>
      </c>
      <c r="G137" s="38">
        <f ca="1">SUMIFS(F_Inputs_adjusted!Q:Q,F_Inputs_adjusted!$A:$A,$A137,F_Inputs_adjusted!$B:$B,$B137)</f>
        <v>0</v>
      </c>
      <c r="H137" s="38">
        <f ca="1">SUMIFS(F_Inputs_adjusted!R:R,F_Inputs_adjusted!$A:$A,$A137,F_Inputs_adjusted!$B:$B,$B137)</f>
        <v>4.796672</v>
      </c>
      <c r="I137" s="38">
        <f ca="1">SUMIFS(F_Inputs_adjusted!S:S,F_Inputs_adjusted!$A:$A,$A137,F_Inputs_adjusted!$B:$B,$B137)</f>
        <v>6.7326816000000003</v>
      </c>
      <c r="J137" s="38">
        <f ca="1">SUMIFS(F_Inputs_adjusted!T:T,F_Inputs_adjusted!$A:$A,$A137,F_Inputs_adjusted!$B:$B,$B137)</f>
        <v>15.783884799999999</v>
      </c>
      <c r="K137" s="38">
        <f ca="1">SUMIFS(F_Inputs_adjusted!U:U,F_Inputs_adjusted!$A:$A,$A137,F_Inputs_adjusted!$B:$B,$B137)</f>
        <v>31.6003072</v>
      </c>
      <c r="L137" s="38">
        <f ca="1">SUMIFS(F_Inputs_adjusted!V:V,F_Inputs_adjusted!$A:$A,$A137,F_Inputs_adjusted!$B:$B,$B137)</f>
        <v>38.580147199999999</v>
      </c>
      <c r="M137" s="38">
        <f ca="1">SUMIFS(F_Inputs_adjusted!M:M,F_Inputs_adjusted!$A:$A,$A137,F_Inputs_adjusted!$B:$B,$B137)</f>
        <v>0</v>
      </c>
      <c r="N137" s="38">
        <f ca="1">SUM(Table1[[#This Row],[2023-24]:[2029-30]])</f>
        <v>97.493692799999991</v>
      </c>
    </row>
    <row r="138" spans="1:14">
      <c r="A138" s="18" t="str">
        <f>F_Inputs!A140</f>
        <v>YKY</v>
      </c>
      <c r="B138" s="18" t="str">
        <f>F_Inputs!B140</f>
        <v>CWW20_049_PR24</v>
      </c>
      <c r="C138" s="18" t="str">
        <f>F_Inputs!C140</f>
        <v>Network / Storm overflow data - Number of continuous water quality monitor installations</v>
      </c>
      <c r="D138" s="18" t="str">
        <f>F_Inputs!D140</f>
        <v>nr</v>
      </c>
      <c r="E138" s="18" t="str">
        <f>F_Inputs!E140</f>
        <v>Price Review 2024</v>
      </c>
      <c r="F138" s="38">
        <f ca="1">SUMIFS(F_Inputs_adjusted!P:P,F_Inputs_adjusted!$A:$A,$A138,F_Inputs_adjusted!$B:$B,$B138)</f>
        <v>0</v>
      </c>
      <c r="G138" s="38">
        <f ca="1">SUMIFS(F_Inputs_adjusted!Q:Q,F_Inputs_adjusted!$A:$A,$A138,F_Inputs_adjusted!$B:$B,$B138)</f>
        <v>0</v>
      </c>
      <c r="H138" s="38">
        <f ca="1">SUMIFS(F_Inputs_adjusted!R:R,F_Inputs_adjusted!$A:$A,$A138,F_Inputs_adjusted!$B:$B,$B138)</f>
        <v>22</v>
      </c>
      <c r="I138" s="38">
        <f ca="1">SUMIFS(F_Inputs_adjusted!S:S,F_Inputs_adjusted!$A:$A,$A138,F_Inputs_adjusted!$B:$B,$B138)</f>
        <v>41</v>
      </c>
      <c r="J138" s="38">
        <f ca="1">SUMIFS(F_Inputs_adjusted!T:T,F_Inputs_adjusted!$A:$A,$A138,F_Inputs_adjusted!$B:$B,$B138)</f>
        <v>143</v>
      </c>
      <c r="K138" s="38">
        <f ca="1">SUMIFS(F_Inputs_adjusted!U:U,F_Inputs_adjusted!$A:$A,$A138,F_Inputs_adjusted!$B:$B,$B138)</f>
        <v>265</v>
      </c>
      <c r="L138" s="38">
        <f ca="1">SUMIFS(F_Inputs_adjusted!V:V,F_Inputs_adjusted!$A:$A,$A138,F_Inputs_adjusted!$B:$B,$B138)</f>
        <v>265</v>
      </c>
      <c r="M138" s="38">
        <f ca="1">SUMIFS(F_Inputs_adjusted!M:M,F_Inputs_adjusted!$A:$A,$A138,F_Inputs_adjusted!$B:$B,$B138)</f>
        <v>0</v>
      </c>
      <c r="N138" s="38">
        <f ca="1">SUM(Table1[[#This Row],[2023-24]:[2029-30]])</f>
        <v>736</v>
      </c>
    </row>
    <row r="139" spans="1:14">
      <c r="A139" s="18" t="str">
        <f>F_Inputs!A141</f>
        <v>YKY</v>
      </c>
      <c r="B139" s="18" t="str">
        <f>F_Inputs!B141</f>
        <v>CWW1A_015TOT_PR24</v>
      </c>
      <c r="C139" s="18" t="str">
        <f>F_Inputs!C141</f>
        <v>Net totex - Total</v>
      </c>
      <c r="D139" s="18" t="str">
        <f>F_Inputs!D141</f>
        <v>£m</v>
      </c>
      <c r="E139" s="18" t="str">
        <f>F_Inputs!E141</f>
        <v>Price Review 2024</v>
      </c>
      <c r="F139" s="38">
        <f ca="1">SUMIFS(F_Inputs_adjusted!P:P,F_Inputs_adjusted!$A:$A,$A139,F_Inputs_adjusted!$B:$B,$B139)</f>
        <v>0</v>
      </c>
      <c r="G139" s="38">
        <f ca="1">SUMIFS(F_Inputs_adjusted!Q:Q,F_Inputs_adjusted!$A:$A,$A139,F_Inputs_adjusted!$B:$B,$B139)</f>
        <v>0</v>
      </c>
      <c r="H139" s="38">
        <f ca="1">SUMIFS(F_Inputs_adjusted!R:R,F_Inputs_adjusted!$A:$A,$A139,F_Inputs_adjusted!$B:$B,$B139)</f>
        <v>862.90684243736268</v>
      </c>
      <c r="I139" s="38">
        <f ca="1">SUMIFS(F_Inputs_adjusted!S:S,F_Inputs_adjusted!$A:$A,$A139,F_Inputs_adjusted!$B:$B,$B139)</f>
        <v>1023.836972489322</v>
      </c>
      <c r="J139" s="38">
        <f ca="1">SUMIFS(F_Inputs_adjusted!T:T,F_Inputs_adjusted!$A:$A,$A139,F_Inputs_adjusted!$B:$B,$B139)</f>
        <v>974.11492033814147</v>
      </c>
      <c r="K139" s="38">
        <f ca="1">SUMIFS(F_Inputs_adjusted!U:U,F_Inputs_adjusted!$A:$A,$A139,F_Inputs_adjusted!$B:$B,$B139)</f>
        <v>886.57950053133004</v>
      </c>
      <c r="L139" s="38">
        <f ca="1">SUMIFS(F_Inputs_adjusted!V:V,F_Inputs_adjusted!$A:$A,$A139,F_Inputs_adjusted!$B:$B,$B139)</f>
        <v>783.01520971339971</v>
      </c>
      <c r="M139" s="38">
        <f ca="1">SUMIFS(F_Inputs_adjusted!M:M,F_Inputs_adjusted!$A:$A,$A139,F_Inputs_adjusted!$B:$B,$B139)</f>
        <v>0</v>
      </c>
      <c r="N139" s="38">
        <f ca="1">SUM(Table1[[#This Row],[2023-24]:[2029-30]])</f>
        <v>4530.4534455095554</v>
      </c>
    </row>
    <row r="140" spans="1:14">
      <c r="A140" s="18" t="str">
        <f>F_Inputs!A142</f>
        <v>YKY</v>
      </c>
      <c r="B140" s="18" t="str">
        <f>F_Inputs!B142</f>
        <v>PR24_NETTOTEX_WASTE</v>
      </c>
      <c r="C140" s="18" t="str">
        <f>F_Inputs!C142</f>
        <v>PR24 BP Net totex - Total inc. accelerated &amp; transition costs</v>
      </c>
      <c r="D140" s="18" t="str">
        <f>F_Inputs!D142</f>
        <v>£m</v>
      </c>
      <c r="E140" s="18" t="str">
        <f>F_Inputs!E142</f>
        <v>Price Review 2024</v>
      </c>
      <c r="F140" s="38">
        <f ca="1">SUMIFS(F_Inputs_adjusted!P:P,F_Inputs_adjusted!$A:$A,$A140,F_Inputs_adjusted!$B:$B,$B140)</f>
        <v>0</v>
      </c>
      <c r="G140" s="38">
        <f ca="1">SUMIFS(F_Inputs_adjusted!Q:Q,F_Inputs_adjusted!$A:$A,$A140,F_Inputs_adjusted!$B:$B,$B140)</f>
        <v>0</v>
      </c>
      <c r="H140" s="38">
        <f ca="1">SUMIFS(F_Inputs_adjusted!R:R,F_Inputs_adjusted!$A:$A,$A140,F_Inputs_adjusted!$B:$B,$B140)</f>
        <v>0</v>
      </c>
      <c r="I140" s="38">
        <f ca="1">SUMIFS(F_Inputs_adjusted!S:S,F_Inputs_adjusted!$A:$A,$A140,F_Inputs_adjusted!$B:$B,$B140)</f>
        <v>0</v>
      </c>
      <c r="J140" s="38">
        <f ca="1">SUMIFS(F_Inputs_adjusted!T:T,F_Inputs_adjusted!$A:$A,$A140,F_Inputs_adjusted!$B:$B,$B140)</f>
        <v>0</v>
      </c>
      <c r="K140" s="38">
        <f ca="1">SUMIFS(F_Inputs_adjusted!U:U,F_Inputs_adjusted!$A:$A,$A140,F_Inputs_adjusted!$B:$B,$B140)</f>
        <v>0</v>
      </c>
      <c r="L140" s="38">
        <f ca="1">SUMIFS(F_Inputs_adjusted!V:V,F_Inputs_adjusted!$A:$A,$A140,F_Inputs_adjusted!$B:$B,$B140)</f>
        <v>0</v>
      </c>
      <c r="M140" s="38">
        <f ca="1">SUMIFS(F_Inputs_adjusted!M:M,F_Inputs_adjusted!$A:$A,$A140,F_Inputs_adjusted!$B:$B,$B140)</f>
        <v>4605.5684455095561</v>
      </c>
      <c r="N140" s="38">
        <f ca="1">SUM(Table1[[#This Row],[2023-24]:[2029-30]])</f>
        <v>0</v>
      </c>
    </row>
    <row r="141" spans="1:14">
      <c r="A141" s="18" t="str">
        <f>F_Inputs!A143</f>
        <v>YKY</v>
      </c>
      <c r="B141" s="18" t="str">
        <f>F_Inputs!B143</f>
        <v>CWW12_007TOT_PR24</v>
      </c>
      <c r="C141" s="18" t="str">
        <f>F_Inputs!C143</f>
        <v>EA/NRW environmental programme wastewater (WINEP/NEP) - Continuous river water quality monitoring (WINEP/NEP) wastewater capex - Total</v>
      </c>
      <c r="D141" s="18" t="str">
        <f>F_Inputs!D143</f>
        <v>£m</v>
      </c>
      <c r="E141" s="18" t="str">
        <f>F_Inputs!E143</f>
        <v>Price Review 2024</v>
      </c>
      <c r="F141" s="38">
        <f ca="1">SUMIFS(F_Inputs_adjusted!P:P,F_Inputs_adjusted!$A:$A,$A141,F_Inputs_adjusted!$B:$B,$B141)</f>
        <v>0</v>
      </c>
      <c r="G141" s="38">
        <f ca="1">SUMIFS(F_Inputs_adjusted!Q:Q,F_Inputs_adjusted!$A:$A,$A141,F_Inputs_adjusted!$B:$B,$B141)</f>
        <v>0</v>
      </c>
      <c r="H141" s="38">
        <f ca="1">SUMIFS(F_Inputs_adjusted!R:R,F_Inputs_adjusted!$A:$A,$A141,F_Inputs_adjusted!$B:$B,$B141)</f>
        <v>0</v>
      </c>
      <c r="I141" s="38">
        <f ca="1">SUMIFS(F_Inputs_adjusted!S:S,F_Inputs_adjusted!$A:$A,$A141,F_Inputs_adjusted!$B:$B,$B141)</f>
        <v>0</v>
      </c>
      <c r="J141" s="38">
        <f ca="1">SUMIFS(F_Inputs_adjusted!T:T,F_Inputs_adjusted!$A:$A,$A141,F_Inputs_adjusted!$B:$B,$B141)</f>
        <v>0</v>
      </c>
      <c r="K141" s="38">
        <f ca="1">SUMIFS(F_Inputs_adjusted!U:U,F_Inputs_adjusted!$A:$A,$A141,F_Inputs_adjusted!$B:$B,$B141)</f>
        <v>0</v>
      </c>
      <c r="L141" s="38">
        <f ca="1">SUMIFS(F_Inputs_adjusted!V:V,F_Inputs_adjusted!$A:$A,$A141,F_Inputs_adjusted!$B:$B,$B141)</f>
        <v>0</v>
      </c>
      <c r="M141" s="38">
        <f ca="1">SUMIFS(F_Inputs_adjusted!M:M,F_Inputs_adjusted!$A:$A,$A141,F_Inputs_adjusted!$B:$B,$B141)</f>
        <v>0</v>
      </c>
      <c r="N141" s="38">
        <f ca="1">SUM(Table1[[#This Row],[2023-24]:[2029-30]])</f>
        <v>0</v>
      </c>
    </row>
    <row r="142" spans="1:14">
      <c r="A142" s="18" t="str">
        <f>F_Inputs!A144</f>
        <v>YKY</v>
      </c>
      <c r="B142" s="18" t="str">
        <f>F_Inputs!B144</f>
        <v>CWW12_008TOT_PR24</v>
      </c>
      <c r="C142" s="18" t="str">
        <f>F_Inputs!C144</f>
        <v>EA/NRW environmental programme wastewater (WINEP/NEP) - Continuous river water quality monitoring (WINEP/NEP) wastewater opex - Total</v>
      </c>
      <c r="D142" s="18" t="str">
        <f>F_Inputs!D144</f>
        <v>£m</v>
      </c>
      <c r="E142" s="18" t="str">
        <f>F_Inputs!E144</f>
        <v>Price Review 2024</v>
      </c>
      <c r="F142" s="38">
        <f ca="1">SUMIFS(F_Inputs_adjusted!P:P,F_Inputs_adjusted!$A:$A,$A142,F_Inputs_adjusted!$B:$B,$B142)</f>
        <v>0</v>
      </c>
      <c r="G142" s="38">
        <f ca="1">SUMIFS(F_Inputs_adjusted!Q:Q,F_Inputs_adjusted!$A:$A,$A142,F_Inputs_adjusted!$B:$B,$B142)</f>
        <v>0</v>
      </c>
      <c r="H142" s="38">
        <f ca="1">SUMIFS(F_Inputs_adjusted!R:R,F_Inputs_adjusted!$A:$A,$A142,F_Inputs_adjusted!$B:$B,$B142)</f>
        <v>0</v>
      </c>
      <c r="I142" s="38">
        <f ca="1">SUMIFS(F_Inputs_adjusted!S:S,F_Inputs_adjusted!$A:$A,$A142,F_Inputs_adjusted!$B:$B,$B142)</f>
        <v>0</v>
      </c>
      <c r="J142" s="38">
        <f ca="1">SUMIFS(F_Inputs_adjusted!T:T,F_Inputs_adjusted!$A:$A,$A142,F_Inputs_adjusted!$B:$B,$B142)</f>
        <v>0</v>
      </c>
      <c r="K142" s="38">
        <f ca="1">SUMIFS(F_Inputs_adjusted!U:U,F_Inputs_adjusted!$A:$A,$A142,F_Inputs_adjusted!$B:$B,$B142)</f>
        <v>0</v>
      </c>
      <c r="L142" s="38">
        <f ca="1">SUMIFS(F_Inputs_adjusted!V:V,F_Inputs_adjusted!$A:$A,$A142,F_Inputs_adjusted!$B:$B,$B142)</f>
        <v>0</v>
      </c>
      <c r="M142" s="38">
        <f ca="1">SUMIFS(F_Inputs_adjusted!M:M,F_Inputs_adjusted!$A:$A,$A142,F_Inputs_adjusted!$B:$B,$B142)</f>
        <v>0</v>
      </c>
      <c r="N142" s="38">
        <f ca="1">SUM(Table1[[#This Row],[2023-24]:[2029-30]])</f>
        <v>0</v>
      </c>
    </row>
    <row r="143" spans="1:14">
      <c r="A143" s="18" t="str">
        <f>F_Inputs!A145</f>
        <v>YKY</v>
      </c>
      <c r="B143" s="18" t="str">
        <f>F_Inputs!B145</f>
        <v>CWW12_009TOT_PR24</v>
      </c>
      <c r="C143" s="18" t="str">
        <f>F_Inputs!C145</f>
        <v>EA/NRW environmental programme wastewater (WINEP/NEP) - Continuous river water quality monitoring (WINEP/NEP) wastewater totex - Total</v>
      </c>
      <c r="D143" s="18" t="str">
        <f>F_Inputs!D145</f>
        <v>£m</v>
      </c>
      <c r="E143" s="18" t="str">
        <f>F_Inputs!E145</f>
        <v>Price Review 2024</v>
      </c>
      <c r="F143" s="38">
        <f ca="1">SUMIFS(F_Inputs_adjusted!P:P,F_Inputs_adjusted!$A:$A,$A143,F_Inputs_adjusted!$B:$B,$B143)</f>
        <v>0</v>
      </c>
      <c r="G143" s="38">
        <f ca="1">SUMIFS(F_Inputs_adjusted!Q:Q,F_Inputs_adjusted!$A:$A,$A143,F_Inputs_adjusted!$B:$B,$B143)</f>
        <v>0</v>
      </c>
      <c r="H143" s="38">
        <f ca="1">SUMIFS(F_Inputs_adjusted!R:R,F_Inputs_adjusted!$A:$A,$A143,F_Inputs_adjusted!$B:$B,$B143)</f>
        <v>0</v>
      </c>
      <c r="I143" s="38">
        <f ca="1">SUMIFS(F_Inputs_adjusted!S:S,F_Inputs_adjusted!$A:$A,$A143,F_Inputs_adjusted!$B:$B,$B143)</f>
        <v>0</v>
      </c>
      <c r="J143" s="38">
        <f ca="1">SUMIFS(F_Inputs_adjusted!T:T,F_Inputs_adjusted!$A:$A,$A143,F_Inputs_adjusted!$B:$B,$B143)</f>
        <v>0</v>
      </c>
      <c r="K143" s="38">
        <f ca="1">SUMIFS(F_Inputs_adjusted!U:U,F_Inputs_adjusted!$A:$A,$A143,F_Inputs_adjusted!$B:$B,$B143)</f>
        <v>0</v>
      </c>
      <c r="L143" s="38">
        <f ca="1">SUMIFS(F_Inputs_adjusted!V:V,F_Inputs_adjusted!$A:$A,$A143,F_Inputs_adjusted!$B:$B,$B143)</f>
        <v>0</v>
      </c>
      <c r="M143" s="38">
        <f ca="1">SUMIFS(F_Inputs_adjusted!M:M,F_Inputs_adjusted!$A:$A,$A143,F_Inputs_adjusted!$B:$B,$B143)</f>
        <v>0</v>
      </c>
      <c r="N143" s="38">
        <f ca="1">SUM(Table1[[#This Row],[2023-24]:[2029-30]])</f>
        <v>0</v>
      </c>
    </row>
    <row r="144" spans="1:14">
      <c r="A144" s="18" t="str">
        <f>F_Inputs!A146</f>
        <v>YKY</v>
      </c>
      <c r="B144" s="18" t="str">
        <f>F_Inputs!B146</f>
        <v>CWW17_007TOT_PR24</v>
      </c>
      <c r="C144" s="18" t="str">
        <f>F_Inputs!C146</f>
        <v>EA/NRW environmental programme wastewater (WINEP/NEP) - Continuous river water quality monitoring (WINEP/NEP) wastewater capex - Total</v>
      </c>
      <c r="D144" s="18" t="str">
        <f>F_Inputs!D146</f>
        <v>£m</v>
      </c>
      <c r="E144" s="18" t="str">
        <f>F_Inputs!E146</f>
        <v>Price Review 2024</v>
      </c>
      <c r="F144" s="38">
        <f ca="1">SUMIFS(F_Inputs_adjusted!P:P,F_Inputs_adjusted!$A:$A,$A144,F_Inputs_adjusted!$B:$B,$B144)</f>
        <v>0</v>
      </c>
      <c r="G144" s="38">
        <f ca="1">SUMIFS(F_Inputs_adjusted!Q:Q,F_Inputs_adjusted!$A:$A,$A144,F_Inputs_adjusted!$B:$B,$B144)</f>
        <v>0</v>
      </c>
      <c r="H144" s="38">
        <f ca="1">SUMIFS(F_Inputs_adjusted!R:R,F_Inputs_adjusted!$A:$A,$A144,F_Inputs_adjusted!$B:$B,$B144)</f>
        <v>0</v>
      </c>
      <c r="I144" s="38">
        <f ca="1">SUMIFS(F_Inputs_adjusted!S:S,F_Inputs_adjusted!$A:$A,$A144,F_Inputs_adjusted!$B:$B,$B144)</f>
        <v>0</v>
      </c>
      <c r="J144" s="38">
        <f ca="1">SUMIFS(F_Inputs_adjusted!T:T,F_Inputs_adjusted!$A:$A,$A144,F_Inputs_adjusted!$B:$B,$B144)</f>
        <v>0</v>
      </c>
      <c r="K144" s="38">
        <f ca="1">SUMIFS(F_Inputs_adjusted!U:U,F_Inputs_adjusted!$A:$A,$A144,F_Inputs_adjusted!$B:$B,$B144)</f>
        <v>0</v>
      </c>
      <c r="L144" s="38">
        <f ca="1">SUMIFS(F_Inputs_adjusted!V:V,F_Inputs_adjusted!$A:$A,$A144,F_Inputs_adjusted!$B:$B,$B144)</f>
        <v>0</v>
      </c>
      <c r="M144" s="38">
        <f ca="1">SUMIFS(F_Inputs_adjusted!M:M,F_Inputs_adjusted!$A:$A,$A144,F_Inputs_adjusted!$B:$B,$B144)</f>
        <v>0</v>
      </c>
      <c r="N144" s="38">
        <f ca="1">SUM(Table1[[#This Row],[2023-24]:[2029-30]])</f>
        <v>0</v>
      </c>
    </row>
    <row r="145" spans="1:14">
      <c r="A145" s="18" t="str">
        <f>F_Inputs!A147</f>
        <v>YKY</v>
      </c>
      <c r="B145" s="18" t="str">
        <f>F_Inputs!B147</f>
        <v>CWW17_008TOT_PR24</v>
      </c>
      <c r="C145" s="18" t="str">
        <f>F_Inputs!C147</f>
        <v>EA/NRW environmental programme wastewater (WINEP/NEP) - Continuous river water quality monitoring (WINEP/NEP) wastewater opex - Total</v>
      </c>
      <c r="D145" s="18" t="str">
        <f>F_Inputs!D147</f>
        <v>£m</v>
      </c>
      <c r="E145" s="18" t="str">
        <f>F_Inputs!E147</f>
        <v>Price Review 2024</v>
      </c>
      <c r="F145" s="38">
        <f ca="1">SUMIFS(F_Inputs_adjusted!P:P,F_Inputs_adjusted!$A:$A,$A145,F_Inputs_adjusted!$B:$B,$B145)</f>
        <v>0</v>
      </c>
      <c r="G145" s="38">
        <f ca="1">SUMIFS(F_Inputs_adjusted!Q:Q,F_Inputs_adjusted!$A:$A,$A145,F_Inputs_adjusted!$B:$B,$B145)</f>
        <v>0</v>
      </c>
      <c r="H145" s="38">
        <f ca="1">SUMIFS(F_Inputs_adjusted!R:R,F_Inputs_adjusted!$A:$A,$A145,F_Inputs_adjusted!$B:$B,$B145)</f>
        <v>0</v>
      </c>
      <c r="I145" s="38">
        <f ca="1">SUMIFS(F_Inputs_adjusted!S:S,F_Inputs_adjusted!$A:$A,$A145,F_Inputs_adjusted!$B:$B,$B145)</f>
        <v>0</v>
      </c>
      <c r="J145" s="38">
        <f ca="1">SUMIFS(F_Inputs_adjusted!T:T,F_Inputs_adjusted!$A:$A,$A145,F_Inputs_adjusted!$B:$B,$B145)</f>
        <v>0</v>
      </c>
      <c r="K145" s="38">
        <f ca="1">SUMIFS(F_Inputs_adjusted!U:U,F_Inputs_adjusted!$A:$A,$A145,F_Inputs_adjusted!$B:$B,$B145)</f>
        <v>0</v>
      </c>
      <c r="L145" s="38">
        <f ca="1">SUMIFS(F_Inputs_adjusted!V:V,F_Inputs_adjusted!$A:$A,$A145,F_Inputs_adjusted!$B:$B,$B145)</f>
        <v>0</v>
      </c>
      <c r="M145" s="38">
        <f ca="1">SUMIFS(F_Inputs_adjusted!M:M,F_Inputs_adjusted!$A:$A,$A145,F_Inputs_adjusted!$B:$B,$B145)</f>
        <v>0</v>
      </c>
      <c r="N145" s="38">
        <f ca="1">SUM(Table1[[#This Row],[2023-24]:[2029-30]])</f>
        <v>0</v>
      </c>
    </row>
    <row r="146" spans="1:14">
      <c r="A146" s="18" t="str">
        <f>F_Inputs!A148</f>
        <v>YKY</v>
      </c>
      <c r="B146" s="18" t="str">
        <f>F_Inputs!B148</f>
        <v>CWW17_009TOT_PR24</v>
      </c>
      <c r="C146" s="18" t="str">
        <f>F_Inputs!C148</f>
        <v>EA/NRW environmental programme wastewater (WINEP/NEP) - Continuous river water quality monitoring (WINEP/NEP) wastewater totex - Total</v>
      </c>
      <c r="D146" s="18" t="str">
        <f>F_Inputs!D148</f>
        <v>£m</v>
      </c>
      <c r="E146" s="18" t="str">
        <f>F_Inputs!E148</f>
        <v>Price Review 2024</v>
      </c>
      <c r="F146" s="38">
        <f ca="1">SUMIFS(F_Inputs_adjusted!P:P,F_Inputs_adjusted!$A:$A,$A146,F_Inputs_adjusted!$B:$B,$B146)</f>
        <v>0</v>
      </c>
      <c r="G146" s="38">
        <f ca="1">SUMIFS(F_Inputs_adjusted!Q:Q,F_Inputs_adjusted!$A:$A,$A146,F_Inputs_adjusted!$B:$B,$B146)</f>
        <v>0</v>
      </c>
      <c r="H146" s="38">
        <f ca="1">SUMIFS(F_Inputs_adjusted!R:R,F_Inputs_adjusted!$A:$A,$A146,F_Inputs_adjusted!$B:$B,$B146)</f>
        <v>0</v>
      </c>
      <c r="I146" s="38">
        <f ca="1">SUMIFS(F_Inputs_adjusted!S:S,F_Inputs_adjusted!$A:$A,$A146,F_Inputs_adjusted!$B:$B,$B146)</f>
        <v>0</v>
      </c>
      <c r="J146" s="38">
        <f ca="1">SUMIFS(F_Inputs_adjusted!T:T,F_Inputs_adjusted!$A:$A,$A146,F_Inputs_adjusted!$B:$B,$B146)</f>
        <v>0</v>
      </c>
      <c r="K146" s="38">
        <f ca="1">SUMIFS(F_Inputs_adjusted!U:U,F_Inputs_adjusted!$A:$A,$A146,F_Inputs_adjusted!$B:$B,$B146)</f>
        <v>0</v>
      </c>
      <c r="L146" s="38">
        <f ca="1">SUMIFS(F_Inputs_adjusted!V:V,F_Inputs_adjusted!$A:$A,$A146,F_Inputs_adjusted!$B:$B,$B146)</f>
        <v>0</v>
      </c>
      <c r="M146" s="38">
        <f ca="1">SUMIFS(F_Inputs_adjusted!M:M,F_Inputs_adjusted!$A:$A,$A146,F_Inputs_adjusted!$B:$B,$B146)</f>
        <v>0</v>
      </c>
      <c r="N146" s="38">
        <f ca="1">SUM(Table1[[#This Row],[2023-24]:[2029-30]])</f>
        <v>0</v>
      </c>
    </row>
    <row r="147" spans="1:14">
      <c r="A147" s="18" t="str">
        <f>F_Inputs!A149</f>
        <v>YKY</v>
      </c>
      <c r="B147" s="18" t="str">
        <f>F_Inputs!B149</f>
        <v>CWW20A_049_PR24</v>
      </c>
      <c r="C147" s="18" t="str">
        <f>F_Inputs!C149</f>
        <v>Network / Storm overflow data - Number of continuous water quality monitor installations</v>
      </c>
      <c r="D147" s="18" t="str">
        <f>F_Inputs!D149</f>
        <v>nr</v>
      </c>
      <c r="E147" s="18" t="str">
        <f>F_Inputs!E149</f>
        <v>Price Review 2024</v>
      </c>
      <c r="F147" s="38">
        <f ca="1">SUMIFS(F_Inputs_adjusted!P:P,F_Inputs_adjusted!$A:$A,$A147,F_Inputs_adjusted!$B:$B,$B147)</f>
        <v>0</v>
      </c>
      <c r="G147" s="38">
        <f ca="1">SUMIFS(F_Inputs_adjusted!Q:Q,F_Inputs_adjusted!$A:$A,$A147,F_Inputs_adjusted!$B:$B,$B147)</f>
        <v>0</v>
      </c>
      <c r="H147" s="38">
        <f ca="1">SUMIFS(F_Inputs_adjusted!R:R,F_Inputs_adjusted!$A:$A,$A147,F_Inputs_adjusted!$B:$B,$B147)</f>
        <v>0</v>
      </c>
      <c r="I147" s="38">
        <f ca="1">SUMIFS(F_Inputs_adjusted!S:S,F_Inputs_adjusted!$A:$A,$A147,F_Inputs_adjusted!$B:$B,$B147)</f>
        <v>0</v>
      </c>
      <c r="J147" s="38">
        <f ca="1">SUMIFS(F_Inputs_adjusted!T:T,F_Inputs_adjusted!$A:$A,$A147,F_Inputs_adjusted!$B:$B,$B147)</f>
        <v>0</v>
      </c>
      <c r="K147" s="38">
        <f ca="1">SUMIFS(F_Inputs_adjusted!U:U,F_Inputs_adjusted!$A:$A,$A147,F_Inputs_adjusted!$B:$B,$B147)</f>
        <v>0</v>
      </c>
      <c r="L147" s="38">
        <f ca="1">SUMIFS(F_Inputs_adjusted!V:V,F_Inputs_adjusted!$A:$A,$A147,F_Inputs_adjusted!$B:$B,$B147)</f>
        <v>0</v>
      </c>
      <c r="M147" s="38">
        <f ca="1">SUMIFS(F_Inputs_adjusted!M:M,F_Inputs_adjusted!$A:$A,$A147,F_Inputs_adjusted!$B:$B,$B147)</f>
        <v>0</v>
      </c>
      <c r="N147" s="186">
        <f ca="1">SUM(Table1[[#This Row],[2023-24]:[2029-30]])</f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C5698-C5D8-4161-9C61-3A470D39562C}">
  <sheetPr codeName="Sheet15">
    <tabColor rgb="FFFFDB8E"/>
  </sheetPr>
  <dimension ref="A1:N147"/>
  <sheetViews>
    <sheetView showGridLines="0" zoomScale="80" zoomScaleNormal="80" workbookViewId="0"/>
  </sheetViews>
  <sheetFormatPr defaultRowHeight="12.75"/>
  <cols>
    <col min="1" max="1" width="14.28515625" customWidth="1"/>
    <col min="2" max="2" width="29.7109375" customWidth="1"/>
    <col min="3" max="3" width="138.5703125" customWidth="1"/>
    <col min="5" max="5" width="17.42578125" customWidth="1"/>
    <col min="8" max="12" width="9.85546875" bestFit="1" customWidth="1"/>
    <col min="14" max="14" width="12.5703125" customWidth="1"/>
  </cols>
  <sheetData>
    <row r="1" spans="1:14" ht="31.5">
      <c r="A1" s="1" t="str">
        <f ca="1" xml:space="preserve"> RIGHT(CELL("filename", $A$1), LEN(CELL("filename", $A$1)) - SEARCH("]", CELL("filename", $A$1)))</f>
        <v>F_Input Override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4" spans="1:14">
      <c r="A4" s="86" t="str">
        <f>'Consolidated Input'!A4</f>
        <v>Acronym</v>
      </c>
      <c r="B4" s="86"/>
      <c r="C4" s="86" t="str">
        <f>'Consolidated Input'!C4</f>
        <v>Item Description</v>
      </c>
      <c r="D4" s="86" t="str">
        <f>'Consolidated Input'!D4</f>
        <v>Unit</v>
      </c>
      <c r="E4" s="86" t="str">
        <f>'Consolidated Input'!E4</f>
        <v>Model</v>
      </c>
      <c r="F4" s="86" t="str">
        <f>'Consolidated Input'!F4</f>
        <v>2023-24</v>
      </c>
      <c r="G4" s="86" t="str">
        <f>'Consolidated Input'!G4</f>
        <v>2024-25</v>
      </c>
      <c r="H4" s="86" t="str">
        <f>'Consolidated Input'!H4</f>
        <v>2025-26</v>
      </c>
      <c r="I4" s="86" t="str">
        <f>'Consolidated Input'!I4</f>
        <v>2026-27</v>
      </c>
      <c r="J4" s="86" t="str">
        <f>'Consolidated Input'!J4</f>
        <v>2027-28</v>
      </c>
      <c r="K4" s="86" t="str">
        <f>'Consolidated Input'!K4</f>
        <v>2028-29</v>
      </c>
      <c r="L4" s="86" t="str">
        <f>'Consolidated Input'!L4</f>
        <v>2029-30</v>
      </c>
      <c r="M4" s="86" t="s">
        <v>71</v>
      </c>
      <c r="N4" t="s">
        <v>112</v>
      </c>
    </row>
    <row r="5" spans="1:14">
      <c r="A5" s="18" t="str">
        <f>'Consolidated Input'!A5</f>
        <v>ANH</v>
      </c>
      <c r="B5" s="18" t="str">
        <f ca="1">Table1[[#This Row],[BON code]]</f>
        <v>CWW3_007TOT_PR24</v>
      </c>
      <c r="C5" s="18" t="str">
        <f>'Consolidated Input'!C5</f>
        <v>EA/NRW environmental programme wastewater (WINEP/NEP) - Continuous river water quality monitoring (WINEP/NEP) wastewater capex - Total</v>
      </c>
      <c r="D5" s="18" t="str">
        <f>'Consolidated Input'!D5</f>
        <v>£m</v>
      </c>
      <c r="E5" s="18" t="str">
        <f>'Consolidated Input'!E5</f>
        <v>Price Review 2024</v>
      </c>
      <c r="F5" s="18"/>
      <c r="G5" s="18"/>
      <c r="H5" s="18"/>
      <c r="I5" s="18"/>
      <c r="J5" s="18"/>
      <c r="K5" s="18"/>
      <c r="L5" s="18"/>
      <c r="M5" s="38"/>
    </row>
    <row r="6" spans="1:14">
      <c r="A6" s="18" t="str">
        <f>'Consolidated Input'!A6</f>
        <v>ANH</v>
      </c>
      <c r="B6" s="18" t="str">
        <f ca="1">Table1[[#This Row],[BON code]]</f>
        <v>CWW3_008TOT_PR24</v>
      </c>
      <c r="C6" s="18" t="str">
        <f>'Consolidated Input'!C6</f>
        <v>EA/NRW environmental programme wastewater (WINEP/NEP) - Continuous river water quality monitoring (WINEP/NEP) wastewater opex - Total</v>
      </c>
      <c r="D6" s="18" t="str">
        <f>'Consolidated Input'!D6</f>
        <v>£m</v>
      </c>
      <c r="E6" s="18" t="str">
        <f>'Consolidated Input'!E6</f>
        <v>Price Review 2024</v>
      </c>
      <c r="F6" s="18"/>
      <c r="G6" s="18"/>
      <c r="H6" s="18"/>
      <c r="I6" s="18"/>
      <c r="J6" s="18"/>
      <c r="K6" s="18"/>
      <c r="L6" s="18"/>
      <c r="M6" s="38"/>
    </row>
    <row r="7" spans="1:14">
      <c r="A7" s="18" t="str">
        <f>'Consolidated Input'!A7</f>
        <v>ANH</v>
      </c>
      <c r="B7" s="18" t="str">
        <f ca="1">Table1[[#This Row],[BON code]]</f>
        <v>CWW3_009TOT_PR24</v>
      </c>
      <c r="C7" s="18" t="str">
        <f>'Consolidated Input'!C7</f>
        <v>EA/NRW environmental programme wastewater (WINEP/NEP) - Continuous river water quality monitoring (WINEP/NEP) wastewater totex - Total</v>
      </c>
      <c r="D7" s="18" t="str">
        <f>'Consolidated Input'!D7</f>
        <v>£m</v>
      </c>
      <c r="E7" s="18" t="str">
        <f>'Consolidated Input'!E7</f>
        <v>Price Review 2024</v>
      </c>
      <c r="F7" s="18"/>
      <c r="G7" s="18"/>
      <c r="H7" s="18"/>
      <c r="I7" s="18"/>
      <c r="J7" s="18"/>
      <c r="K7" s="18"/>
      <c r="L7" s="18"/>
      <c r="M7" s="38"/>
    </row>
    <row r="8" spans="1:14">
      <c r="A8" s="18" t="str">
        <f>'Consolidated Input'!A8</f>
        <v>ANH</v>
      </c>
      <c r="B8" s="18" t="str">
        <f ca="1">Table1[[#This Row],[BON code]]</f>
        <v>CWW20_049_PR24</v>
      </c>
      <c r="C8" s="18" t="str">
        <f>'Consolidated Input'!C8</f>
        <v>Network / Storm overflow data - Number of continuous water quality monitor installations</v>
      </c>
      <c r="D8" s="18" t="str">
        <f>'Consolidated Input'!D8</f>
        <v>nr</v>
      </c>
      <c r="E8" s="18" t="str">
        <f>'Consolidated Input'!E8</f>
        <v>Price Review 2024</v>
      </c>
      <c r="F8" s="18"/>
      <c r="G8" s="18"/>
      <c r="H8" s="18"/>
      <c r="I8" s="18"/>
      <c r="J8" s="18"/>
      <c r="K8" s="18"/>
      <c r="L8" s="18"/>
      <c r="M8" s="38"/>
    </row>
    <row r="9" spans="1:14">
      <c r="A9" s="18" t="str">
        <f>'Consolidated Input'!A9</f>
        <v>ANH</v>
      </c>
      <c r="B9" s="18" t="str">
        <f ca="1">Table1[[#This Row],[BON code]]</f>
        <v>CWW1A_015TOT_PR24</v>
      </c>
      <c r="C9" s="18" t="str">
        <f>'Consolidated Input'!C9</f>
        <v>Net totex - Total</v>
      </c>
      <c r="D9" s="18" t="str">
        <f>'Consolidated Input'!D9</f>
        <v>£m</v>
      </c>
      <c r="E9" s="18" t="str">
        <f>'Consolidated Input'!E9</f>
        <v>Price Review 2024</v>
      </c>
      <c r="F9" s="18"/>
      <c r="G9" s="18"/>
      <c r="H9" s="18"/>
      <c r="I9" s="18"/>
      <c r="J9" s="18"/>
      <c r="K9" s="18"/>
      <c r="L9" s="18"/>
      <c r="M9" s="38"/>
    </row>
    <row r="10" spans="1:14">
      <c r="A10" s="18" t="str">
        <f>'Consolidated Input'!A10</f>
        <v>ANH</v>
      </c>
      <c r="B10" s="18" t="str">
        <f ca="1">Table1[[#This Row],[BON code]]</f>
        <v>PR24_NETTOTEX_WASTE</v>
      </c>
      <c r="C10" s="18" t="str">
        <f>'Consolidated Input'!C10</f>
        <v>PR24 BP Net totex - Total inc. accelerated &amp; transition costs</v>
      </c>
      <c r="D10" s="18" t="str">
        <f>'Consolidated Input'!D10</f>
        <v>£m</v>
      </c>
      <c r="E10" s="18" t="str">
        <f>'Consolidated Input'!E10</f>
        <v>Price Review 2024</v>
      </c>
      <c r="F10" s="18"/>
      <c r="G10" s="18"/>
      <c r="H10" s="18"/>
      <c r="I10" s="18"/>
      <c r="J10" s="18"/>
      <c r="K10" s="18"/>
      <c r="L10" s="18"/>
      <c r="M10" s="38"/>
    </row>
    <row r="11" spans="1:14">
      <c r="A11" s="18" t="str">
        <f>'Consolidated Input'!A11</f>
        <v>ANH</v>
      </c>
      <c r="B11" s="18" t="str">
        <f ca="1">Table1[[#This Row],[BON code]]</f>
        <v>CWW12_007TOT_PR24</v>
      </c>
      <c r="C11" s="18" t="str">
        <f>'Consolidated Input'!C11</f>
        <v>EA/NRW environmental programme wastewater (WINEP/NEP) - Continuous river water quality monitoring (WINEP/NEP) wastewater capex - Total</v>
      </c>
      <c r="D11" s="18" t="str">
        <f>'Consolidated Input'!D11</f>
        <v>£m</v>
      </c>
      <c r="E11" s="18" t="str">
        <f>'Consolidated Input'!E11</f>
        <v>Price Review 2024</v>
      </c>
      <c r="F11" s="18"/>
      <c r="G11" s="18"/>
      <c r="H11" s="18"/>
      <c r="I11" s="18"/>
      <c r="J11" s="18"/>
      <c r="K11" s="18"/>
      <c r="L11" s="18"/>
      <c r="M11" s="38"/>
    </row>
    <row r="12" spans="1:14">
      <c r="A12" s="18" t="str">
        <f>'Consolidated Input'!A12</f>
        <v>ANH</v>
      </c>
      <c r="B12" s="18" t="str">
        <f ca="1">Table1[[#This Row],[BON code]]</f>
        <v>CWW12_008TOT_PR24</v>
      </c>
      <c r="C12" s="18" t="str">
        <f>'Consolidated Input'!C12</f>
        <v>EA/NRW environmental programme wastewater (WINEP/NEP) - Continuous river water quality monitoring (WINEP/NEP) wastewater opex - Total</v>
      </c>
      <c r="D12" s="18" t="str">
        <f>'Consolidated Input'!D12</f>
        <v>£m</v>
      </c>
      <c r="E12" s="18" t="str">
        <f>'Consolidated Input'!E12</f>
        <v>Price Review 2024</v>
      </c>
      <c r="F12" s="18"/>
      <c r="G12" s="18"/>
      <c r="H12" s="18"/>
      <c r="I12" s="18"/>
      <c r="J12" s="18"/>
      <c r="K12" s="18"/>
      <c r="L12" s="18"/>
      <c r="M12" s="38"/>
    </row>
    <row r="13" spans="1:14">
      <c r="A13" s="18" t="str">
        <f>'Consolidated Input'!A13</f>
        <v>ANH</v>
      </c>
      <c r="B13" s="18" t="str">
        <f ca="1">Table1[[#This Row],[BON code]]</f>
        <v>CWW12_009TOT_PR24</v>
      </c>
      <c r="C13" s="18" t="str">
        <f>'Consolidated Input'!C13</f>
        <v>EA/NRW environmental programme wastewater (WINEP/NEP) - Continuous river water quality monitoring (WINEP/NEP) wastewater totex - Total</v>
      </c>
      <c r="D13" s="18" t="str">
        <f>'Consolidated Input'!D13</f>
        <v>£m</v>
      </c>
      <c r="E13" s="18" t="str">
        <f>'Consolidated Input'!E13</f>
        <v>Price Review 2024</v>
      </c>
      <c r="F13" s="18"/>
      <c r="G13" s="18"/>
      <c r="H13" s="18"/>
      <c r="I13" s="18"/>
      <c r="J13" s="18"/>
      <c r="K13" s="18"/>
      <c r="L13" s="18"/>
      <c r="M13" s="38"/>
    </row>
    <row r="14" spans="1:14">
      <c r="A14" s="18" t="str">
        <f>'Consolidated Input'!A14</f>
        <v>ANH</v>
      </c>
      <c r="B14" s="18" t="str">
        <f ca="1">Table1[[#This Row],[BON code]]</f>
        <v>CWW17_007TOT_PR24</v>
      </c>
      <c r="C14" s="18" t="str">
        <f>'Consolidated Input'!C14</f>
        <v>EA/NRW environmental programme wastewater (WINEP/NEP) - Continuous river water quality monitoring (WINEP/NEP) wastewater capex - Total</v>
      </c>
      <c r="D14" s="18" t="str">
        <f>'Consolidated Input'!D14</f>
        <v>£m</v>
      </c>
      <c r="E14" s="18" t="str">
        <f>'Consolidated Input'!E14</f>
        <v>Price Review 2024</v>
      </c>
      <c r="F14" s="18"/>
      <c r="G14" s="18"/>
      <c r="H14" s="18"/>
      <c r="I14" s="18"/>
      <c r="J14" s="18"/>
      <c r="K14" s="18"/>
      <c r="L14" s="18"/>
      <c r="M14" s="38"/>
    </row>
    <row r="15" spans="1:14">
      <c r="A15" s="18" t="str">
        <f>'Consolidated Input'!A15</f>
        <v>ANH</v>
      </c>
      <c r="B15" s="18" t="str">
        <f ca="1">Table1[[#This Row],[BON code]]</f>
        <v>CWW17_008TOT_PR24</v>
      </c>
      <c r="C15" s="18" t="str">
        <f>'Consolidated Input'!C15</f>
        <v>EA/NRW environmental programme wastewater (WINEP/NEP) - Continuous river water quality monitoring (WINEP/NEP) wastewater opex - Total</v>
      </c>
      <c r="D15" s="18" t="str">
        <f>'Consolidated Input'!D15</f>
        <v>£m</v>
      </c>
      <c r="E15" s="18" t="str">
        <f>'Consolidated Input'!E15</f>
        <v>Price Review 2024</v>
      </c>
      <c r="F15" s="18"/>
      <c r="G15" s="18"/>
      <c r="H15" s="18"/>
      <c r="I15" s="18"/>
      <c r="J15" s="18"/>
      <c r="K15" s="18"/>
      <c r="L15" s="18"/>
      <c r="M15" s="38"/>
    </row>
    <row r="16" spans="1:14">
      <c r="A16" s="18" t="str">
        <f>'Consolidated Input'!A16</f>
        <v>ANH</v>
      </c>
      <c r="B16" s="18" t="str">
        <f ca="1">Table1[[#This Row],[BON code]]</f>
        <v>CWW17_009TOT_PR24</v>
      </c>
      <c r="C16" s="18" t="str">
        <f>'Consolidated Input'!C16</f>
        <v>EA/NRW environmental programme wastewater (WINEP/NEP) - Continuous river water quality monitoring (WINEP/NEP) wastewater totex - Total</v>
      </c>
      <c r="D16" s="18" t="str">
        <f>'Consolidated Input'!D16</f>
        <v>£m</v>
      </c>
      <c r="E16" s="18" t="str">
        <f>'Consolidated Input'!E16</f>
        <v>Price Review 2024</v>
      </c>
      <c r="F16" s="18"/>
      <c r="G16" s="18"/>
      <c r="H16" s="18"/>
      <c r="I16" s="18"/>
      <c r="J16" s="18"/>
      <c r="K16" s="18"/>
      <c r="L16" s="18"/>
      <c r="M16" s="38"/>
    </row>
    <row r="17" spans="1:13">
      <c r="A17" s="18" t="str">
        <f>'Consolidated Input'!A17</f>
        <v>ANH</v>
      </c>
      <c r="B17" s="18" t="str">
        <f ca="1">Table1[[#This Row],[BON code]]</f>
        <v>CWW20A_049_PR24</v>
      </c>
      <c r="C17" s="18" t="str">
        <f>'Consolidated Input'!C17</f>
        <v>Network / Storm overflow data - Number of continuous water quality monitor installations</v>
      </c>
      <c r="D17" s="18" t="str">
        <f>'Consolidated Input'!D17</f>
        <v>nr</v>
      </c>
      <c r="E17" s="18" t="str">
        <f>'Consolidated Input'!E17</f>
        <v>Price Review 2024</v>
      </c>
      <c r="F17" s="18"/>
      <c r="G17" s="18"/>
      <c r="H17" s="18"/>
      <c r="I17" s="18"/>
      <c r="J17" s="18"/>
      <c r="K17" s="18"/>
      <c r="L17" s="18"/>
      <c r="M17" s="38"/>
    </row>
    <row r="18" spans="1:13">
      <c r="A18" s="18" t="str">
        <f>'Consolidated Input'!A18</f>
        <v>WSH</v>
      </c>
      <c r="B18" s="18" t="str">
        <f ca="1">Table1[[#This Row],[BON code]]</f>
        <v>CWW3_007TOT_PR24</v>
      </c>
      <c r="C18" s="18" t="str">
        <f>'Consolidated Input'!C18</f>
        <v>EA/NRW environmental programme wastewater (WINEP/NEP) - Continuous river water quality monitoring (WINEP/NEP) wastewater capex - Total</v>
      </c>
      <c r="D18" s="18" t="str">
        <f>'Consolidated Input'!D18</f>
        <v>£m</v>
      </c>
      <c r="E18" s="18" t="str">
        <f>'Consolidated Input'!E18</f>
        <v>Price Review 2024</v>
      </c>
      <c r="F18" s="18"/>
      <c r="G18" s="18"/>
      <c r="H18" s="18"/>
      <c r="I18" s="18"/>
      <c r="J18" s="18"/>
      <c r="K18" s="18"/>
      <c r="L18" s="18"/>
      <c r="M18" s="38"/>
    </row>
    <row r="19" spans="1:13">
      <c r="A19" s="18" t="str">
        <f>'Consolidated Input'!A19</f>
        <v>WSH</v>
      </c>
      <c r="B19" s="18" t="str">
        <f ca="1">Table1[[#This Row],[BON code]]</f>
        <v>CWW3_008TOT_PR24</v>
      </c>
      <c r="C19" s="18" t="str">
        <f>'Consolidated Input'!C19</f>
        <v>EA/NRW environmental programme wastewater (WINEP/NEP) - Continuous river water quality monitoring (WINEP/NEP) wastewater opex - Total</v>
      </c>
      <c r="D19" s="18" t="str">
        <f>'Consolidated Input'!D19</f>
        <v>£m</v>
      </c>
      <c r="E19" s="18" t="str">
        <f>'Consolidated Input'!E19</f>
        <v>Price Review 2024</v>
      </c>
      <c r="F19" s="18"/>
      <c r="G19" s="18"/>
      <c r="H19" s="18"/>
      <c r="I19" s="18"/>
      <c r="J19" s="18"/>
      <c r="K19" s="18"/>
      <c r="L19" s="18"/>
      <c r="M19" s="38"/>
    </row>
    <row r="20" spans="1:13">
      <c r="A20" s="18" t="str">
        <f>'Consolidated Input'!A20</f>
        <v>WSH</v>
      </c>
      <c r="B20" s="18" t="str">
        <f ca="1">Table1[[#This Row],[BON code]]</f>
        <v>CWW3_009TOT_PR24</v>
      </c>
      <c r="C20" s="18" t="str">
        <f>'Consolidated Input'!C20</f>
        <v>EA/NRW environmental programme wastewater (WINEP/NEP) - Continuous river water quality monitoring (WINEP/NEP) wastewater totex - Total</v>
      </c>
      <c r="D20" s="18" t="str">
        <f>'Consolidated Input'!D20</f>
        <v>£m</v>
      </c>
      <c r="E20" s="18" t="str">
        <f>'Consolidated Input'!E20</f>
        <v>Price Review 2024</v>
      </c>
      <c r="F20" s="18"/>
      <c r="G20" s="18"/>
      <c r="H20" s="18"/>
      <c r="I20" s="18"/>
      <c r="J20" s="18"/>
      <c r="K20" s="18"/>
      <c r="L20" s="18"/>
      <c r="M20" s="38"/>
    </row>
    <row r="21" spans="1:13">
      <c r="A21" s="18" t="str">
        <f>'Consolidated Input'!A21</f>
        <v>WSH</v>
      </c>
      <c r="B21" s="18" t="str">
        <f ca="1">Table1[[#This Row],[BON code]]</f>
        <v>CWW20_049_PR24</v>
      </c>
      <c r="C21" s="18" t="str">
        <f>'Consolidated Input'!C21</f>
        <v>Network / Storm overflow data - Number of continuous water quality monitor installations</v>
      </c>
      <c r="D21" s="18" t="str">
        <f>'Consolidated Input'!D21</f>
        <v>nr</v>
      </c>
      <c r="E21" s="18" t="str">
        <f>'Consolidated Input'!E21</f>
        <v>Price Review 2024</v>
      </c>
      <c r="F21" s="18"/>
      <c r="G21" s="18"/>
      <c r="H21" s="18"/>
      <c r="I21" s="18"/>
      <c r="J21" s="18"/>
      <c r="K21" s="18"/>
      <c r="L21" s="18"/>
      <c r="M21" s="38"/>
    </row>
    <row r="22" spans="1:13">
      <c r="A22" s="18" t="str">
        <f>'Consolidated Input'!A22</f>
        <v>WSH</v>
      </c>
      <c r="B22" s="18" t="str">
        <f ca="1">Table1[[#This Row],[BON code]]</f>
        <v>CWW1A_015TOT_PR24</v>
      </c>
      <c r="C22" s="18" t="str">
        <f>'Consolidated Input'!C22</f>
        <v>Net totex - Total</v>
      </c>
      <c r="D22" s="18" t="str">
        <f>'Consolidated Input'!D22</f>
        <v>£m</v>
      </c>
      <c r="E22" s="18" t="str">
        <f>'Consolidated Input'!E22</f>
        <v>Price Review 2024</v>
      </c>
      <c r="F22" s="18"/>
      <c r="G22" s="18"/>
      <c r="H22" s="18"/>
      <c r="I22" s="18"/>
      <c r="J22" s="18"/>
      <c r="K22" s="18"/>
      <c r="L22" s="18"/>
      <c r="M22" s="38"/>
    </row>
    <row r="23" spans="1:13">
      <c r="A23" s="18" t="str">
        <f>'Consolidated Input'!A23</f>
        <v>WSH</v>
      </c>
      <c r="B23" s="18" t="str">
        <f ca="1">Table1[[#This Row],[BON code]]</f>
        <v>PR24_NETTOTEX_WASTE</v>
      </c>
      <c r="C23" s="18" t="str">
        <f>'Consolidated Input'!C23</f>
        <v>PR24 BP Net totex - Total inc. accelerated &amp; transition costs</v>
      </c>
      <c r="D23" s="18" t="str">
        <f>'Consolidated Input'!D23</f>
        <v>£m</v>
      </c>
      <c r="E23" s="18" t="str">
        <f>'Consolidated Input'!E23</f>
        <v>Price Review 2024</v>
      </c>
      <c r="F23" s="18"/>
      <c r="G23" s="18"/>
      <c r="H23" s="18"/>
      <c r="I23" s="18"/>
      <c r="J23" s="18"/>
      <c r="K23" s="18"/>
      <c r="L23" s="18"/>
      <c r="M23" s="38"/>
    </row>
    <row r="24" spans="1:13">
      <c r="A24" s="18" t="str">
        <f>'Consolidated Input'!A24</f>
        <v>WSH</v>
      </c>
      <c r="B24" s="18" t="str">
        <f ca="1">Table1[[#This Row],[BON code]]</f>
        <v>CWW12_007TOT_PR24</v>
      </c>
      <c r="C24" s="18" t="str">
        <f>'Consolidated Input'!C24</f>
        <v>EA/NRW environmental programme wastewater (WINEP/NEP) - Continuous river water quality monitoring (WINEP/NEP) wastewater capex - Total</v>
      </c>
      <c r="D24" s="18" t="str">
        <f>'Consolidated Input'!D24</f>
        <v>£m</v>
      </c>
      <c r="E24" s="18" t="str">
        <f>'Consolidated Input'!E24</f>
        <v>Price Review 2024</v>
      </c>
      <c r="F24" s="18"/>
      <c r="G24" s="18"/>
      <c r="H24" s="18"/>
      <c r="I24" s="18"/>
      <c r="J24" s="18"/>
      <c r="K24" s="18"/>
      <c r="L24" s="18"/>
      <c r="M24" s="38"/>
    </row>
    <row r="25" spans="1:13">
      <c r="A25" s="18" t="str">
        <f>'Consolidated Input'!A25</f>
        <v>WSH</v>
      </c>
      <c r="B25" s="18" t="str">
        <f ca="1">Table1[[#This Row],[BON code]]</f>
        <v>CWW12_008TOT_PR24</v>
      </c>
      <c r="C25" s="18" t="str">
        <f>'Consolidated Input'!C25</f>
        <v>EA/NRW environmental programme wastewater (WINEP/NEP) - Continuous river water quality monitoring (WINEP/NEP) wastewater opex - Total</v>
      </c>
      <c r="D25" s="18" t="str">
        <f>'Consolidated Input'!D25</f>
        <v>£m</v>
      </c>
      <c r="E25" s="18" t="str">
        <f>'Consolidated Input'!E25</f>
        <v>Price Review 2024</v>
      </c>
      <c r="F25" s="18"/>
      <c r="G25" s="18"/>
      <c r="H25" s="18"/>
      <c r="I25" s="18"/>
      <c r="J25" s="18"/>
      <c r="K25" s="18"/>
      <c r="L25" s="18"/>
      <c r="M25" s="38"/>
    </row>
    <row r="26" spans="1:13">
      <c r="A26" s="18" t="str">
        <f>'Consolidated Input'!A26</f>
        <v>WSH</v>
      </c>
      <c r="B26" s="18" t="str">
        <f ca="1">Table1[[#This Row],[BON code]]</f>
        <v>CWW12_009TOT_PR24</v>
      </c>
      <c r="C26" s="18" t="str">
        <f>'Consolidated Input'!C26</f>
        <v>EA/NRW environmental programme wastewater (WINEP/NEP) - Continuous river water quality monitoring (WINEP/NEP) wastewater totex - Total</v>
      </c>
      <c r="D26" s="18" t="str">
        <f>'Consolidated Input'!D26</f>
        <v>£m</v>
      </c>
      <c r="E26" s="18" t="str">
        <f>'Consolidated Input'!E26</f>
        <v>Price Review 2024</v>
      </c>
      <c r="F26" s="18"/>
      <c r="G26" s="18"/>
      <c r="H26" s="18"/>
      <c r="I26" s="18"/>
      <c r="J26" s="18"/>
      <c r="K26" s="18"/>
      <c r="L26" s="18"/>
      <c r="M26" s="38"/>
    </row>
    <row r="27" spans="1:13">
      <c r="A27" s="18" t="str">
        <f>'Consolidated Input'!A27</f>
        <v>WSH</v>
      </c>
      <c r="B27" s="18" t="str">
        <f ca="1">Table1[[#This Row],[BON code]]</f>
        <v>CWW17_007TOT_PR24</v>
      </c>
      <c r="C27" s="18" t="str">
        <f>'Consolidated Input'!C27</f>
        <v>EA/NRW environmental programme wastewater (WINEP/NEP) - Continuous river water quality monitoring (WINEP/NEP) wastewater capex - Total</v>
      </c>
      <c r="D27" s="18" t="str">
        <f>'Consolidated Input'!D27</f>
        <v>£m</v>
      </c>
      <c r="E27" s="18" t="str">
        <f>'Consolidated Input'!E27</f>
        <v>Price Review 2024</v>
      </c>
      <c r="F27" s="18"/>
      <c r="G27" s="18"/>
      <c r="H27" s="18"/>
      <c r="I27" s="18"/>
      <c r="J27" s="18"/>
      <c r="K27" s="18"/>
      <c r="L27" s="18"/>
      <c r="M27" s="38"/>
    </row>
    <row r="28" spans="1:13">
      <c r="A28" s="18" t="str">
        <f>'Consolidated Input'!A28</f>
        <v>WSH</v>
      </c>
      <c r="B28" s="18" t="str">
        <f ca="1">Table1[[#This Row],[BON code]]</f>
        <v>CWW17_008TOT_PR24</v>
      </c>
      <c r="C28" s="18" t="str">
        <f>'Consolidated Input'!C28</f>
        <v>EA/NRW environmental programme wastewater (WINEP/NEP) - Continuous river water quality monitoring (WINEP/NEP) wastewater opex - Total</v>
      </c>
      <c r="D28" s="18" t="str">
        <f>'Consolidated Input'!D28</f>
        <v>£m</v>
      </c>
      <c r="E28" s="18" t="str">
        <f>'Consolidated Input'!E28</f>
        <v>Price Review 2024</v>
      </c>
      <c r="F28" s="18"/>
      <c r="G28" s="18"/>
      <c r="H28" s="18"/>
      <c r="I28" s="18"/>
      <c r="J28" s="18"/>
      <c r="K28" s="18"/>
      <c r="L28" s="18"/>
      <c r="M28" s="38"/>
    </row>
    <row r="29" spans="1:13">
      <c r="A29" s="18" t="str">
        <f>'Consolidated Input'!A29</f>
        <v>WSH</v>
      </c>
      <c r="B29" s="18" t="str">
        <f ca="1">Table1[[#This Row],[BON code]]</f>
        <v>CWW17_009TOT_PR24</v>
      </c>
      <c r="C29" s="18" t="str">
        <f>'Consolidated Input'!C29</f>
        <v>EA/NRW environmental programme wastewater (WINEP/NEP) - Continuous river water quality monitoring (WINEP/NEP) wastewater totex - Total</v>
      </c>
      <c r="D29" s="18" t="str">
        <f>'Consolidated Input'!D29</f>
        <v>£m</v>
      </c>
      <c r="E29" s="18" t="str">
        <f>'Consolidated Input'!E29</f>
        <v>Price Review 2024</v>
      </c>
      <c r="F29" s="18"/>
      <c r="G29" s="18"/>
      <c r="H29" s="18"/>
      <c r="I29" s="18"/>
      <c r="J29" s="18"/>
      <c r="K29" s="18"/>
      <c r="L29" s="18"/>
      <c r="M29" s="38"/>
    </row>
    <row r="30" spans="1:13">
      <c r="A30" s="18" t="str">
        <f>'Consolidated Input'!A30</f>
        <v>WSH</v>
      </c>
      <c r="B30" s="18" t="str">
        <f ca="1">Table1[[#This Row],[BON code]]</f>
        <v>CWW20A_049_PR24</v>
      </c>
      <c r="C30" s="18" t="str">
        <f>'Consolidated Input'!C30</f>
        <v>Network / Storm overflow data - Number of continuous water quality monitor installations</v>
      </c>
      <c r="D30" s="18" t="str">
        <f>'Consolidated Input'!D30</f>
        <v>nr</v>
      </c>
      <c r="E30" s="18" t="str">
        <f>'Consolidated Input'!E30</f>
        <v>Price Review 2024</v>
      </c>
      <c r="F30" s="18"/>
      <c r="G30" s="18"/>
      <c r="H30" s="18"/>
      <c r="I30" s="18"/>
      <c r="J30" s="18"/>
      <c r="K30" s="18"/>
      <c r="L30" s="18"/>
      <c r="M30" s="38"/>
    </row>
    <row r="31" spans="1:13">
      <c r="A31" s="18" t="str">
        <f>'Consolidated Input'!A31</f>
        <v>HDD</v>
      </c>
      <c r="B31" s="18" t="str">
        <f ca="1">Table1[[#This Row],[BON code]]</f>
        <v>CWW3_007TOT_PR24</v>
      </c>
      <c r="C31" s="18" t="str">
        <f>'Consolidated Input'!C31</f>
        <v>EA/NRW environmental programme wastewater (WINEP/NEP) - Continuous river water quality monitoring (WINEP/NEP) wastewater capex - Total</v>
      </c>
      <c r="D31" s="18" t="str">
        <f>'Consolidated Input'!D31</f>
        <v>£m</v>
      </c>
      <c r="E31" s="18" t="str">
        <f>'Consolidated Input'!E31</f>
        <v>Price Review 2024</v>
      </c>
      <c r="F31" s="18"/>
      <c r="G31" s="18"/>
      <c r="H31" s="18"/>
      <c r="I31" s="18"/>
      <c r="J31" s="18"/>
      <c r="K31" s="18"/>
      <c r="L31" s="18"/>
      <c r="M31" s="38"/>
    </row>
    <row r="32" spans="1:13">
      <c r="A32" s="18" t="str">
        <f>'Consolidated Input'!A32</f>
        <v>HDD</v>
      </c>
      <c r="B32" s="18" t="str">
        <f ca="1">Table1[[#This Row],[BON code]]</f>
        <v>CWW3_008TOT_PR24</v>
      </c>
      <c r="C32" s="18" t="str">
        <f>'Consolidated Input'!C32</f>
        <v>EA/NRW environmental programme wastewater (WINEP/NEP) - Continuous river water quality monitoring (WINEP/NEP) wastewater opex - Total</v>
      </c>
      <c r="D32" s="18" t="str">
        <f>'Consolidated Input'!D32</f>
        <v>£m</v>
      </c>
      <c r="E32" s="18" t="str">
        <f>'Consolidated Input'!E32</f>
        <v>Price Review 2024</v>
      </c>
      <c r="F32" s="18"/>
      <c r="G32" s="18"/>
      <c r="H32" s="18"/>
      <c r="I32" s="18"/>
      <c r="J32" s="18"/>
      <c r="K32" s="18"/>
      <c r="L32" s="18"/>
      <c r="M32" s="38"/>
    </row>
    <row r="33" spans="1:13">
      <c r="A33" s="18" t="str">
        <f>'Consolidated Input'!A33</f>
        <v>HDD</v>
      </c>
      <c r="B33" s="18" t="str">
        <f ca="1">Table1[[#This Row],[BON code]]</f>
        <v>CWW3_009TOT_PR24</v>
      </c>
      <c r="C33" s="18" t="str">
        <f>'Consolidated Input'!C33</f>
        <v>EA/NRW environmental programme wastewater (WINEP/NEP) - Continuous river water quality monitoring (WINEP/NEP) wastewater totex - Total</v>
      </c>
      <c r="D33" s="18" t="str">
        <f>'Consolidated Input'!D33</f>
        <v>£m</v>
      </c>
      <c r="E33" s="18" t="str">
        <f>'Consolidated Input'!E33</f>
        <v>Price Review 2024</v>
      </c>
      <c r="F33" s="18"/>
      <c r="G33" s="18"/>
      <c r="H33" s="18"/>
      <c r="I33" s="18"/>
      <c r="J33" s="18"/>
      <c r="K33" s="18"/>
      <c r="L33" s="18"/>
      <c r="M33" s="38"/>
    </row>
    <row r="34" spans="1:13">
      <c r="A34" s="18" t="str">
        <f>'Consolidated Input'!A34</f>
        <v>HDD</v>
      </c>
      <c r="B34" s="18" t="str">
        <f ca="1">Table1[[#This Row],[BON code]]</f>
        <v>CWW20_049_PR24</v>
      </c>
      <c r="C34" s="18" t="str">
        <f>'Consolidated Input'!C34</f>
        <v>Network / Storm overflow data - Number of continuous water quality monitor installations</v>
      </c>
      <c r="D34" s="18" t="str">
        <f>'Consolidated Input'!D34</f>
        <v>nr</v>
      </c>
      <c r="E34" s="18" t="str">
        <f>'Consolidated Input'!E34</f>
        <v>Price Review 2024</v>
      </c>
      <c r="F34" s="18"/>
      <c r="G34" s="18"/>
      <c r="H34" s="18"/>
      <c r="I34" s="18"/>
      <c r="J34" s="18"/>
      <c r="K34" s="18"/>
      <c r="L34" s="18"/>
      <c r="M34" s="38"/>
    </row>
    <row r="35" spans="1:13">
      <c r="A35" s="18" t="str">
        <f>'Consolidated Input'!A35</f>
        <v>HDD</v>
      </c>
      <c r="B35" s="18" t="str">
        <f ca="1">Table1[[#This Row],[BON code]]</f>
        <v>CWW1A_015TOT_PR24</v>
      </c>
      <c r="C35" s="18" t="str">
        <f>'Consolidated Input'!C35</f>
        <v>Net totex - Total</v>
      </c>
      <c r="D35" s="18" t="str">
        <f>'Consolidated Input'!D35</f>
        <v>£m</v>
      </c>
      <c r="E35" s="18" t="str">
        <f>'Consolidated Input'!E35</f>
        <v>Price Review 2024</v>
      </c>
      <c r="F35" s="18"/>
      <c r="G35" s="18"/>
      <c r="H35" s="18"/>
      <c r="I35" s="18"/>
      <c r="J35" s="18"/>
      <c r="K35" s="18"/>
      <c r="L35" s="18"/>
      <c r="M35" s="38"/>
    </row>
    <row r="36" spans="1:13">
      <c r="A36" s="18" t="str">
        <f>'Consolidated Input'!A36</f>
        <v>HDD</v>
      </c>
      <c r="B36" s="18" t="str">
        <f ca="1">Table1[[#This Row],[BON code]]</f>
        <v>PR24_NETTOTEX_WASTE</v>
      </c>
      <c r="C36" s="18" t="str">
        <f>'Consolidated Input'!C36</f>
        <v>PR24 BP Net totex - Total inc. accelerated &amp; transition costs</v>
      </c>
      <c r="D36" s="18" t="str">
        <f>'Consolidated Input'!D36</f>
        <v>£m</v>
      </c>
      <c r="E36" s="18" t="str">
        <f>'Consolidated Input'!E36</f>
        <v>Price Review 2024</v>
      </c>
      <c r="F36" s="18"/>
      <c r="G36" s="18"/>
      <c r="H36" s="18"/>
      <c r="I36" s="18"/>
      <c r="J36" s="18"/>
      <c r="K36" s="18"/>
      <c r="L36" s="18"/>
      <c r="M36" s="38"/>
    </row>
    <row r="37" spans="1:13">
      <c r="A37" s="18" t="str">
        <f>'Consolidated Input'!A37</f>
        <v>HDD</v>
      </c>
      <c r="B37" s="18" t="str">
        <f ca="1">Table1[[#This Row],[BON code]]</f>
        <v>CWW12_007TOT_PR24</v>
      </c>
      <c r="C37" s="18" t="str">
        <f>'Consolidated Input'!C37</f>
        <v>EA/NRW environmental programme wastewater (WINEP/NEP) - Continuous river water quality monitoring (WINEP/NEP) wastewater capex - Total</v>
      </c>
      <c r="D37" s="18" t="str">
        <f>'Consolidated Input'!D37</f>
        <v>£m</v>
      </c>
      <c r="E37" s="18" t="str">
        <f>'Consolidated Input'!E37</f>
        <v>Price Review 2024</v>
      </c>
      <c r="F37" s="18"/>
      <c r="G37" s="18"/>
      <c r="H37" s="18"/>
      <c r="I37" s="18"/>
      <c r="J37" s="18"/>
      <c r="K37" s="18"/>
      <c r="L37" s="18"/>
      <c r="M37" s="38"/>
    </row>
    <row r="38" spans="1:13">
      <c r="A38" s="18" t="str">
        <f>'Consolidated Input'!A38</f>
        <v>HDD</v>
      </c>
      <c r="B38" s="18" t="str">
        <f ca="1">Table1[[#This Row],[BON code]]</f>
        <v>CWW12_008TOT_PR24</v>
      </c>
      <c r="C38" s="18" t="str">
        <f>'Consolidated Input'!C38</f>
        <v>EA/NRW environmental programme wastewater (WINEP/NEP) - Continuous river water quality monitoring (WINEP/NEP) wastewater opex - Total</v>
      </c>
      <c r="D38" s="18" t="str">
        <f>'Consolidated Input'!D38</f>
        <v>£m</v>
      </c>
      <c r="E38" s="18" t="str">
        <f>'Consolidated Input'!E38</f>
        <v>Price Review 2024</v>
      </c>
      <c r="F38" s="18"/>
      <c r="G38" s="18"/>
      <c r="H38" s="18"/>
      <c r="I38" s="18"/>
      <c r="J38" s="18"/>
      <c r="K38" s="18"/>
      <c r="L38" s="18"/>
      <c r="M38" s="38"/>
    </row>
    <row r="39" spans="1:13">
      <c r="A39" s="18" t="str">
        <f>'Consolidated Input'!A39</f>
        <v>HDD</v>
      </c>
      <c r="B39" s="18" t="str">
        <f ca="1">Table1[[#This Row],[BON code]]</f>
        <v>CWW12_009TOT_PR24</v>
      </c>
      <c r="C39" s="18" t="str">
        <f>'Consolidated Input'!C39</f>
        <v>EA/NRW environmental programme wastewater (WINEP/NEP) - Continuous river water quality monitoring (WINEP/NEP) wastewater totex - Total</v>
      </c>
      <c r="D39" s="18" t="str">
        <f>'Consolidated Input'!D39</f>
        <v>£m</v>
      </c>
      <c r="E39" s="18" t="str">
        <f>'Consolidated Input'!E39</f>
        <v>Price Review 2024</v>
      </c>
      <c r="F39" s="18"/>
      <c r="G39" s="18"/>
      <c r="H39" s="18"/>
      <c r="I39" s="18"/>
      <c r="J39" s="18"/>
      <c r="K39" s="18"/>
      <c r="L39" s="18"/>
      <c r="M39" s="38"/>
    </row>
    <row r="40" spans="1:13">
      <c r="A40" s="18" t="str">
        <f>'Consolidated Input'!A40</f>
        <v>HDD</v>
      </c>
      <c r="B40" s="18" t="str">
        <f ca="1">Table1[[#This Row],[BON code]]</f>
        <v>CWW17_007TOT_PR24</v>
      </c>
      <c r="C40" s="18" t="str">
        <f>'Consolidated Input'!C40</f>
        <v>EA/NRW environmental programme wastewater (WINEP/NEP) - Continuous river water quality monitoring (WINEP/NEP) wastewater capex - Total</v>
      </c>
      <c r="D40" s="18" t="str">
        <f>'Consolidated Input'!D40</f>
        <v>£m</v>
      </c>
      <c r="E40" s="18" t="str">
        <f>'Consolidated Input'!E40</f>
        <v>Price Review 2024</v>
      </c>
      <c r="F40" s="18"/>
      <c r="G40" s="18"/>
      <c r="H40" s="18"/>
      <c r="I40" s="18"/>
      <c r="J40" s="18"/>
      <c r="K40" s="18"/>
      <c r="L40" s="18"/>
      <c r="M40" s="38"/>
    </row>
    <row r="41" spans="1:13">
      <c r="A41" s="18" t="str">
        <f>'Consolidated Input'!A41</f>
        <v>HDD</v>
      </c>
      <c r="B41" s="18" t="str">
        <f ca="1">Table1[[#This Row],[BON code]]</f>
        <v>CWW17_008TOT_PR24</v>
      </c>
      <c r="C41" s="18" t="str">
        <f>'Consolidated Input'!C41</f>
        <v>EA/NRW environmental programme wastewater (WINEP/NEP) - Continuous river water quality monitoring (WINEP/NEP) wastewater opex - Total</v>
      </c>
      <c r="D41" s="18" t="str">
        <f>'Consolidated Input'!D41</f>
        <v>£m</v>
      </c>
      <c r="E41" s="18" t="str">
        <f>'Consolidated Input'!E41</f>
        <v>Price Review 2024</v>
      </c>
      <c r="F41" s="18"/>
      <c r="G41" s="18"/>
      <c r="H41" s="18"/>
      <c r="I41" s="18"/>
      <c r="J41" s="18"/>
      <c r="K41" s="18"/>
      <c r="L41" s="18"/>
      <c r="M41" s="38"/>
    </row>
    <row r="42" spans="1:13">
      <c r="A42" s="18" t="str">
        <f>'Consolidated Input'!A42</f>
        <v>HDD</v>
      </c>
      <c r="B42" s="18" t="str">
        <f ca="1">Table1[[#This Row],[BON code]]</f>
        <v>CWW17_009TOT_PR24</v>
      </c>
      <c r="C42" s="18" t="str">
        <f>'Consolidated Input'!C42</f>
        <v>EA/NRW environmental programme wastewater (WINEP/NEP) - Continuous river water quality monitoring (WINEP/NEP) wastewater totex - Total</v>
      </c>
      <c r="D42" s="18" t="str">
        <f>'Consolidated Input'!D42</f>
        <v>£m</v>
      </c>
      <c r="E42" s="18" t="str">
        <f>'Consolidated Input'!E42</f>
        <v>Price Review 2024</v>
      </c>
      <c r="F42" s="18"/>
      <c r="G42" s="18"/>
      <c r="H42" s="18"/>
      <c r="I42" s="18"/>
      <c r="J42" s="18"/>
      <c r="K42" s="18"/>
      <c r="L42" s="18"/>
      <c r="M42" s="38"/>
    </row>
    <row r="43" spans="1:13">
      <c r="A43" s="18" t="str">
        <f>'Consolidated Input'!A43</f>
        <v>HDD</v>
      </c>
      <c r="B43" s="18" t="str">
        <f ca="1">Table1[[#This Row],[BON code]]</f>
        <v>CWW20A_049_PR24</v>
      </c>
      <c r="C43" s="18" t="str">
        <f>'Consolidated Input'!C43</f>
        <v>Network / Storm overflow data - Number of continuous water quality monitor installations</v>
      </c>
      <c r="D43" s="18" t="str">
        <f>'Consolidated Input'!D43</f>
        <v>nr</v>
      </c>
      <c r="E43" s="18" t="str">
        <f>'Consolidated Input'!E43</f>
        <v>Price Review 2024</v>
      </c>
      <c r="F43" s="18"/>
      <c r="G43" s="18"/>
      <c r="H43" s="18"/>
      <c r="I43" s="18"/>
      <c r="J43" s="18"/>
      <c r="K43" s="18"/>
      <c r="L43" s="18"/>
      <c r="M43" s="38"/>
    </row>
    <row r="44" spans="1:13">
      <c r="A44" s="18" t="str">
        <f>'Consolidated Input'!A44</f>
        <v>NES</v>
      </c>
      <c r="B44" s="18" t="str">
        <f ca="1">Table1[[#This Row],[BON code]]</f>
        <v>CWW3_007TOT_PR24</v>
      </c>
      <c r="C44" s="18" t="str">
        <f>'Consolidated Input'!C44</f>
        <v>EA/NRW environmental programme wastewater (WINEP/NEP) - Continuous river water quality monitoring (WINEP/NEP) wastewater capex - Total</v>
      </c>
      <c r="D44" s="18" t="str">
        <f>'Consolidated Input'!D44</f>
        <v>£m</v>
      </c>
      <c r="E44" s="18" t="str">
        <f>'Consolidated Input'!E44</f>
        <v>Price Review 2024</v>
      </c>
      <c r="F44" s="18"/>
      <c r="G44" s="18"/>
      <c r="H44" s="18"/>
      <c r="I44" s="18"/>
      <c r="J44" s="18"/>
      <c r="K44" s="18"/>
      <c r="L44" s="18"/>
      <c r="M44" s="38"/>
    </row>
    <row r="45" spans="1:13">
      <c r="A45" s="18" t="str">
        <f>'Consolidated Input'!A45</f>
        <v>NES</v>
      </c>
      <c r="B45" s="18" t="str">
        <f ca="1">Table1[[#This Row],[BON code]]</f>
        <v>CWW3_008TOT_PR24</v>
      </c>
      <c r="C45" s="18" t="str">
        <f>'Consolidated Input'!C45</f>
        <v>EA/NRW environmental programme wastewater (WINEP/NEP) - Continuous river water quality monitoring (WINEP/NEP) wastewater opex - Total</v>
      </c>
      <c r="D45" s="18" t="str">
        <f>'Consolidated Input'!D45</f>
        <v>£m</v>
      </c>
      <c r="E45" s="18" t="str">
        <f>'Consolidated Input'!E45</f>
        <v>Price Review 2024</v>
      </c>
      <c r="F45" s="18"/>
      <c r="G45" s="18"/>
      <c r="H45" s="18"/>
      <c r="I45" s="18"/>
      <c r="J45" s="18"/>
      <c r="K45" s="18"/>
      <c r="L45" s="18"/>
      <c r="M45" s="38"/>
    </row>
    <row r="46" spans="1:13">
      <c r="A46" s="18" t="str">
        <f>'Consolidated Input'!A46</f>
        <v>NES</v>
      </c>
      <c r="B46" s="18" t="str">
        <f ca="1">Table1[[#This Row],[BON code]]</f>
        <v>CWW3_009TOT_PR24</v>
      </c>
      <c r="C46" s="18" t="str">
        <f>'Consolidated Input'!C46</f>
        <v>EA/NRW environmental programme wastewater (WINEP/NEP) - Continuous river water quality monitoring (WINEP/NEP) wastewater totex - Total</v>
      </c>
      <c r="D46" s="18" t="str">
        <f>'Consolidated Input'!D46</f>
        <v>£m</v>
      </c>
      <c r="E46" s="18" t="str">
        <f>'Consolidated Input'!E46</f>
        <v>Price Review 2024</v>
      </c>
      <c r="F46" s="18"/>
      <c r="G46" s="18"/>
      <c r="H46" s="18"/>
      <c r="I46" s="18"/>
      <c r="J46" s="18"/>
      <c r="K46" s="18"/>
      <c r="L46" s="18"/>
      <c r="M46" s="38"/>
    </row>
    <row r="47" spans="1:13">
      <c r="A47" s="18" t="str">
        <f>'Consolidated Input'!A47</f>
        <v>NES</v>
      </c>
      <c r="B47" s="18" t="str">
        <f ca="1">Table1[[#This Row],[BON code]]</f>
        <v>CWW20_049_PR24</v>
      </c>
      <c r="C47" s="18" t="str">
        <f>'Consolidated Input'!C47</f>
        <v>Network / Storm overflow data - Number of continuous water quality monitor installations</v>
      </c>
      <c r="D47" s="18" t="str">
        <f>'Consolidated Input'!D47</f>
        <v>nr</v>
      </c>
      <c r="E47" s="18" t="str">
        <f>'Consolidated Input'!E47</f>
        <v>Price Review 2024</v>
      </c>
      <c r="F47" s="18"/>
      <c r="G47" s="18"/>
      <c r="H47" s="18"/>
      <c r="I47" s="18"/>
      <c r="J47" s="18"/>
      <c r="K47" s="18"/>
      <c r="L47" s="18"/>
      <c r="M47" s="38"/>
    </row>
    <row r="48" spans="1:13">
      <c r="A48" s="18" t="str">
        <f>'Consolidated Input'!A48</f>
        <v>NES</v>
      </c>
      <c r="B48" s="18" t="str">
        <f ca="1">Table1[[#This Row],[BON code]]</f>
        <v>CWW1A_015TOT_PR24</v>
      </c>
      <c r="C48" s="18" t="str">
        <f>'Consolidated Input'!C48</f>
        <v>Net totex - Total</v>
      </c>
      <c r="D48" s="18" t="str">
        <f>'Consolidated Input'!D48</f>
        <v>£m</v>
      </c>
      <c r="E48" s="18" t="str">
        <f>'Consolidated Input'!E48</f>
        <v>Price Review 2024</v>
      </c>
      <c r="F48" s="18"/>
      <c r="G48" s="18"/>
      <c r="H48" s="18"/>
      <c r="I48" s="18"/>
      <c r="J48" s="18"/>
      <c r="K48" s="18"/>
      <c r="L48" s="18"/>
      <c r="M48" s="38"/>
    </row>
    <row r="49" spans="1:13">
      <c r="A49" s="18" t="str">
        <f>'Consolidated Input'!A49</f>
        <v>NES</v>
      </c>
      <c r="B49" s="18" t="str">
        <f ca="1">Table1[[#This Row],[BON code]]</f>
        <v>PR24_NETTOTEX_WASTE</v>
      </c>
      <c r="C49" s="18" t="str">
        <f>'Consolidated Input'!C49</f>
        <v>PR24 BP Net totex - Total inc. accelerated &amp; transition costs</v>
      </c>
      <c r="D49" s="18" t="str">
        <f>'Consolidated Input'!D49</f>
        <v>£m</v>
      </c>
      <c r="E49" s="18" t="str">
        <f>'Consolidated Input'!E49</f>
        <v>Price Review 2024</v>
      </c>
      <c r="F49" s="18"/>
      <c r="G49" s="18"/>
      <c r="H49" s="18"/>
      <c r="I49" s="18"/>
      <c r="J49" s="18"/>
      <c r="K49" s="18"/>
      <c r="L49" s="18"/>
      <c r="M49" s="38"/>
    </row>
    <row r="50" spans="1:13">
      <c r="A50" s="18" t="str">
        <f>'Consolidated Input'!A50</f>
        <v>NES</v>
      </c>
      <c r="B50" s="18" t="str">
        <f ca="1">Table1[[#This Row],[BON code]]</f>
        <v>CWW12_007TOT_PR24</v>
      </c>
      <c r="C50" s="18" t="str">
        <f>'Consolidated Input'!C50</f>
        <v>EA/NRW environmental programme wastewater (WINEP/NEP) - Continuous river water quality monitoring (WINEP/NEP) wastewater capex - Total</v>
      </c>
      <c r="D50" s="18" t="str">
        <f>'Consolidated Input'!D50</f>
        <v>£m</v>
      </c>
      <c r="E50" s="18" t="str">
        <f>'Consolidated Input'!E50</f>
        <v>Price Review 2024</v>
      </c>
      <c r="F50" s="18"/>
      <c r="G50" s="18"/>
      <c r="H50" s="18"/>
      <c r="I50" s="18"/>
      <c r="J50" s="18"/>
      <c r="K50" s="18"/>
      <c r="L50" s="18"/>
      <c r="M50" s="38"/>
    </row>
    <row r="51" spans="1:13">
      <c r="A51" s="18" t="str">
        <f>'Consolidated Input'!A51</f>
        <v>NES</v>
      </c>
      <c r="B51" s="18" t="str">
        <f ca="1">Table1[[#This Row],[BON code]]</f>
        <v>CWW12_008TOT_PR24</v>
      </c>
      <c r="C51" s="18" t="str">
        <f>'Consolidated Input'!C51</f>
        <v>EA/NRW environmental programme wastewater (WINEP/NEP) - Continuous river water quality monitoring (WINEP/NEP) wastewater opex - Total</v>
      </c>
      <c r="D51" s="18" t="str">
        <f>'Consolidated Input'!D51</f>
        <v>£m</v>
      </c>
      <c r="E51" s="18" t="str">
        <f>'Consolidated Input'!E51</f>
        <v>Price Review 2024</v>
      </c>
      <c r="F51" s="18"/>
      <c r="G51" s="18"/>
      <c r="H51" s="18"/>
      <c r="I51" s="18"/>
      <c r="J51" s="18"/>
      <c r="K51" s="18"/>
      <c r="L51" s="18"/>
      <c r="M51" s="38"/>
    </row>
    <row r="52" spans="1:13">
      <c r="A52" s="18" t="str">
        <f>'Consolidated Input'!A52</f>
        <v>NES</v>
      </c>
      <c r="B52" s="18" t="str">
        <f ca="1">Table1[[#This Row],[BON code]]</f>
        <v>CWW12_009TOT_PR24</v>
      </c>
      <c r="C52" s="18" t="str">
        <f>'Consolidated Input'!C52</f>
        <v>EA/NRW environmental programme wastewater (WINEP/NEP) - Continuous river water quality monitoring (WINEP/NEP) wastewater totex - Total</v>
      </c>
      <c r="D52" s="18" t="str">
        <f>'Consolidated Input'!D52</f>
        <v>£m</v>
      </c>
      <c r="E52" s="18" t="str">
        <f>'Consolidated Input'!E52</f>
        <v>Price Review 2024</v>
      </c>
      <c r="F52" s="18"/>
      <c r="G52" s="18"/>
      <c r="H52" s="18"/>
      <c r="I52" s="18"/>
      <c r="J52" s="18"/>
      <c r="K52" s="18"/>
      <c r="L52" s="18"/>
      <c r="M52" s="38"/>
    </row>
    <row r="53" spans="1:13">
      <c r="A53" s="18" t="str">
        <f>'Consolidated Input'!A53</f>
        <v>NES</v>
      </c>
      <c r="B53" s="18" t="str">
        <f ca="1">Table1[[#This Row],[BON code]]</f>
        <v>CWW17_007TOT_PR24</v>
      </c>
      <c r="C53" s="18" t="str">
        <f>'Consolidated Input'!C53</f>
        <v>EA/NRW environmental programme wastewater (WINEP/NEP) - Continuous river water quality monitoring (WINEP/NEP) wastewater capex - Total</v>
      </c>
      <c r="D53" s="18" t="str">
        <f>'Consolidated Input'!D53</f>
        <v>£m</v>
      </c>
      <c r="E53" s="18" t="str">
        <f>'Consolidated Input'!E53</f>
        <v>Price Review 2024</v>
      </c>
      <c r="F53" s="18"/>
      <c r="G53" s="18"/>
      <c r="H53" s="18"/>
      <c r="I53" s="18"/>
      <c r="J53" s="18"/>
      <c r="K53" s="18"/>
      <c r="L53" s="18"/>
      <c r="M53" s="38"/>
    </row>
    <row r="54" spans="1:13">
      <c r="A54" s="18" t="str">
        <f>'Consolidated Input'!A54</f>
        <v>NES</v>
      </c>
      <c r="B54" s="18" t="str">
        <f ca="1">Table1[[#This Row],[BON code]]</f>
        <v>CWW17_008TOT_PR24</v>
      </c>
      <c r="C54" s="18" t="str">
        <f>'Consolidated Input'!C54</f>
        <v>EA/NRW environmental programme wastewater (WINEP/NEP) - Continuous river water quality monitoring (WINEP/NEP) wastewater opex - Total</v>
      </c>
      <c r="D54" s="18" t="str">
        <f>'Consolidated Input'!D54</f>
        <v>£m</v>
      </c>
      <c r="E54" s="18" t="str">
        <f>'Consolidated Input'!E54</f>
        <v>Price Review 2024</v>
      </c>
      <c r="F54" s="18"/>
      <c r="G54" s="18"/>
      <c r="H54" s="18"/>
      <c r="I54" s="18"/>
      <c r="J54" s="18"/>
      <c r="K54" s="18"/>
      <c r="L54" s="18"/>
      <c r="M54" s="38"/>
    </row>
    <row r="55" spans="1:13">
      <c r="A55" s="18" t="str">
        <f>'Consolidated Input'!A55</f>
        <v>NES</v>
      </c>
      <c r="B55" s="18" t="str">
        <f ca="1">Table1[[#This Row],[BON code]]</f>
        <v>CWW17_009TOT_PR24</v>
      </c>
      <c r="C55" s="18" t="str">
        <f>'Consolidated Input'!C55</f>
        <v>EA/NRW environmental programme wastewater (WINEP/NEP) - Continuous river water quality monitoring (WINEP/NEP) wastewater totex - Total</v>
      </c>
      <c r="D55" s="18" t="str">
        <f>'Consolidated Input'!D55</f>
        <v>£m</v>
      </c>
      <c r="E55" s="18" t="str">
        <f>'Consolidated Input'!E55</f>
        <v>Price Review 2024</v>
      </c>
      <c r="F55" s="18"/>
      <c r="G55" s="18"/>
      <c r="H55" s="18"/>
      <c r="I55" s="18"/>
      <c r="J55" s="18"/>
      <c r="K55" s="18"/>
      <c r="L55" s="18"/>
      <c r="M55" s="38"/>
    </row>
    <row r="56" spans="1:13">
      <c r="A56" s="18" t="str">
        <f>'Consolidated Input'!A56</f>
        <v>NES</v>
      </c>
      <c r="B56" s="18" t="str">
        <f ca="1">Table1[[#This Row],[BON code]]</f>
        <v>CWW20A_049_PR24</v>
      </c>
      <c r="C56" s="18" t="str">
        <f>'Consolidated Input'!C56</f>
        <v>Network / Storm overflow data - Number of continuous water quality monitor installations</v>
      </c>
      <c r="D56" s="18" t="str">
        <f>'Consolidated Input'!D56</f>
        <v>nr</v>
      </c>
      <c r="E56" s="18" t="str">
        <f>'Consolidated Input'!E56</f>
        <v>Price Review 2024</v>
      </c>
      <c r="F56" s="18"/>
      <c r="G56" s="18"/>
      <c r="H56" s="18"/>
      <c r="I56" s="18"/>
      <c r="J56" s="18"/>
      <c r="K56" s="18"/>
      <c r="L56" s="18"/>
      <c r="M56" s="38"/>
    </row>
    <row r="57" spans="1:13">
      <c r="A57" s="18" t="str">
        <f>'Consolidated Input'!A57</f>
        <v>SWB</v>
      </c>
      <c r="B57" s="18" t="str">
        <f ca="1">Table1[[#This Row],[BON code]]</f>
        <v>CWW3_007TOT_PR24</v>
      </c>
      <c r="C57" s="18" t="str">
        <f>'Consolidated Input'!C57</f>
        <v>EA/NRW environmental programme wastewater (WINEP/NEP) - Continuous river water quality monitoring (WINEP/NEP) wastewater capex - Total</v>
      </c>
      <c r="D57" s="18" t="str">
        <f>'Consolidated Input'!D57</f>
        <v>£m</v>
      </c>
      <c r="E57" s="18" t="str">
        <f>'Consolidated Input'!E57</f>
        <v>Price Review 2024</v>
      </c>
      <c r="F57" s="18"/>
      <c r="G57" s="18"/>
      <c r="H57" s="18"/>
      <c r="I57" s="18"/>
      <c r="J57" s="18"/>
      <c r="K57" s="18"/>
      <c r="L57" s="18"/>
      <c r="M57" s="38"/>
    </row>
    <row r="58" spans="1:13">
      <c r="A58" s="18" t="str">
        <f>'Consolidated Input'!A58</f>
        <v>SWB</v>
      </c>
      <c r="B58" s="18" t="str">
        <f ca="1">Table1[[#This Row],[BON code]]</f>
        <v>CWW3_008TOT_PR24</v>
      </c>
      <c r="C58" s="18" t="str">
        <f>'Consolidated Input'!C58</f>
        <v>EA/NRW environmental programme wastewater (WINEP/NEP) - Continuous river water quality monitoring (WINEP/NEP) wastewater opex - Total</v>
      </c>
      <c r="D58" s="18" t="str">
        <f>'Consolidated Input'!D58</f>
        <v>£m</v>
      </c>
      <c r="E58" s="18" t="str">
        <f>'Consolidated Input'!E58</f>
        <v>Price Review 2024</v>
      </c>
      <c r="F58" s="18"/>
      <c r="G58" s="18"/>
      <c r="H58" s="18"/>
      <c r="I58" s="18"/>
      <c r="J58" s="18"/>
      <c r="K58" s="18"/>
      <c r="L58" s="18"/>
      <c r="M58" s="38"/>
    </row>
    <row r="59" spans="1:13">
      <c r="A59" s="18" t="str">
        <f>'Consolidated Input'!A59</f>
        <v>SWB</v>
      </c>
      <c r="B59" s="18" t="str">
        <f ca="1">Table1[[#This Row],[BON code]]</f>
        <v>CWW3_009TOT_PR24</v>
      </c>
      <c r="C59" s="18" t="str">
        <f>'Consolidated Input'!C59</f>
        <v>EA/NRW environmental programme wastewater (WINEP/NEP) - Continuous river water quality monitoring (WINEP/NEP) wastewater totex - Total</v>
      </c>
      <c r="D59" s="18" t="str">
        <f>'Consolidated Input'!D59</f>
        <v>£m</v>
      </c>
      <c r="E59" s="18" t="str">
        <f>'Consolidated Input'!E59</f>
        <v>Price Review 2024</v>
      </c>
      <c r="F59" s="18"/>
      <c r="G59" s="18"/>
      <c r="H59" s="18"/>
      <c r="I59" s="18"/>
      <c r="J59" s="18"/>
      <c r="K59" s="18"/>
      <c r="L59" s="18"/>
      <c r="M59" s="38"/>
    </row>
    <row r="60" spans="1:13">
      <c r="A60" s="18" t="str">
        <f>'Consolidated Input'!A60</f>
        <v>SWB</v>
      </c>
      <c r="B60" s="18" t="str">
        <f ca="1">Table1[[#This Row],[BON code]]</f>
        <v>CWW20_049_PR24</v>
      </c>
      <c r="C60" s="18" t="str">
        <f>'Consolidated Input'!C60</f>
        <v>Network / Storm overflow data - Number of continuous water quality monitor installations</v>
      </c>
      <c r="D60" s="18" t="str">
        <f>'Consolidated Input'!D60</f>
        <v>nr</v>
      </c>
      <c r="E60" s="18" t="str">
        <f>'Consolidated Input'!E60</f>
        <v>Price Review 2024</v>
      </c>
      <c r="F60" s="18"/>
      <c r="G60" s="18"/>
      <c r="H60" s="18"/>
      <c r="I60" s="18"/>
      <c r="J60" s="18"/>
      <c r="K60" s="18"/>
      <c r="L60" s="18"/>
      <c r="M60" s="38"/>
    </row>
    <row r="61" spans="1:13">
      <c r="A61" s="18" t="str">
        <f>'Consolidated Input'!A61</f>
        <v>SWB</v>
      </c>
      <c r="B61" s="18" t="str">
        <f ca="1">Table1[[#This Row],[BON code]]</f>
        <v>CWW1A_015TOT_PR24</v>
      </c>
      <c r="C61" s="18" t="str">
        <f>'Consolidated Input'!C61</f>
        <v>Net totex - Total</v>
      </c>
      <c r="D61" s="18" t="str">
        <f>'Consolidated Input'!D61</f>
        <v>£m</v>
      </c>
      <c r="E61" s="18" t="str">
        <f>'Consolidated Input'!E61</f>
        <v>Price Review 2024</v>
      </c>
      <c r="F61" s="18"/>
      <c r="G61" s="18"/>
      <c r="H61" s="18"/>
      <c r="I61" s="18"/>
      <c r="J61" s="18"/>
      <c r="K61" s="18"/>
      <c r="L61" s="18"/>
      <c r="M61" s="38"/>
    </row>
    <row r="62" spans="1:13">
      <c r="A62" s="18" t="str">
        <f>'Consolidated Input'!A62</f>
        <v>SWB</v>
      </c>
      <c r="B62" s="18" t="str">
        <f ca="1">Table1[[#This Row],[BON code]]</f>
        <v>PR24_NETTOTEX_WASTE</v>
      </c>
      <c r="C62" s="18" t="str">
        <f>'Consolidated Input'!C62</f>
        <v>PR24 BP Net totex - Total inc. accelerated &amp; transition costs</v>
      </c>
      <c r="D62" s="18" t="str">
        <f>'Consolidated Input'!D62</f>
        <v>£m</v>
      </c>
      <c r="E62" s="18" t="str">
        <f>'Consolidated Input'!E62</f>
        <v>Price Review 2024</v>
      </c>
      <c r="F62" s="18"/>
      <c r="G62" s="18"/>
      <c r="H62" s="18"/>
      <c r="I62" s="18"/>
      <c r="J62" s="18"/>
      <c r="K62" s="18"/>
      <c r="L62" s="18"/>
      <c r="M62" s="38"/>
    </row>
    <row r="63" spans="1:13">
      <c r="A63" s="18" t="str">
        <f>'Consolidated Input'!A63</f>
        <v>SWB</v>
      </c>
      <c r="B63" s="18" t="str">
        <f ca="1">Table1[[#This Row],[BON code]]</f>
        <v>CWW12_007TOT_PR24</v>
      </c>
      <c r="C63" s="18" t="str">
        <f>'Consolidated Input'!C63</f>
        <v>EA/NRW environmental programme wastewater (WINEP/NEP) - Continuous river water quality monitoring (WINEP/NEP) wastewater capex - Total</v>
      </c>
      <c r="D63" s="18" t="str">
        <f>'Consolidated Input'!D63</f>
        <v>£m</v>
      </c>
      <c r="E63" s="18" t="str">
        <f>'Consolidated Input'!E63</f>
        <v>Price Review 2024</v>
      </c>
      <c r="F63" s="18"/>
      <c r="G63" s="18"/>
      <c r="H63" s="18"/>
      <c r="I63" s="18"/>
      <c r="J63" s="18"/>
      <c r="K63" s="18"/>
      <c r="L63" s="18"/>
      <c r="M63" s="38"/>
    </row>
    <row r="64" spans="1:13">
      <c r="A64" s="18" t="str">
        <f>'Consolidated Input'!A64</f>
        <v>SWB</v>
      </c>
      <c r="B64" s="18" t="str">
        <f ca="1">Table1[[#This Row],[BON code]]</f>
        <v>CWW12_008TOT_PR24</v>
      </c>
      <c r="C64" s="18" t="str">
        <f>'Consolidated Input'!C64</f>
        <v>EA/NRW environmental programme wastewater (WINEP/NEP) - Continuous river water quality monitoring (WINEP/NEP) wastewater opex - Total</v>
      </c>
      <c r="D64" s="18" t="str">
        <f>'Consolidated Input'!D64</f>
        <v>£m</v>
      </c>
      <c r="E64" s="18" t="str">
        <f>'Consolidated Input'!E64</f>
        <v>Price Review 2024</v>
      </c>
      <c r="F64" s="18"/>
      <c r="G64" s="18"/>
      <c r="H64" s="18"/>
      <c r="I64" s="18"/>
      <c r="J64" s="18"/>
      <c r="K64" s="18"/>
      <c r="L64" s="18"/>
      <c r="M64" s="38"/>
    </row>
    <row r="65" spans="1:13">
      <c r="A65" s="18" t="str">
        <f>'Consolidated Input'!A65</f>
        <v>SWB</v>
      </c>
      <c r="B65" s="18" t="str">
        <f ca="1">Table1[[#This Row],[BON code]]</f>
        <v>CWW12_009TOT_PR24</v>
      </c>
      <c r="C65" s="18" t="str">
        <f>'Consolidated Input'!C65</f>
        <v>EA/NRW environmental programme wastewater (WINEP/NEP) - Continuous river water quality monitoring (WINEP/NEP) wastewater totex - Total</v>
      </c>
      <c r="D65" s="18" t="str">
        <f>'Consolidated Input'!D65</f>
        <v>£m</v>
      </c>
      <c r="E65" s="18" t="str">
        <f>'Consolidated Input'!E65</f>
        <v>Price Review 2024</v>
      </c>
      <c r="F65" s="18"/>
      <c r="G65" s="18"/>
      <c r="H65" s="18"/>
      <c r="I65" s="18"/>
      <c r="J65" s="18"/>
      <c r="K65" s="18"/>
      <c r="L65" s="18"/>
      <c r="M65" s="38"/>
    </row>
    <row r="66" spans="1:13">
      <c r="A66" s="18" t="str">
        <f>'Consolidated Input'!A66</f>
        <v>SWB</v>
      </c>
      <c r="B66" s="18" t="str">
        <f ca="1">Table1[[#This Row],[BON code]]</f>
        <v>CWW17_007TOT_PR24</v>
      </c>
      <c r="C66" s="18" t="str">
        <f>'Consolidated Input'!C66</f>
        <v>EA/NRW environmental programme wastewater (WINEP/NEP) - Continuous river water quality monitoring (WINEP/NEP) wastewater capex - Total</v>
      </c>
      <c r="D66" s="18" t="str">
        <f>'Consolidated Input'!D66</f>
        <v>£m</v>
      </c>
      <c r="E66" s="18" t="str">
        <f>'Consolidated Input'!E66</f>
        <v>Price Review 2024</v>
      </c>
      <c r="F66" s="18"/>
      <c r="G66" s="18"/>
      <c r="H66" s="18"/>
      <c r="I66" s="18"/>
      <c r="J66" s="18"/>
      <c r="K66" s="18"/>
      <c r="L66" s="18"/>
      <c r="M66" s="38"/>
    </row>
    <row r="67" spans="1:13">
      <c r="A67" s="18" t="str">
        <f>'Consolidated Input'!A67</f>
        <v>SWB</v>
      </c>
      <c r="B67" s="18" t="str">
        <f ca="1">Table1[[#This Row],[BON code]]</f>
        <v>CWW17_008TOT_PR24</v>
      </c>
      <c r="C67" s="18" t="str">
        <f>'Consolidated Input'!C67</f>
        <v>EA/NRW environmental programme wastewater (WINEP/NEP) - Continuous river water quality monitoring (WINEP/NEP) wastewater opex - Total</v>
      </c>
      <c r="D67" s="18" t="str">
        <f>'Consolidated Input'!D67</f>
        <v>£m</v>
      </c>
      <c r="E67" s="18" t="str">
        <f>'Consolidated Input'!E67</f>
        <v>Price Review 2024</v>
      </c>
      <c r="F67" s="18"/>
      <c r="G67" s="18"/>
      <c r="H67" s="18"/>
      <c r="I67" s="18"/>
      <c r="J67" s="18"/>
      <c r="K67" s="18"/>
      <c r="L67" s="18"/>
      <c r="M67" s="38"/>
    </row>
    <row r="68" spans="1:13">
      <c r="A68" s="18" t="str">
        <f>'Consolidated Input'!A68</f>
        <v>SWB</v>
      </c>
      <c r="B68" s="18" t="str">
        <f ca="1">Table1[[#This Row],[BON code]]</f>
        <v>CWW17_009TOT_PR24</v>
      </c>
      <c r="C68" s="18" t="str">
        <f>'Consolidated Input'!C68</f>
        <v>EA/NRW environmental programme wastewater (WINEP/NEP) - Continuous river water quality monitoring (WINEP/NEP) wastewater totex - Total</v>
      </c>
      <c r="D68" s="18" t="str">
        <f>'Consolidated Input'!D68</f>
        <v>£m</v>
      </c>
      <c r="E68" s="18" t="str">
        <f>'Consolidated Input'!E68</f>
        <v>Price Review 2024</v>
      </c>
      <c r="F68" s="18"/>
      <c r="G68" s="18"/>
      <c r="H68" s="18"/>
      <c r="I68" s="18"/>
      <c r="J68" s="18"/>
      <c r="K68" s="18"/>
      <c r="L68" s="18"/>
      <c r="M68" s="38"/>
    </row>
    <row r="69" spans="1:13">
      <c r="A69" s="18" t="str">
        <f>'Consolidated Input'!A69</f>
        <v>SWB</v>
      </c>
      <c r="B69" s="18" t="str">
        <f ca="1">Table1[[#This Row],[BON code]]</f>
        <v>CWW20A_049_PR24</v>
      </c>
      <c r="C69" s="18" t="str">
        <f>'Consolidated Input'!C69</f>
        <v>Network / Storm overflow data - Number of continuous water quality monitor installations</v>
      </c>
      <c r="D69" s="18" t="str">
        <f>'Consolidated Input'!D69</f>
        <v>nr</v>
      </c>
      <c r="E69" s="18" t="str">
        <f>'Consolidated Input'!E69</f>
        <v>Price Review 2024</v>
      </c>
      <c r="F69" s="18"/>
      <c r="G69" s="18"/>
      <c r="H69" s="18"/>
      <c r="I69" s="18"/>
      <c r="J69" s="18"/>
      <c r="K69" s="18"/>
      <c r="L69" s="18"/>
      <c r="M69" s="38"/>
    </row>
    <row r="70" spans="1:13">
      <c r="A70" s="18" t="str">
        <f>'Consolidated Input'!A70</f>
        <v>SVE</v>
      </c>
      <c r="B70" s="18" t="str">
        <f ca="1">Table1[[#This Row],[BON code]]</f>
        <v>CWW3_007TOT_PR24</v>
      </c>
      <c r="C70" s="18" t="str">
        <f>'Consolidated Input'!C70</f>
        <v>EA/NRW environmental programme wastewater (WINEP/NEP) - Continuous river water quality monitoring (WINEP/NEP) wastewater capex - Total</v>
      </c>
      <c r="D70" s="18" t="str">
        <f>'Consolidated Input'!D70</f>
        <v>£m</v>
      </c>
      <c r="E70" s="18" t="str">
        <f>'Consolidated Input'!E70</f>
        <v>Price Review 2024</v>
      </c>
      <c r="F70" s="18"/>
      <c r="G70" s="18"/>
      <c r="H70" s="18"/>
      <c r="I70" s="18"/>
      <c r="J70" s="18"/>
      <c r="K70" s="18"/>
      <c r="L70" s="18"/>
      <c r="M70" s="38"/>
    </row>
    <row r="71" spans="1:13">
      <c r="A71" s="18" t="str">
        <f>'Consolidated Input'!A71</f>
        <v>SVE</v>
      </c>
      <c r="B71" s="18" t="str">
        <f ca="1">Table1[[#This Row],[BON code]]</f>
        <v>CWW3_008TOT_PR24</v>
      </c>
      <c r="C71" s="18" t="str">
        <f>'Consolidated Input'!C71</f>
        <v>EA/NRW environmental programme wastewater (WINEP/NEP) - Continuous river water quality monitoring (WINEP/NEP) wastewater opex - Total</v>
      </c>
      <c r="D71" s="18" t="str">
        <f>'Consolidated Input'!D71</f>
        <v>£m</v>
      </c>
      <c r="E71" s="18" t="str">
        <f>'Consolidated Input'!E71</f>
        <v>Price Review 2024</v>
      </c>
      <c r="F71" s="18"/>
      <c r="G71" s="18"/>
      <c r="H71" s="18"/>
      <c r="I71" s="18"/>
      <c r="J71" s="18"/>
      <c r="K71" s="18"/>
      <c r="L71" s="18"/>
      <c r="M71" s="38"/>
    </row>
    <row r="72" spans="1:13">
      <c r="A72" s="18" t="str">
        <f>'Consolidated Input'!A72</f>
        <v>SVE</v>
      </c>
      <c r="B72" s="18" t="str">
        <f ca="1">Table1[[#This Row],[BON code]]</f>
        <v>CWW3_009TOT_PR24</v>
      </c>
      <c r="C72" s="18" t="str">
        <f>'Consolidated Input'!C72</f>
        <v>EA/NRW environmental programme wastewater (WINEP/NEP) - Continuous river water quality monitoring (WINEP/NEP) wastewater totex - Total</v>
      </c>
      <c r="D72" s="18" t="str">
        <f>'Consolidated Input'!D72</f>
        <v>£m</v>
      </c>
      <c r="E72" s="18" t="str">
        <f>'Consolidated Input'!E72</f>
        <v>Price Review 2024</v>
      </c>
      <c r="F72" s="18"/>
      <c r="G72" s="18"/>
      <c r="H72" s="18"/>
      <c r="I72" s="18"/>
      <c r="J72" s="18"/>
      <c r="K72" s="18"/>
      <c r="L72" s="18"/>
      <c r="M72" s="38"/>
    </row>
    <row r="73" spans="1:13">
      <c r="A73" s="18" t="str">
        <f>'Consolidated Input'!A73</f>
        <v>SVE</v>
      </c>
      <c r="B73" s="18" t="str">
        <f ca="1">Table1[[#This Row],[BON code]]</f>
        <v>CWW20_049_PR24</v>
      </c>
      <c r="C73" s="18" t="str">
        <f>'Consolidated Input'!C73</f>
        <v>Network / Storm overflow data - Number of continuous water quality monitor installations</v>
      </c>
      <c r="D73" s="18" t="str">
        <f>'Consolidated Input'!D73</f>
        <v>nr</v>
      </c>
      <c r="E73" s="18" t="str">
        <f>'Consolidated Input'!E73</f>
        <v>Price Review 2024</v>
      </c>
      <c r="F73" s="18"/>
      <c r="G73" s="18"/>
      <c r="H73" s="18"/>
      <c r="I73" s="18"/>
      <c r="J73" s="18"/>
      <c r="K73" s="18"/>
      <c r="L73" s="18"/>
      <c r="M73" s="38"/>
    </row>
    <row r="74" spans="1:13">
      <c r="A74" s="18" t="str">
        <f>'Consolidated Input'!A74</f>
        <v>SVE</v>
      </c>
      <c r="B74" s="18" t="str">
        <f ca="1">Table1[[#This Row],[BON code]]</f>
        <v>CWW1A_015TOT_PR24</v>
      </c>
      <c r="C74" s="18" t="str">
        <f>'Consolidated Input'!C74</f>
        <v>Net totex - Total</v>
      </c>
      <c r="D74" s="18" t="str">
        <f>'Consolidated Input'!D74</f>
        <v>£m</v>
      </c>
      <c r="E74" s="18" t="str">
        <f>'Consolidated Input'!E74</f>
        <v>Price Review 2024</v>
      </c>
      <c r="F74" s="18"/>
      <c r="G74" s="18"/>
      <c r="H74" s="18"/>
      <c r="I74" s="18"/>
      <c r="J74" s="18"/>
      <c r="K74" s="18"/>
      <c r="L74" s="18"/>
      <c r="M74" s="38"/>
    </row>
    <row r="75" spans="1:13">
      <c r="A75" s="18" t="str">
        <f>'Consolidated Input'!A75</f>
        <v>SVE</v>
      </c>
      <c r="B75" s="18" t="str">
        <f ca="1">Table1[[#This Row],[BON code]]</f>
        <v>PR24_NETTOTEX_WASTE</v>
      </c>
      <c r="C75" s="18" t="str">
        <f>'Consolidated Input'!C75</f>
        <v>PR24 BP Net totex - Total inc. accelerated &amp; transition costs</v>
      </c>
      <c r="D75" s="18" t="str">
        <f>'Consolidated Input'!D75</f>
        <v>£m</v>
      </c>
      <c r="E75" s="18" t="str">
        <f>'Consolidated Input'!E75</f>
        <v>Price Review 2024</v>
      </c>
      <c r="F75" s="18"/>
      <c r="G75" s="18"/>
      <c r="H75" s="18"/>
      <c r="I75" s="18"/>
      <c r="J75" s="18"/>
      <c r="K75" s="18"/>
      <c r="L75" s="18"/>
      <c r="M75" s="38"/>
    </row>
    <row r="76" spans="1:13">
      <c r="A76" s="18" t="str">
        <f>'Consolidated Input'!A76</f>
        <v>SVE</v>
      </c>
      <c r="B76" s="18" t="str">
        <f ca="1">Table1[[#This Row],[BON code]]</f>
        <v>CWW12_007TOT_PR24</v>
      </c>
      <c r="C76" s="18" t="str">
        <f>'Consolidated Input'!C76</f>
        <v>EA/NRW environmental programme wastewater (WINEP/NEP) - Continuous river water quality monitoring (WINEP/NEP) wastewater capex - Total</v>
      </c>
      <c r="D76" s="18" t="str">
        <f>'Consolidated Input'!D76</f>
        <v>£m</v>
      </c>
      <c r="E76" s="18" t="str">
        <f>'Consolidated Input'!E76</f>
        <v>Price Review 2024</v>
      </c>
      <c r="F76" s="18"/>
      <c r="G76" s="18"/>
      <c r="H76" s="18"/>
      <c r="I76" s="18"/>
      <c r="J76" s="18"/>
      <c r="K76" s="18"/>
      <c r="L76" s="18"/>
      <c r="M76" s="38"/>
    </row>
    <row r="77" spans="1:13">
      <c r="A77" s="18" t="str">
        <f>'Consolidated Input'!A77</f>
        <v>SVE</v>
      </c>
      <c r="B77" s="18" t="str">
        <f ca="1">Table1[[#This Row],[BON code]]</f>
        <v>CWW12_008TOT_PR24</v>
      </c>
      <c r="C77" s="18" t="str">
        <f>'Consolidated Input'!C77</f>
        <v>EA/NRW environmental programme wastewater (WINEP/NEP) - Continuous river water quality monitoring (WINEP/NEP) wastewater opex - Total</v>
      </c>
      <c r="D77" s="18" t="str">
        <f>'Consolidated Input'!D77</f>
        <v>£m</v>
      </c>
      <c r="E77" s="18" t="str">
        <f>'Consolidated Input'!E77</f>
        <v>Price Review 2024</v>
      </c>
      <c r="F77" s="18"/>
      <c r="G77" s="18"/>
      <c r="H77" s="18"/>
      <c r="I77" s="18"/>
      <c r="J77" s="18"/>
      <c r="K77" s="18"/>
      <c r="L77" s="18"/>
      <c r="M77" s="38"/>
    </row>
    <row r="78" spans="1:13">
      <c r="A78" s="18" t="str">
        <f>'Consolidated Input'!A78</f>
        <v>SVE</v>
      </c>
      <c r="B78" s="18" t="str">
        <f ca="1">Table1[[#This Row],[BON code]]</f>
        <v>CWW12_009TOT_PR24</v>
      </c>
      <c r="C78" s="18" t="str">
        <f>'Consolidated Input'!C78</f>
        <v>EA/NRW environmental programme wastewater (WINEP/NEP) - Continuous river water quality monitoring (WINEP/NEP) wastewater totex - Total</v>
      </c>
      <c r="D78" s="18" t="str">
        <f>'Consolidated Input'!D78</f>
        <v>£m</v>
      </c>
      <c r="E78" s="18" t="str">
        <f>'Consolidated Input'!E78</f>
        <v>Price Review 2024</v>
      </c>
      <c r="F78" s="18"/>
      <c r="G78" s="18"/>
      <c r="H78" s="18"/>
      <c r="I78" s="18"/>
      <c r="J78" s="18"/>
      <c r="K78" s="18"/>
      <c r="L78" s="18"/>
      <c r="M78" s="38"/>
    </row>
    <row r="79" spans="1:13">
      <c r="A79" s="18" t="str">
        <f>'Consolidated Input'!A79</f>
        <v>SVE</v>
      </c>
      <c r="B79" s="18" t="str">
        <f ca="1">Table1[[#This Row],[BON code]]</f>
        <v>CWW17_007TOT_PR24</v>
      </c>
      <c r="C79" s="18" t="str">
        <f>'Consolidated Input'!C79</f>
        <v>EA/NRW environmental programme wastewater (WINEP/NEP) - Continuous river water quality monitoring (WINEP/NEP) wastewater capex - Total</v>
      </c>
      <c r="D79" s="18" t="str">
        <f>'Consolidated Input'!D79</f>
        <v>£m</v>
      </c>
      <c r="E79" s="18" t="str">
        <f>'Consolidated Input'!E79</f>
        <v>Price Review 2024</v>
      </c>
      <c r="F79" s="18"/>
      <c r="G79" s="18"/>
      <c r="H79" s="18"/>
      <c r="I79" s="18"/>
      <c r="J79" s="18"/>
      <c r="K79" s="18"/>
      <c r="L79" s="18"/>
      <c r="M79" s="38"/>
    </row>
    <row r="80" spans="1:13">
      <c r="A80" s="18" t="str">
        <f>'Consolidated Input'!A80</f>
        <v>SVE</v>
      </c>
      <c r="B80" s="18" t="str">
        <f ca="1">Table1[[#This Row],[BON code]]</f>
        <v>CWW17_008TOT_PR24</v>
      </c>
      <c r="C80" s="18" t="str">
        <f>'Consolidated Input'!C80</f>
        <v>EA/NRW environmental programme wastewater (WINEP/NEP) - Continuous river water quality monitoring (WINEP/NEP) wastewater opex - Total</v>
      </c>
      <c r="D80" s="18" t="str">
        <f>'Consolidated Input'!D80</f>
        <v>£m</v>
      </c>
      <c r="E80" s="18" t="str">
        <f>'Consolidated Input'!E80</f>
        <v>Price Review 2024</v>
      </c>
      <c r="F80" s="18"/>
      <c r="G80" s="18"/>
      <c r="H80" s="18"/>
      <c r="I80" s="18"/>
      <c r="J80" s="18"/>
      <c r="K80" s="18"/>
      <c r="L80" s="18"/>
      <c r="M80" s="38"/>
    </row>
    <row r="81" spans="1:14">
      <c r="A81" s="18" t="str">
        <f>'Consolidated Input'!A81</f>
        <v>SVE</v>
      </c>
      <c r="B81" s="18" t="str">
        <f ca="1">Table1[[#This Row],[BON code]]</f>
        <v>CWW17_009TOT_PR24</v>
      </c>
      <c r="C81" s="18" t="str">
        <f>'Consolidated Input'!C81</f>
        <v>EA/NRW environmental programme wastewater (WINEP/NEP) - Continuous river water quality monitoring (WINEP/NEP) wastewater totex - Total</v>
      </c>
      <c r="D81" s="18" t="str">
        <f>'Consolidated Input'!D81</f>
        <v>£m</v>
      </c>
      <c r="E81" s="18" t="str">
        <f>'Consolidated Input'!E81</f>
        <v>Price Review 2024</v>
      </c>
      <c r="F81" s="18"/>
      <c r="G81" s="18"/>
      <c r="H81" s="18"/>
      <c r="I81" s="18"/>
      <c r="J81" s="18"/>
      <c r="K81" s="18"/>
      <c r="L81" s="18"/>
      <c r="M81" s="38"/>
    </row>
    <row r="82" spans="1:14">
      <c r="A82" s="18" t="str">
        <f>'Consolidated Input'!A82</f>
        <v>SVE</v>
      </c>
      <c r="B82" s="18" t="str">
        <f ca="1">Table1[[#This Row],[BON code]]</f>
        <v>CWW20A_049_PR24</v>
      </c>
      <c r="C82" s="18" t="str">
        <f>'Consolidated Input'!C82</f>
        <v>Network / Storm overflow data - Number of continuous water quality monitor installations</v>
      </c>
      <c r="D82" s="18" t="str">
        <f>'Consolidated Input'!D82</f>
        <v>nr</v>
      </c>
      <c r="E82" s="18" t="str">
        <f>'Consolidated Input'!E82</f>
        <v>Price Review 2024</v>
      </c>
      <c r="F82" s="18"/>
      <c r="G82" s="18"/>
      <c r="H82" s="18"/>
      <c r="I82" s="18"/>
      <c r="J82" s="18"/>
      <c r="K82" s="18"/>
      <c r="L82" s="18"/>
      <c r="M82" s="38"/>
    </row>
    <row r="83" spans="1:14">
      <c r="A83" s="18" t="str">
        <f>'Consolidated Input'!A83</f>
        <v>SRN</v>
      </c>
      <c r="B83" s="18" t="str">
        <f ca="1">Table1[[#This Row],[BON code]]</f>
        <v>CWW3_007TOT_PR24</v>
      </c>
      <c r="C83" s="18" t="str">
        <f>'Consolidated Input'!C83</f>
        <v>EA/NRW environmental programme wastewater (WINEP/NEP) - Continuous river water quality monitoring (WINEP/NEP) wastewater capex - Total</v>
      </c>
      <c r="D83" s="18" t="str">
        <f>'Consolidated Input'!D83</f>
        <v>£m</v>
      </c>
      <c r="E83" s="18" t="str">
        <f>'Consolidated Input'!E83</f>
        <v>Price Review 2024</v>
      </c>
      <c r="F83" s="18"/>
      <c r="G83" s="18"/>
      <c r="H83" s="18"/>
      <c r="I83" s="18"/>
      <c r="J83" s="18"/>
      <c r="K83" s="18"/>
      <c r="L83" s="18"/>
      <c r="M83" s="38"/>
    </row>
    <row r="84" spans="1:14">
      <c r="A84" s="18" t="str">
        <f>'Consolidated Input'!A84</f>
        <v>SRN</v>
      </c>
      <c r="B84" s="18" t="str">
        <f ca="1">Table1[[#This Row],[BON code]]</f>
        <v>CWW3_008TOT_PR24</v>
      </c>
      <c r="C84" s="18" t="str">
        <f>'Consolidated Input'!C84</f>
        <v>EA/NRW environmental programme wastewater (WINEP/NEP) - Continuous river water quality monitoring (WINEP/NEP) wastewater opex - Total</v>
      </c>
      <c r="D84" s="18" t="str">
        <f>'Consolidated Input'!D84</f>
        <v>£m</v>
      </c>
      <c r="E84" s="18" t="str">
        <f>'Consolidated Input'!E84</f>
        <v>Price Review 2024</v>
      </c>
      <c r="F84" s="18"/>
      <c r="G84" s="18"/>
      <c r="H84" s="18"/>
      <c r="I84" s="18"/>
      <c r="J84" s="18"/>
      <c r="K84" s="18"/>
      <c r="L84" s="18"/>
      <c r="M84" s="38"/>
    </row>
    <row r="85" spans="1:14">
      <c r="A85" s="18" t="str">
        <f>'Consolidated Input'!A85</f>
        <v>SRN</v>
      </c>
      <c r="B85" s="18" t="str">
        <f ca="1">Table1[[#This Row],[BON code]]</f>
        <v>CWW3_009TOT_PR24</v>
      </c>
      <c r="C85" s="18" t="str">
        <f>'Consolidated Input'!C85</f>
        <v>EA/NRW environmental programme wastewater (WINEP/NEP) - Continuous river water quality monitoring (WINEP/NEP) wastewater totex - Total</v>
      </c>
      <c r="D85" s="18" t="str">
        <f>'Consolidated Input'!D85</f>
        <v>£m</v>
      </c>
      <c r="E85" s="18" t="str">
        <f>'Consolidated Input'!E85</f>
        <v>Price Review 2024</v>
      </c>
      <c r="F85" s="18"/>
      <c r="G85" s="18"/>
      <c r="H85" s="18"/>
      <c r="I85" s="18"/>
      <c r="J85" s="18"/>
      <c r="K85" s="18"/>
      <c r="L85" s="18"/>
      <c r="M85" s="38"/>
    </row>
    <row r="86" spans="1:14">
      <c r="A86" s="18" t="str">
        <f>'Consolidated Input'!A86</f>
        <v>SRN</v>
      </c>
      <c r="B86" s="18" t="str">
        <f ca="1">Table1[[#This Row],[BON code]]</f>
        <v>CWW20_049_PR24</v>
      </c>
      <c r="C86" s="18" t="str">
        <f>'Consolidated Input'!C86</f>
        <v>Network / Storm overflow data - Number of continuous water quality monitor installations</v>
      </c>
      <c r="D86" s="18" t="str">
        <f>'Consolidated Input'!D86</f>
        <v>nr</v>
      </c>
      <c r="E86" s="18" t="str">
        <f>'Consolidated Input'!E86</f>
        <v>Price Review 2024</v>
      </c>
      <c r="F86" s="18"/>
      <c r="G86" s="18"/>
      <c r="H86" s="18"/>
      <c r="I86" s="18"/>
      <c r="J86" s="18"/>
      <c r="K86" s="18"/>
      <c r="L86" s="18"/>
      <c r="M86" s="38"/>
    </row>
    <row r="87" spans="1:14">
      <c r="A87" s="18" t="str">
        <f>'Consolidated Input'!A87</f>
        <v>SRN</v>
      </c>
      <c r="B87" s="18" t="str">
        <f ca="1">Table1[[#This Row],[BON code]]</f>
        <v>CWW1A_015TOT_PR24</v>
      </c>
      <c r="C87" s="18" t="str">
        <f>'Consolidated Input'!C87</f>
        <v>Net totex - Total</v>
      </c>
      <c r="D87" s="18" t="str">
        <f>'Consolidated Input'!D87</f>
        <v>£m</v>
      </c>
      <c r="E87" s="18" t="str">
        <f>'Consolidated Input'!E87</f>
        <v>Price Review 2024</v>
      </c>
      <c r="F87" s="18"/>
      <c r="G87" s="18"/>
      <c r="H87" s="18"/>
      <c r="I87" s="18"/>
      <c r="J87" s="18"/>
      <c r="K87" s="18"/>
      <c r="L87" s="18"/>
      <c r="M87" s="38"/>
      <c r="N87" s="44"/>
    </row>
    <row r="88" spans="1:14">
      <c r="A88" s="18" t="str">
        <f>'Consolidated Input'!A88</f>
        <v>SRN</v>
      </c>
      <c r="B88" s="18" t="str">
        <f ca="1">Table1[[#This Row],[BON code]]</f>
        <v>PR24_NETTOTEX_WASTE</v>
      </c>
      <c r="C88" s="18" t="str">
        <f>'Consolidated Input'!C88</f>
        <v>PR24 BP Net totex - Total inc. accelerated &amp; transition costs</v>
      </c>
      <c r="D88" s="18" t="str">
        <f>'Consolidated Input'!D88</f>
        <v>£m</v>
      </c>
      <c r="E88" s="18" t="str">
        <f>'Consolidated Input'!E88</f>
        <v>Price Review 2024</v>
      </c>
      <c r="F88" s="18"/>
      <c r="G88" s="18"/>
      <c r="H88" s="18"/>
      <c r="I88" s="18"/>
      <c r="J88" s="18"/>
      <c r="K88" s="18"/>
      <c r="L88" s="18"/>
      <c r="M88" s="38"/>
    </row>
    <row r="89" spans="1:14">
      <c r="A89" s="18" t="str">
        <f>'Consolidated Input'!A89</f>
        <v>SRN</v>
      </c>
      <c r="B89" s="18" t="str">
        <f ca="1">Table1[[#This Row],[BON code]]</f>
        <v>CWW12_007TOT_PR24</v>
      </c>
      <c r="C89" s="18" t="str">
        <f>'Consolidated Input'!C89</f>
        <v>EA/NRW environmental programme wastewater (WINEP/NEP) - Continuous river water quality monitoring (WINEP/NEP) wastewater capex - Total</v>
      </c>
      <c r="D89" s="18" t="str">
        <f>'Consolidated Input'!D89</f>
        <v>£m</v>
      </c>
      <c r="E89" s="18" t="str">
        <f>'Consolidated Input'!E89</f>
        <v>Price Review 2024</v>
      </c>
      <c r="F89" s="18"/>
      <c r="G89" s="18"/>
      <c r="H89" s="18"/>
      <c r="I89" s="18"/>
      <c r="J89" s="18"/>
      <c r="K89" s="18"/>
      <c r="L89" s="18"/>
      <c r="M89" s="38"/>
    </row>
    <row r="90" spans="1:14">
      <c r="A90" s="18" t="str">
        <f>'Consolidated Input'!A90</f>
        <v>SRN</v>
      </c>
      <c r="B90" s="18" t="str">
        <f ca="1">Table1[[#This Row],[BON code]]</f>
        <v>CWW12_008TOT_PR24</v>
      </c>
      <c r="C90" s="18" t="str">
        <f>'Consolidated Input'!C90</f>
        <v>EA/NRW environmental programme wastewater (WINEP/NEP) - Continuous river water quality monitoring (WINEP/NEP) wastewater opex - Total</v>
      </c>
      <c r="D90" s="18" t="str">
        <f>'Consolidated Input'!D90</f>
        <v>£m</v>
      </c>
      <c r="E90" s="18" t="str">
        <f>'Consolidated Input'!E90</f>
        <v>Price Review 2024</v>
      </c>
      <c r="F90" s="18"/>
      <c r="G90" s="18"/>
      <c r="H90" s="18"/>
      <c r="I90" s="18"/>
      <c r="J90" s="18"/>
      <c r="K90" s="18"/>
      <c r="L90" s="18"/>
      <c r="M90" s="38"/>
    </row>
    <row r="91" spans="1:14">
      <c r="A91" s="18" t="str">
        <f>'Consolidated Input'!A91</f>
        <v>SRN</v>
      </c>
      <c r="B91" s="18" t="str">
        <f ca="1">Table1[[#This Row],[BON code]]</f>
        <v>CWW12_009TOT_PR24</v>
      </c>
      <c r="C91" s="18" t="str">
        <f>'Consolidated Input'!C91</f>
        <v>EA/NRW environmental programme wastewater (WINEP/NEP) - Continuous river water quality monitoring (WINEP/NEP) wastewater totex - Total</v>
      </c>
      <c r="D91" s="18" t="str">
        <f>'Consolidated Input'!D91</f>
        <v>£m</v>
      </c>
      <c r="E91" s="18" t="str">
        <f>'Consolidated Input'!E91</f>
        <v>Price Review 2024</v>
      </c>
      <c r="F91" s="18"/>
      <c r="G91" s="18"/>
      <c r="H91" s="18"/>
      <c r="I91" s="18"/>
      <c r="J91" s="18"/>
      <c r="K91" s="18"/>
      <c r="L91" s="18"/>
      <c r="M91" s="38"/>
    </row>
    <row r="92" spans="1:14">
      <c r="A92" s="18" t="str">
        <f>'Consolidated Input'!A92</f>
        <v>SRN</v>
      </c>
      <c r="B92" s="18" t="str">
        <f ca="1">Table1[[#This Row],[BON code]]</f>
        <v>CWW17_007TOT_PR24</v>
      </c>
      <c r="C92" s="18" t="str">
        <f>'Consolidated Input'!C92</f>
        <v>EA/NRW environmental programme wastewater (WINEP/NEP) - Continuous river water quality monitoring (WINEP/NEP) wastewater capex - Total</v>
      </c>
      <c r="D92" s="18" t="str">
        <f>'Consolidated Input'!D92</f>
        <v>£m</v>
      </c>
      <c r="E92" s="18" t="str">
        <f>'Consolidated Input'!E92</f>
        <v>Price Review 2024</v>
      </c>
      <c r="F92" s="18"/>
      <c r="G92" s="18"/>
      <c r="H92" s="18"/>
      <c r="I92" s="18"/>
      <c r="J92" s="18"/>
      <c r="K92" s="18"/>
      <c r="L92" s="18"/>
      <c r="M92" s="38"/>
    </row>
    <row r="93" spans="1:14">
      <c r="A93" s="18" t="str">
        <f>'Consolidated Input'!A93</f>
        <v>SRN</v>
      </c>
      <c r="B93" s="18" t="str">
        <f ca="1">Table1[[#This Row],[BON code]]</f>
        <v>CWW17_008TOT_PR24</v>
      </c>
      <c r="C93" s="18" t="str">
        <f>'Consolidated Input'!C93</f>
        <v>EA/NRW environmental programme wastewater (WINEP/NEP) - Continuous river water quality monitoring (WINEP/NEP) wastewater opex - Total</v>
      </c>
      <c r="D93" s="18" t="str">
        <f>'Consolidated Input'!D93</f>
        <v>£m</v>
      </c>
      <c r="E93" s="18" t="str">
        <f>'Consolidated Input'!E93</f>
        <v>Price Review 2024</v>
      </c>
      <c r="F93" s="18"/>
      <c r="G93" s="18"/>
      <c r="H93" s="18"/>
      <c r="I93" s="18"/>
      <c r="J93" s="18"/>
      <c r="K93" s="18"/>
      <c r="L93" s="18"/>
      <c r="M93" s="38"/>
    </row>
    <row r="94" spans="1:14">
      <c r="A94" s="18" t="str">
        <f>'Consolidated Input'!A94</f>
        <v>SRN</v>
      </c>
      <c r="B94" s="18" t="str">
        <f ca="1">Table1[[#This Row],[BON code]]</f>
        <v>CWW17_009TOT_PR24</v>
      </c>
      <c r="C94" s="18" t="str">
        <f>'Consolidated Input'!C94</f>
        <v>EA/NRW environmental programme wastewater (WINEP/NEP) - Continuous river water quality monitoring (WINEP/NEP) wastewater totex - Total</v>
      </c>
      <c r="D94" s="18" t="str">
        <f>'Consolidated Input'!D94</f>
        <v>£m</v>
      </c>
      <c r="E94" s="18" t="str">
        <f>'Consolidated Input'!E94</f>
        <v>Price Review 2024</v>
      </c>
      <c r="F94" s="18"/>
      <c r="G94" s="18"/>
      <c r="H94" s="18"/>
      <c r="I94" s="18"/>
      <c r="J94" s="18"/>
      <c r="K94" s="18"/>
      <c r="L94" s="18"/>
      <c r="M94" s="38"/>
    </row>
    <row r="95" spans="1:14">
      <c r="A95" s="18" t="str">
        <f>'Consolidated Input'!A95</f>
        <v>SRN</v>
      </c>
      <c r="B95" s="18" t="str">
        <f ca="1">Table1[[#This Row],[BON code]]</f>
        <v>CWW20A_049_PR24</v>
      </c>
      <c r="C95" s="18" t="str">
        <f>'Consolidated Input'!C95</f>
        <v>Network / Storm overflow data - Number of continuous water quality monitor installations</v>
      </c>
      <c r="D95" s="18" t="str">
        <f>'Consolidated Input'!D95</f>
        <v>nr</v>
      </c>
      <c r="E95" s="18" t="str">
        <f>'Consolidated Input'!E95</f>
        <v>Price Review 2024</v>
      </c>
      <c r="F95" s="18"/>
      <c r="G95" s="18"/>
      <c r="H95" s="18"/>
      <c r="I95" s="18"/>
      <c r="J95" s="18"/>
      <c r="K95" s="18"/>
      <c r="L95" s="18"/>
      <c r="M95" s="38"/>
    </row>
    <row r="96" spans="1:14">
      <c r="A96" s="18" t="str">
        <f>'Consolidated Input'!A96</f>
        <v>TMS</v>
      </c>
      <c r="B96" s="18" t="str">
        <f ca="1">Table1[[#This Row],[BON code]]</f>
        <v>CWW3_007TOT_PR24</v>
      </c>
      <c r="C96" s="18" t="str">
        <f>'Consolidated Input'!C96</f>
        <v>EA/NRW environmental programme wastewater (WINEP/NEP) - Continuous river water quality monitoring (WINEP/NEP) wastewater capex - Total</v>
      </c>
      <c r="D96" s="18" t="str">
        <f>'Consolidated Input'!D96</f>
        <v>£m</v>
      </c>
      <c r="E96" s="18" t="str">
        <f>'Consolidated Input'!E96</f>
        <v>Price Review 2024</v>
      </c>
      <c r="F96" s="18"/>
      <c r="G96" s="18"/>
      <c r="H96" s="18"/>
      <c r="I96" s="18"/>
      <c r="J96" s="18"/>
      <c r="K96" s="18"/>
      <c r="L96" s="18"/>
      <c r="M96" s="38"/>
    </row>
    <row r="97" spans="1:14">
      <c r="A97" s="18" t="str">
        <f>'Consolidated Input'!A97</f>
        <v>TMS</v>
      </c>
      <c r="B97" s="18" t="str">
        <f ca="1">Table1[[#This Row],[BON code]]</f>
        <v>CWW3_008TOT_PR24</v>
      </c>
      <c r="C97" s="18" t="str">
        <f>'Consolidated Input'!C97</f>
        <v>EA/NRW environmental programme wastewater (WINEP/NEP) - Continuous river water quality monitoring (WINEP/NEP) wastewater opex - Total</v>
      </c>
      <c r="D97" s="18" t="str">
        <f>'Consolidated Input'!D97</f>
        <v>£m</v>
      </c>
      <c r="E97" s="18" t="str">
        <f>'Consolidated Input'!E97</f>
        <v>Price Review 2024</v>
      </c>
      <c r="F97" s="18"/>
      <c r="G97" s="18"/>
      <c r="H97" s="18"/>
      <c r="I97" s="18"/>
      <c r="J97" s="18"/>
      <c r="K97" s="18"/>
      <c r="L97" s="18"/>
      <c r="M97" s="38"/>
    </row>
    <row r="98" spans="1:14">
      <c r="A98" s="18" t="str">
        <f>'Consolidated Input'!A98</f>
        <v>TMS</v>
      </c>
      <c r="B98" s="18" t="str">
        <f ca="1">Table1[[#This Row],[BON code]]</f>
        <v>CWW3_009TOT_PR24</v>
      </c>
      <c r="C98" s="18" t="str">
        <f>'Consolidated Input'!C98</f>
        <v>EA/NRW environmental programme wastewater (WINEP/NEP) - Continuous river water quality monitoring (WINEP/NEP) wastewater totex - Total</v>
      </c>
      <c r="D98" s="18" t="str">
        <f>'Consolidated Input'!D98</f>
        <v>£m</v>
      </c>
      <c r="E98" s="18" t="str">
        <f>'Consolidated Input'!E98</f>
        <v>Price Review 2024</v>
      </c>
      <c r="F98" s="18"/>
      <c r="G98" s="18"/>
      <c r="H98" s="18"/>
      <c r="I98" s="18"/>
      <c r="J98" s="18"/>
      <c r="K98" s="18"/>
      <c r="L98" s="18"/>
      <c r="M98" s="38"/>
    </row>
    <row r="99" spans="1:14">
      <c r="A99" s="18" t="str">
        <f>'Consolidated Input'!A99</f>
        <v>TMS</v>
      </c>
      <c r="B99" s="18" t="str">
        <f ca="1">Table1[[#This Row],[BON code]]</f>
        <v>CWW20_049_PR24</v>
      </c>
      <c r="C99" s="18" t="str">
        <f>'Consolidated Input'!C99</f>
        <v>Network / Storm overflow data - Number of continuous water quality monitor installations</v>
      </c>
      <c r="D99" s="18" t="str">
        <f>'Consolidated Input'!D99</f>
        <v>nr</v>
      </c>
      <c r="E99" s="18" t="str">
        <f>'Consolidated Input'!E99</f>
        <v>Price Review 2024</v>
      </c>
      <c r="F99" s="18"/>
      <c r="G99" s="18"/>
      <c r="H99" s="18"/>
      <c r="I99" s="18"/>
      <c r="J99" s="18"/>
      <c r="K99" s="18"/>
      <c r="L99" s="18"/>
      <c r="M99" s="38"/>
    </row>
    <row r="100" spans="1:14">
      <c r="A100" s="18" t="str">
        <f>'Consolidated Input'!A100</f>
        <v>TMS</v>
      </c>
      <c r="B100" s="18" t="str">
        <f ca="1">Table1[[#This Row],[BON code]]</f>
        <v>CWW1A_015TOT_PR24</v>
      </c>
      <c r="C100" s="18" t="str">
        <f>'Consolidated Input'!C100</f>
        <v>Net totex - Total</v>
      </c>
      <c r="D100" s="18" t="str">
        <f>'Consolidated Input'!D100</f>
        <v>£m</v>
      </c>
      <c r="E100" s="18" t="str">
        <f>'Consolidated Input'!E100</f>
        <v>Price Review 2024</v>
      </c>
      <c r="F100" s="18"/>
      <c r="G100" s="18"/>
      <c r="H100" s="18"/>
      <c r="I100" s="18"/>
      <c r="J100" s="18"/>
      <c r="K100" s="18"/>
      <c r="L100" s="18"/>
      <c r="M100" s="38"/>
    </row>
    <row r="101" spans="1:14">
      <c r="A101" s="18" t="str">
        <f>'Consolidated Input'!A101</f>
        <v>TMS</v>
      </c>
      <c r="B101" s="18" t="str">
        <f ca="1">Table1[[#This Row],[BON code]]</f>
        <v>PR24_NETTOTEX_WASTE</v>
      </c>
      <c r="C101" s="18" t="str">
        <f>'Consolidated Input'!C101</f>
        <v>PR24 BP Net totex - Total inc. accelerated &amp; transition costs</v>
      </c>
      <c r="D101" s="18" t="str">
        <f>'Consolidated Input'!D101</f>
        <v>£m</v>
      </c>
      <c r="E101" s="18" t="str">
        <f>'Consolidated Input'!E101</f>
        <v>Price Review 2024</v>
      </c>
      <c r="F101" s="18"/>
      <c r="G101" s="18"/>
      <c r="H101" s="18"/>
      <c r="I101" s="18"/>
      <c r="J101" s="18"/>
      <c r="K101" s="18"/>
      <c r="L101" s="18"/>
      <c r="M101" s="38"/>
    </row>
    <row r="102" spans="1:14">
      <c r="A102" s="18" t="str">
        <f>'Consolidated Input'!A102</f>
        <v>TMS</v>
      </c>
      <c r="B102" s="18" t="str">
        <f ca="1">Table1[[#This Row],[BON code]]</f>
        <v>CWW12_007TOT_PR24</v>
      </c>
      <c r="C102" s="18" t="str">
        <f>'Consolidated Input'!C102</f>
        <v>EA/NRW environmental programme wastewater (WINEP/NEP) - Continuous river water quality monitoring (WINEP/NEP) wastewater capex - Total</v>
      </c>
      <c r="D102" s="18" t="str">
        <f>'Consolidated Input'!D102</f>
        <v>£m</v>
      </c>
      <c r="E102" s="18" t="str">
        <f>'Consolidated Input'!E102</f>
        <v>Price Review 2024</v>
      </c>
      <c r="F102" s="18"/>
      <c r="G102" s="18"/>
      <c r="H102" s="18"/>
      <c r="I102" s="18"/>
      <c r="J102" s="18"/>
      <c r="K102" s="18"/>
      <c r="L102" s="18"/>
      <c r="M102" s="38"/>
    </row>
    <row r="103" spans="1:14">
      <c r="A103" s="18" t="str">
        <f>'Consolidated Input'!A103</f>
        <v>TMS</v>
      </c>
      <c r="B103" s="18" t="str">
        <f ca="1">Table1[[#This Row],[BON code]]</f>
        <v>CWW12_008TOT_PR24</v>
      </c>
      <c r="C103" s="18" t="str">
        <f>'Consolidated Input'!C103</f>
        <v>EA/NRW environmental programme wastewater (WINEP/NEP) - Continuous river water quality monitoring (WINEP/NEP) wastewater opex - Total</v>
      </c>
      <c r="D103" s="18" t="str">
        <f>'Consolidated Input'!D103</f>
        <v>£m</v>
      </c>
      <c r="E103" s="18" t="str">
        <f>'Consolidated Input'!E103</f>
        <v>Price Review 2024</v>
      </c>
      <c r="F103" s="18"/>
      <c r="G103" s="18"/>
      <c r="H103" s="18"/>
      <c r="I103" s="18"/>
      <c r="J103" s="18"/>
      <c r="K103" s="18"/>
      <c r="L103" s="18"/>
      <c r="M103" s="38"/>
    </row>
    <row r="104" spans="1:14">
      <c r="A104" s="18" t="str">
        <f>'Consolidated Input'!A104</f>
        <v>TMS</v>
      </c>
      <c r="B104" s="18" t="str">
        <f ca="1">Table1[[#This Row],[BON code]]</f>
        <v>CWW12_009TOT_PR24</v>
      </c>
      <c r="C104" s="18" t="str">
        <f>'Consolidated Input'!C104</f>
        <v>EA/NRW environmental programme wastewater (WINEP/NEP) - Continuous river water quality monitoring (WINEP/NEP) wastewater totex - Total</v>
      </c>
      <c r="D104" s="18" t="str">
        <f>'Consolidated Input'!D104</f>
        <v>£m</v>
      </c>
      <c r="E104" s="18" t="str">
        <f>'Consolidated Input'!E104</f>
        <v>Price Review 2024</v>
      </c>
      <c r="F104" s="18"/>
      <c r="G104" s="18"/>
      <c r="H104" s="18"/>
      <c r="I104" s="18"/>
      <c r="J104" s="18"/>
      <c r="K104" s="18"/>
      <c r="L104" s="18"/>
      <c r="M104" s="38"/>
    </row>
    <row r="105" spans="1:14">
      <c r="A105" s="18" t="str">
        <f>'Consolidated Input'!A105</f>
        <v>TMS</v>
      </c>
      <c r="B105" s="18" t="str">
        <f ca="1">Table1[[#This Row],[BON code]]</f>
        <v>CWW17_007TOT_PR24</v>
      </c>
      <c r="C105" s="18" t="str">
        <f>'Consolidated Input'!C105</f>
        <v>EA/NRW environmental programme wastewater (WINEP/NEP) - Continuous river water quality monitoring (WINEP/NEP) wastewater capex - Total</v>
      </c>
      <c r="D105" s="18" t="str">
        <f>'Consolidated Input'!D105</f>
        <v>£m</v>
      </c>
      <c r="E105" s="18" t="str">
        <f>'Consolidated Input'!E105</f>
        <v>Price Review 2024</v>
      </c>
      <c r="F105" s="18"/>
      <c r="G105" s="18"/>
      <c r="H105" s="18"/>
      <c r="I105" s="18"/>
      <c r="J105" s="18"/>
      <c r="K105" s="18"/>
      <c r="L105" s="18"/>
      <c r="M105" s="38"/>
    </row>
    <row r="106" spans="1:14">
      <c r="A106" s="18" t="str">
        <f>'Consolidated Input'!A106</f>
        <v>TMS</v>
      </c>
      <c r="B106" s="18" t="str">
        <f ca="1">Table1[[#This Row],[BON code]]</f>
        <v>CWW17_008TOT_PR24</v>
      </c>
      <c r="C106" s="18" t="str">
        <f>'Consolidated Input'!C106</f>
        <v>EA/NRW environmental programme wastewater (WINEP/NEP) - Continuous river water quality monitoring (WINEP/NEP) wastewater opex - Total</v>
      </c>
      <c r="D106" s="18" t="str">
        <f>'Consolidated Input'!D106</f>
        <v>£m</v>
      </c>
      <c r="E106" s="18" t="str">
        <f>'Consolidated Input'!E106</f>
        <v>Price Review 2024</v>
      </c>
      <c r="F106" s="18"/>
      <c r="G106" s="18"/>
      <c r="H106" s="18"/>
      <c r="I106" s="18"/>
      <c r="J106" s="18"/>
      <c r="K106" s="18"/>
      <c r="L106" s="18"/>
      <c r="M106" s="38"/>
    </row>
    <row r="107" spans="1:14">
      <c r="A107" s="18" t="str">
        <f>'Consolidated Input'!A107</f>
        <v>TMS</v>
      </c>
      <c r="B107" s="18" t="str">
        <f ca="1">Table1[[#This Row],[BON code]]</f>
        <v>CWW17_009TOT_PR24</v>
      </c>
      <c r="C107" s="18" t="str">
        <f>'Consolidated Input'!C107</f>
        <v>EA/NRW environmental programme wastewater (WINEP/NEP) - Continuous river water quality monitoring (WINEP/NEP) wastewater totex - Total</v>
      </c>
      <c r="D107" s="18" t="str">
        <f>'Consolidated Input'!D107</f>
        <v>£m</v>
      </c>
      <c r="E107" s="18" t="str">
        <f>'Consolidated Input'!E107</f>
        <v>Price Review 2024</v>
      </c>
      <c r="F107" s="18"/>
      <c r="G107" s="18"/>
      <c r="H107" s="18"/>
      <c r="I107" s="18"/>
      <c r="J107" s="18"/>
      <c r="K107" s="18"/>
      <c r="L107" s="18"/>
      <c r="M107" s="38"/>
    </row>
    <row r="108" spans="1:14">
      <c r="A108" s="18" t="str">
        <f>'Consolidated Input'!A108</f>
        <v>TMS</v>
      </c>
      <c r="B108" s="18" t="str">
        <f ca="1">Table1[[#This Row],[BON code]]</f>
        <v>CWW20A_049_PR24</v>
      </c>
      <c r="C108" s="18" t="str">
        <f>'Consolidated Input'!C108</f>
        <v>Network / Storm overflow data - Number of continuous water quality monitor installations</v>
      </c>
      <c r="D108" s="18" t="str">
        <f>'Consolidated Input'!D108</f>
        <v>nr</v>
      </c>
      <c r="E108" s="18" t="str">
        <f>'Consolidated Input'!E108</f>
        <v>Price Review 2024</v>
      </c>
      <c r="F108" s="18"/>
      <c r="G108" s="18"/>
      <c r="H108" s="18"/>
      <c r="I108" s="18"/>
      <c r="J108" s="18"/>
      <c r="K108" s="18"/>
      <c r="L108" s="18"/>
      <c r="M108" s="38"/>
    </row>
    <row r="109" spans="1:14">
      <c r="A109" s="18" t="str">
        <f>'Consolidated Input'!A109</f>
        <v>NWT</v>
      </c>
      <c r="B109" s="18" t="str">
        <f ca="1">Table1[[#This Row],[BON code]]</f>
        <v>CWW3_007TOT_PR24</v>
      </c>
      <c r="C109" s="18" t="str">
        <f>'Consolidated Input'!C109</f>
        <v>EA/NRW environmental programme wastewater (WINEP/NEP) - Continuous river water quality monitoring (WINEP/NEP) wastewater capex - Total</v>
      </c>
      <c r="D109" s="18" t="str">
        <f>'Consolidated Input'!D109</f>
        <v>£m</v>
      </c>
      <c r="E109" s="18" t="str">
        <f>'Consolidated Input'!E109</f>
        <v>Price Review 2024</v>
      </c>
      <c r="F109" s="18"/>
      <c r="G109" s="18"/>
      <c r="H109" s="168">
        <v>15.343173003924152</v>
      </c>
      <c r="I109" s="168">
        <v>15.607423815545186</v>
      </c>
      <c r="J109" s="168">
        <v>15.490322112573518</v>
      </c>
      <c r="K109" s="168">
        <v>15.731764185200259</v>
      </c>
      <c r="L109" s="168">
        <v>15.683245085821262</v>
      </c>
      <c r="M109" s="38"/>
      <c r="N109" t="s">
        <v>113</v>
      </c>
    </row>
    <row r="110" spans="1:14">
      <c r="A110" s="18" t="str">
        <f>'Consolidated Input'!A110</f>
        <v>NWT</v>
      </c>
      <c r="B110" s="18" t="str">
        <f ca="1">Table1[[#This Row],[BON code]]</f>
        <v>CWW3_008TOT_PR24</v>
      </c>
      <c r="C110" s="18" t="str">
        <f>'Consolidated Input'!C110</f>
        <v>EA/NRW environmental programme wastewater (WINEP/NEP) - Continuous river water quality monitoring (WINEP/NEP) wastewater opex - Total</v>
      </c>
      <c r="D110" s="18" t="str">
        <f>'Consolidated Input'!D110</f>
        <v>£m</v>
      </c>
      <c r="E110" s="18" t="str">
        <f>'Consolidated Input'!E110</f>
        <v>Price Review 2024</v>
      </c>
      <c r="F110" s="18"/>
      <c r="G110" s="18"/>
      <c r="H110" s="168">
        <v>0</v>
      </c>
      <c r="I110" s="168">
        <v>0.64522270826296735</v>
      </c>
      <c r="J110" s="168">
        <v>1.2807632705386729</v>
      </c>
      <c r="K110" s="168">
        <v>1.9510890996410151</v>
      </c>
      <c r="L110" s="168">
        <v>2.5934288677537247</v>
      </c>
      <c r="M110" s="38"/>
      <c r="N110" t="s">
        <v>113</v>
      </c>
    </row>
    <row r="111" spans="1:14">
      <c r="A111" s="18" t="str">
        <f>'Consolidated Input'!A111</f>
        <v>NWT</v>
      </c>
      <c r="B111" s="18" t="str">
        <f ca="1">Table1[[#This Row],[BON code]]</f>
        <v>CWW3_009TOT_PR24</v>
      </c>
      <c r="C111" s="18" t="str">
        <f>'Consolidated Input'!C111</f>
        <v>EA/NRW environmental programme wastewater (WINEP/NEP) - Continuous river water quality monitoring (WINEP/NEP) wastewater totex - Total</v>
      </c>
      <c r="D111" s="18" t="str">
        <f>'Consolidated Input'!D111</f>
        <v>£m</v>
      </c>
      <c r="E111" s="18" t="str">
        <f>'Consolidated Input'!E111</f>
        <v>Price Review 2024</v>
      </c>
      <c r="F111" s="18"/>
      <c r="G111" s="18"/>
      <c r="H111" s="168">
        <v>15.343173003924152</v>
      </c>
      <c r="I111" s="168">
        <v>16.252646523808153</v>
      </c>
      <c r="J111" s="168">
        <v>16.77108538311219</v>
      </c>
      <c r="K111" s="168">
        <v>17.682853284841272</v>
      </c>
      <c r="L111" s="168">
        <v>18.276673953574988</v>
      </c>
      <c r="M111" s="38"/>
      <c r="N111" t="s">
        <v>113</v>
      </c>
    </row>
    <row r="112" spans="1:14">
      <c r="A112" s="18" t="str">
        <f>'Consolidated Input'!A112</f>
        <v>NWT</v>
      </c>
      <c r="B112" s="18" t="str">
        <f ca="1">Table1[[#This Row],[BON code]]</f>
        <v>CWW20_049_PR24</v>
      </c>
      <c r="C112" s="18" t="str">
        <f>'Consolidated Input'!C112</f>
        <v>Network / Storm overflow data - Number of continuous water quality monitor installations</v>
      </c>
      <c r="D112" s="18" t="str">
        <f>'Consolidated Input'!D112</f>
        <v>nr</v>
      </c>
      <c r="E112" s="18" t="str">
        <f>'Consolidated Input'!E112</f>
        <v>Price Review 2024</v>
      </c>
      <c r="F112" s="18"/>
      <c r="G112" s="18"/>
      <c r="H112" s="18"/>
      <c r="I112" s="18"/>
      <c r="J112" s="18"/>
      <c r="K112" s="18"/>
      <c r="L112" s="18"/>
      <c r="M112" s="38"/>
    </row>
    <row r="113" spans="1:13">
      <c r="A113" s="18" t="str">
        <f>'Consolidated Input'!A113</f>
        <v>NWT</v>
      </c>
      <c r="B113" s="18" t="str">
        <f ca="1">Table1[[#This Row],[BON code]]</f>
        <v>CWW1A_015TOT_PR24</v>
      </c>
      <c r="C113" s="18" t="str">
        <f>'Consolidated Input'!C113</f>
        <v>Net totex - Total</v>
      </c>
      <c r="D113" s="18" t="str">
        <f>'Consolidated Input'!D113</f>
        <v>£m</v>
      </c>
      <c r="E113" s="18" t="str">
        <f>'Consolidated Input'!E113</f>
        <v>Price Review 2024</v>
      </c>
      <c r="F113" s="18"/>
      <c r="G113" s="18"/>
      <c r="H113" s="18"/>
      <c r="I113" s="18"/>
      <c r="J113" s="18"/>
      <c r="K113" s="18"/>
      <c r="L113" s="18"/>
      <c r="M113" s="38"/>
    </row>
    <row r="114" spans="1:13">
      <c r="A114" s="18" t="str">
        <f>'Consolidated Input'!A114</f>
        <v>NWT</v>
      </c>
      <c r="B114" s="18" t="str">
        <f ca="1">Table1[[#This Row],[BON code]]</f>
        <v>PR24_NETTOTEX_WASTE</v>
      </c>
      <c r="C114" s="18" t="str">
        <f>'Consolidated Input'!C114</f>
        <v>PR24 BP Net totex - Total inc. accelerated &amp; transition costs</v>
      </c>
      <c r="D114" s="18" t="str">
        <f>'Consolidated Input'!D114</f>
        <v>£m</v>
      </c>
      <c r="E114" s="18" t="str">
        <f>'Consolidated Input'!E114</f>
        <v>Price Review 2024</v>
      </c>
      <c r="F114" s="18"/>
      <c r="G114" s="18"/>
      <c r="H114" s="18"/>
      <c r="I114" s="18"/>
      <c r="J114" s="18"/>
      <c r="K114" s="18"/>
      <c r="L114" s="18"/>
      <c r="M114" s="38"/>
    </row>
    <row r="115" spans="1:13">
      <c r="A115" s="18" t="str">
        <f>'Consolidated Input'!A115</f>
        <v>NWT</v>
      </c>
      <c r="B115" s="18" t="str">
        <f ca="1">Table1[[#This Row],[BON code]]</f>
        <v>CWW12_007TOT_PR24</v>
      </c>
      <c r="C115" s="18" t="str">
        <f>'Consolidated Input'!C115</f>
        <v>EA/NRW environmental programme wastewater (WINEP/NEP) - Continuous river water quality monitoring (WINEP/NEP) wastewater capex - Total</v>
      </c>
      <c r="D115" s="18" t="str">
        <f>'Consolidated Input'!D115</f>
        <v>£m</v>
      </c>
      <c r="E115" s="18" t="str">
        <f>'Consolidated Input'!E115</f>
        <v>Price Review 2024</v>
      </c>
      <c r="F115" s="18"/>
      <c r="G115" s="18"/>
      <c r="H115" s="18"/>
      <c r="I115" s="18"/>
      <c r="J115" s="18"/>
      <c r="K115" s="18"/>
      <c r="L115" s="18"/>
      <c r="M115" s="38"/>
    </row>
    <row r="116" spans="1:13">
      <c r="A116" s="18" t="str">
        <f>'Consolidated Input'!A116</f>
        <v>NWT</v>
      </c>
      <c r="B116" s="18" t="str">
        <f ca="1">Table1[[#This Row],[BON code]]</f>
        <v>CWW12_008TOT_PR24</v>
      </c>
      <c r="C116" s="18" t="str">
        <f>'Consolidated Input'!C116</f>
        <v>EA/NRW environmental programme wastewater (WINEP/NEP) - Continuous river water quality monitoring (WINEP/NEP) wastewater opex - Total</v>
      </c>
      <c r="D116" s="18" t="str">
        <f>'Consolidated Input'!D116</f>
        <v>£m</v>
      </c>
      <c r="E116" s="18" t="str">
        <f>'Consolidated Input'!E116</f>
        <v>Price Review 2024</v>
      </c>
      <c r="F116" s="18"/>
      <c r="G116" s="18"/>
      <c r="H116" s="18"/>
      <c r="I116" s="18"/>
      <c r="J116" s="18"/>
      <c r="K116" s="18"/>
      <c r="L116" s="18"/>
      <c r="M116" s="38"/>
    </row>
    <row r="117" spans="1:13">
      <c r="A117" s="18" t="str">
        <f>'Consolidated Input'!A117</f>
        <v>NWT</v>
      </c>
      <c r="B117" s="18" t="str">
        <f ca="1">Table1[[#This Row],[BON code]]</f>
        <v>CWW12_009TOT_PR24</v>
      </c>
      <c r="C117" s="18" t="str">
        <f>'Consolidated Input'!C117</f>
        <v>EA/NRW environmental programme wastewater (WINEP/NEP) - Continuous river water quality monitoring (WINEP/NEP) wastewater totex - Total</v>
      </c>
      <c r="D117" s="18" t="str">
        <f>'Consolidated Input'!D117</f>
        <v>£m</v>
      </c>
      <c r="E117" s="18" t="str">
        <f>'Consolidated Input'!E117</f>
        <v>Price Review 2024</v>
      </c>
      <c r="F117" s="18"/>
      <c r="G117" s="18"/>
      <c r="H117" s="18"/>
      <c r="I117" s="18"/>
      <c r="J117" s="18"/>
      <c r="K117" s="18"/>
      <c r="L117" s="18"/>
      <c r="M117" s="38"/>
    </row>
    <row r="118" spans="1:13">
      <c r="A118" s="18" t="str">
        <f>'Consolidated Input'!A118</f>
        <v>NWT</v>
      </c>
      <c r="B118" s="18" t="str">
        <f ca="1">Table1[[#This Row],[BON code]]</f>
        <v>CWW17_007TOT_PR24</v>
      </c>
      <c r="C118" s="18" t="str">
        <f>'Consolidated Input'!C118</f>
        <v>EA/NRW environmental programme wastewater (WINEP/NEP) - Continuous river water quality monitoring (WINEP/NEP) wastewater capex - Total</v>
      </c>
      <c r="D118" s="18" t="str">
        <f>'Consolidated Input'!D118</f>
        <v>£m</v>
      </c>
      <c r="E118" s="18" t="str">
        <f>'Consolidated Input'!E118</f>
        <v>Price Review 2024</v>
      </c>
      <c r="F118" s="18"/>
      <c r="G118" s="18"/>
      <c r="H118" s="18"/>
      <c r="I118" s="18"/>
      <c r="J118" s="18"/>
      <c r="K118" s="18"/>
      <c r="L118" s="18"/>
      <c r="M118" s="38"/>
    </row>
    <row r="119" spans="1:13">
      <c r="A119" s="18" t="str">
        <f>'Consolidated Input'!A119</f>
        <v>NWT</v>
      </c>
      <c r="B119" s="18" t="str">
        <f ca="1">Table1[[#This Row],[BON code]]</f>
        <v>CWW17_008TOT_PR24</v>
      </c>
      <c r="C119" s="18" t="str">
        <f>'Consolidated Input'!C119</f>
        <v>EA/NRW environmental programme wastewater (WINEP/NEP) - Continuous river water quality monitoring (WINEP/NEP) wastewater opex - Total</v>
      </c>
      <c r="D119" s="18" t="str">
        <f>'Consolidated Input'!D119</f>
        <v>£m</v>
      </c>
      <c r="E119" s="18" t="str">
        <f>'Consolidated Input'!E119</f>
        <v>Price Review 2024</v>
      </c>
      <c r="F119" s="18"/>
      <c r="G119" s="18"/>
      <c r="H119" s="18"/>
      <c r="I119" s="18"/>
      <c r="J119" s="18"/>
      <c r="K119" s="18"/>
      <c r="L119" s="18"/>
      <c r="M119" s="38"/>
    </row>
    <row r="120" spans="1:13">
      <c r="A120" s="18" t="str">
        <f>'Consolidated Input'!A120</f>
        <v>NWT</v>
      </c>
      <c r="B120" s="18" t="str">
        <f ca="1">Table1[[#This Row],[BON code]]</f>
        <v>CWW17_009TOT_PR24</v>
      </c>
      <c r="C120" s="18" t="str">
        <f>'Consolidated Input'!C120</f>
        <v>EA/NRW environmental programme wastewater (WINEP/NEP) - Continuous river water quality monitoring (WINEP/NEP) wastewater totex - Total</v>
      </c>
      <c r="D120" s="18" t="str">
        <f>'Consolidated Input'!D120</f>
        <v>£m</v>
      </c>
      <c r="E120" s="18" t="str">
        <f>'Consolidated Input'!E120</f>
        <v>Price Review 2024</v>
      </c>
      <c r="F120" s="18"/>
      <c r="G120" s="18"/>
      <c r="H120" s="18"/>
      <c r="I120" s="18"/>
      <c r="J120" s="18"/>
      <c r="K120" s="18"/>
      <c r="L120" s="18"/>
      <c r="M120" s="38"/>
    </row>
    <row r="121" spans="1:13">
      <c r="A121" s="18" t="str">
        <f>'Consolidated Input'!A121</f>
        <v>NWT</v>
      </c>
      <c r="B121" s="18" t="str">
        <f ca="1">Table1[[#This Row],[BON code]]</f>
        <v>CWW20A_049_PR24</v>
      </c>
      <c r="C121" s="18" t="str">
        <f>'Consolidated Input'!C121</f>
        <v>Network / Storm overflow data - Number of continuous water quality monitor installations</v>
      </c>
      <c r="D121" s="18" t="str">
        <f>'Consolidated Input'!D121</f>
        <v>nr</v>
      </c>
      <c r="E121" s="18" t="str">
        <f>'Consolidated Input'!E121</f>
        <v>Price Review 2024</v>
      </c>
      <c r="F121" s="18"/>
      <c r="G121" s="18"/>
      <c r="H121" s="18"/>
      <c r="I121" s="18"/>
      <c r="J121" s="18"/>
      <c r="K121" s="18"/>
      <c r="L121" s="18"/>
      <c r="M121" s="38"/>
    </row>
    <row r="122" spans="1:13">
      <c r="A122" s="18" t="str">
        <f>'Consolidated Input'!A122</f>
        <v>WSX</v>
      </c>
      <c r="B122" s="18" t="str">
        <f ca="1">Table1[[#This Row],[BON code]]</f>
        <v>CWW3_007TOT_PR24</v>
      </c>
      <c r="C122" s="18" t="str">
        <f>'Consolidated Input'!C122</f>
        <v>EA/NRW environmental programme wastewater (WINEP/NEP) - Continuous river water quality monitoring (WINEP/NEP) wastewater capex - Total</v>
      </c>
      <c r="D122" s="18" t="str">
        <f>'Consolidated Input'!D122</f>
        <v>£m</v>
      </c>
      <c r="E122" s="18" t="str">
        <f>'Consolidated Input'!E122</f>
        <v>Price Review 2024</v>
      </c>
      <c r="F122" s="18"/>
      <c r="G122" s="18"/>
      <c r="H122" s="18"/>
      <c r="I122" s="18"/>
      <c r="J122" s="18"/>
      <c r="K122" s="18"/>
      <c r="L122" s="18"/>
      <c r="M122" s="38"/>
    </row>
    <row r="123" spans="1:13">
      <c r="A123" s="18" t="str">
        <f>'Consolidated Input'!A123</f>
        <v>WSX</v>
      </c>
      <c r="B123" s="18" t="str">
        <f ca="1">Table1[[#This Row],[BON code]]</f>
        <v>CWW3_008TOT_PR24</v>
      </c>
      <c r="C123" s="18" t="str">
        <f>'Consolidated Input'!C123</f>
        <v>EA/NRW environmental programme wastewater (WINEP/NEP) - Continuous river water quality monitoring (WINEP/NEP) wastewater opex - Total</v>
      </c>
      <c r="D123" s="18" t="str">
        <f>'Consolidated Input'!D123</f>
        <v>£m</v>
      </c>
      <c r="E123" s="18" t="str">
        <f>'Consolidated Input'!E123</f>
        <v>Price Review 2024</v>
      </c>
      <c r="F123" s="18"/>
      <c r="G123" s="18"/>
      <c r="H123" s="18"/>
      <c r="I123" s="18"/>
      <c r="J123" s="18"/>
      <c r="K123" s="18"/>
      <c r="L123" s="18"/>
      <c r="M123" s="38"/>
    </row>
    <row r="124" spans="1:13">
      <c r="A124" s="18" t="str">
        <f>'Consolidated Input'!A124</f>
        <v>WSX</v>
      </c>
      <c r="B124" s="18" t="str">
        <f ca="1">Table1[[#This Row],[BON code]]</f>
        <v>CWW3_009TOT_PR24</v>
      </c>
      <c r="C124" s="18" t="str">
        <f>'Consolidated Input'!C124</f>
        <v>EA/NRW environmental programme wastewater (WINEP/NEP) - Continuous river water quality monitoring (WINEP/NEP) wastewater totex - Total</v>
      </c>
      <c r="D124" s="18" t="str">
        <f>'Consolidated Input'!D124</f>
        <v>£m</v>
      </c>
      <c r="E124" s="18" t="str">
        <f>'Consolidated Input'!E124</f>
        <v>Price Review 2024</v>
      </c>
      <c r="F124" s="18"/>
      <c r="G124" s="18"/>
      <c r="H124" s="18"/>
      <c r="I124" s="18"/>
      <c r="J124" s="18"/>
      <c r="K124" s="18"/>
      <c r="L124" s="18"/>
      <c r="M124" s="38"/>
    </row>
    <row r="125" spans="1:13">
      <c r="A125" s="18" t="str">
        <f>'Consolidated Input'!A125</f>
        <v>WSX</v>
      </c>
      <c r="B125" s="18" t="str">
        <f ca="1">Table1[[#This Row],[BON code]]</f>
        <v>CWW20_049_PR24</v>
      </c>
      <c r="C125" s="18" t="str">
        <f>'Consolidated Input'!C125</f>
        <v>Network / Storm overflow data - Number of continuous water quality monitor installations</v>
      </c>
      <c r="D125" s="18" t="str">
        <f>'Consolidated Input'!D125</f>
        <v>nr</v>
      </c>
      <c r="E125" s="18" t="str">
        <f>'Consolidated Input'!E125</f>
        <v>Price Review 2024</v>
      </c>
      <c r="F125" s="18"/>
      <c r="G125" s="18"/>
      <c r="H125" s="18"/>
      <c r="I125" s="18"/>
      <c r="J125" s="18"/>
      <c r="K125" s="18"/>
      <c r="L125" s="18"/>
      <c r="M125" s="38"/>
    </row>
    <row r="126" spans="1:13">
      <c r="A126" s="18" t="str">
        <f>'Consolidated Input'!A126</f>
        <v>WSX</v>
      </c>
      <c r="B126" s="18" t="str">
        <f ca="1">Table1[[#This Row],[BON code]]</f>
        <v>CWW1A_015TOT_PR24</v>
      </c>
      <c r="C126" s="18" t="str">
        <f>'Consolidated Input'!C126</f>
        <v>Net totex - Total</v>
      </c>
      <c r="D126" s="18" t="str">
        <f>'Consolidated Input'!D126</f>
        <v>£m</v>
      </c>
      <c r="E126" s="18" t="str">
        <f>'Consolidated Input'!E126</f>
        <v>Price Review 2024</v>
      </c>
      <c r="F126" s="18"/>
      <c r="G126" s="18"/>
      <c r="H126" s="18"/>
      <c r="I126" s="18"/>
      <c r="J126" s="18"/>
      <c r="K126" s="18"/>
      <c r="L126" s="18"/>
      <c r="M126" s="38"/>
    </row>
    <row r="127" spans="1:13">
      <c r="A127" s="18" t="str">
        <f>'Consolidated Input'!A127</f>
        <v>WSX</v>
      </c>
      <c r="B127" s="18" t="str">
        <f ca="1">Table1[[#This Row],[BON code]]</f>
        <v>PR24_NETTOTEX_WASTE</v>
      </c>
      <c r="C127" s="18" t="str">
        <f>'Consolidated Input'!C127</f>
        <v>PR24 BP Net totex - Total inc. accelerated &amp; transition costs</v>
      </c>
      <c r="D127" s="18" t="str">
        <f>'Consolidated Input'!D127</f>
        <v>£m</v>
      </c>
      <c r="E127" s="18" t="str">
        <f>'Consolidated Input'!E127</f>
        <v>Price Review 2024</v>
      </c>
      <c r="F127" s="18"/>
      <c r="G127" s="18"/>
      <c r="H127" s="18"/>
      <c r="I127" s="18"/>
      <c r="J127" s="18"/>
      <c r="K127" s="18"/>
      <c r="L127" s="18"/>
      <c r="M127" s="38"/>
    </row>
    <row r="128" spans="1:13">
      <c r="A128" s="18" t="str">
        <f>'Consolidated Input'!A128</f>
        <v>WSX</v>
      </c>
      <c r="B128" s="18" t="str">
        <f ca="1">Table1[[#This Row],[BON code]]</f>
        <v>CWW12_007TOT_PR24</v>
      </c>
      <c r="C128" s="18" t="str">
        <f>'Consolidated Input'!C128</f>
        <v>EA/NRW environmental programme wastewater (WINEP/NEP) - Continuous river water quality monitoring (WINEP/NEP) wastewater capex - Total</v>
      </c>
      <c r="D128" s="18" t="str">
        <f>'Consolidated Input'!D128</f>
        <v>£m</v>
      </c>
      <c r="E128" s="18" t="str">
        <f>'Consolidated Input'!E128</f>
        <v>Price Review 2024</v>
      </c>
      <c r="F128" s="18"/>
      <c r="G128" s="18"/>
      <c r="H128" s="18"/>
      <c r="I128" s="18"/>
      <c r="J128" s="18"/>
      <c r="K128" s="18"/>
      <c r="L128" s="18"/>
      <c r="M128" s="38"/>
    </row>
    <row r="129" spans="1:13">
      <c r="A129" s="18" t="str">
        <f>'Consolidated Input'!A129</f>
        <v>WSX</v>
      </c>
      <c r="B129" s="18" t="str">
        <f ca="1">Table1[[#This Row],[BON code]]</f>
        <v>CWW12_008TOT_PR24</v>
      </c>
      <c r="C129" s="18" t="str">
        <f>'Consolidated Input'!C129</f>
        <v>EA/NRW environmental programme wastewater (WINEP/NEP) - Continuous river water quality monitoring (WINEP/NEP) wastewater opex - Total</v>
      </c>
      <c r="D129" s="18" t="str">
        <f>'Consolidated Input'!D129</f>
        <v>£m</v>
      </c>
      <c r="E129" s="18" t="str">
        <f>'Consolidated Input'!E129</f>
        <v>Price Review 2024</v>
      </c>
      <c r="F129" s="18"/>
      <c r="G129" s="18"/>
      <c r="H129" s="18"/>
      <c r="I129" s="18"/>
      <c r="J129" s="18"/>
      <c r="K129" s="18"/>
      <c r="L129" s="18"/>
      <c r="M129" s="38"/>
    </row>
    <row r="130" spans="1:13">
      <c r="A130" s="18" t="str">
        <f>'Consolidated Input'!A130</f>
        <v>WSX</v>
      </c>
      <c r="B130" s="18" t="str">
        <f ca="1">Table1[[#This Row],[BON code]]</f>
        <v>CWW12_009TOT_PR24</v>
      </c>
      <c r="C130" s="18" t="str">
        <f>'Consolidated Input'!C130</f>
        <v>EA/NRW environmental programme wastewater (WINEP/NEP) - Continuous river water quality monitoring (WINEP/NEP) wastewater totex - Total</v>
      </c>
      <c r="D130" s="18" t="str">
        <f>'Consolidated Input'!D130</f>
        <v>£m</v>
      </c>
      <c r="E130" s="18" t="str">
        <f>'Consolidated Input'!E130</f>
        <v>Price Review 2024</v>
      </c>
      <c r="F130" s="18"/>
      <c r="G130" s="18"/>
      <c r="H130" s="18"/>
      <c r="I130" s="18"/>
      <c r="J130" s="18"/>
      <c r="K130" s="18"/>
      <c r="L130" s="18"/>
      <c r="M130" s="38"/>
    </row>
    <row r="131" spans="1:13">
      <c r="A131" s="18" t="str">
        <f>'Consolidated Input'!A131</f>
        <v>WSX</v>
      </c>
      <c r="B131" s="18" t="str">
        <f ca="1">Table1[[#This Row],[BON code]]</f>
        <v>CWW17_007TOT_PR24</v>
      </c>
      <c r="C131" s="18" t="str">
        <f>'Consolidated Input'!C131</f>
        <v>EA/NRW environmental programme wastewater (WINEP/NEP) - Continuous river water quality monitoring (WINEP/NEP) wastewater capex - Total</v>
      </c>
      <c r="D131" s="18" t="str">
        <f>'Consolidated Input'!D131</f>
        <v>£m</v>
      </c>
      <c r="E131" s="18" t="str">
        <f>'Consolidated Input'!E131</f>
        <v>Price Review 2024</v>
      </c>
      <c r="F131" s="18"/>
      <c r="G131" s="18"/>
      <c r="H131" s="18"/>
      <c r="I131" s="18"/>
      <c r="J131" s="18"/>
      <c r="K131" s="18"/>
      <c r="L131" s="18"/>
      <c r="M131" s="38"/>
    </row>
    <row r="132" spans="1:13">
      <c r="A132" s="18" t="str">
        <f>'Consolidated Input'!A132</f>
        <v>WSX</v>
      </c>
      <c r="B132" s="18" t="str">
        <f ca="1">Table1[[#This Row],[BON code]]</f>
        <v>CWW17_008TOT_PR24</v>
      </c>
      <c r="C132" s="18" t="str">
        <f>'Consolidated Input'!C132</f>
        <v>EA/NRW environmental programme wastewater (WINEP/NEP) - Continuous river water quality monitoring (WINEP/NEP) wastewater opex - Total</v>
      </c>
      <c r="D132" s="18" t="str">
        <f>'Consolidated Input'!D132</f>
        <v>£m</v>
      </c>
      <c r="E132" s="18" t="str">
        <f>'Consolidated Input'!E132</f>
        <v>Price Review 2024</v>
      </c>
      <c r="F132" s="18"/>
      <c r="G132" s="18"/>
      <c r="H132" s="18"/>
      <c r="I132" s="18"/>
      <c r="J132" s="18"/>
      <c r="K132" s="18"/>
      <c r="L132" s="18"/>
      <c r="M132" s="38"/>
    </row>
    <row r="133" spans="1:13">
      <c r="A133" s="18" t="str">
        <f>'Consolidated Input'!A133</f>
        <v>WSX</v>
      </c>
      <c r="B133" s="18" t="str">
        <f ca="1">Table1[[#This Row],[BON code]]</f>
        <v>CWW17_009TOT_PR24</v>
      </c>
      <c r="C133" s="18" t="str">
        <f>'Consolidated Input'!C133</f>
        <v>EA/NRW environmental programme wastewater (WINEP/NEP) - Continuous river water quality monitoring (WINEP/NEP) wastewater totex - Total</v>
      </c>
      <c r="D133" s="18" t="str">
        <f>'Consolidated Input'!D133</f>
        <v>£m</v>
      </c>
      <c r="E133" s="18" t="str">
        <f>'Consolidated Input'!E133</f>
        <v>Price Review 2024</v>
      </c>
      <c r="F133" s="18"/>
      <c r="G133" s="18"/>
      <c r="H133" s="18"/>
      <c r="I133" s="18"/>
      <c r="J133" s="18"/>
      <c r="K133" s="18"/>
      <c r="L133" s="18"/>
      <c r="M133" s="38"/>
    </row>
    <row r="134" spans="1:13">
      <c r="A134" s="18" t="str">
        <f>'Consolidated Input'!A134</f>
        <v>WSX</v>
      </c>
      <c r="B134" s="18" t="str">
        <f ca="1">Table1[[#This Row],[BON code]]</f>
        <v>CWW20A_049_PR24</v>
      </c>
      <c r="C134" s="18" t="str">
        <f>'Consolidated Input'!C134</f>
        <v>Network / Storm overflow data - Number of continuous water quality monitor installations</v>
      </c>
      <c r="D134" s="18" t="str">
        <f>'Consolidated Input'!D134</f>
        <v>nr</v>
      </c>
      <c r="E134" s="18" t="str">
        <f>'Consolidated Input'!E134</f>
        <v>Price Review 2024</v>
      </c>
      <c r="F134" s="18"/>
      <c r="G134" s="18"/>
      <c r="H134" s="18"/>
      <c r="I134" s="18"/>
      <c r="J134" s="18"/>
      <c r="K134" s="18"/>
      <c r="L134" s="18"/>
      <c r="M134" s="38"/>
    </row>
    <row r="135" spans="1:13">
      <c r="A135" s="18" t="str">
        <f>'Consolidated Input'!A135</f>
        <v>YKY</v>
      </c>
      <c r="B135" s="18" t="str">
        <f ca="1">Table1[[#This Row],[BON code]]</f>
        <v>CWW3_007TOT_PR24</v>
      </c>
      <c r="C135" s="18" t="str">
        <f>'Consolidated Input'!C135</f>
        <v>EA/NRW environmental programme wastewater (WINEP/NEP) - Continuous river water quality monitoring (WINEP/NEP) wastewater capex - Total</v>
      </c>
      <c r="D135" s="18" t="str">
        <f>'Consolidated Input'!D135</f>
        <v>£m</v>
      </c>
      <c r="E135" s="18" t="str">
        <f>'Consolidated Input'!E135</f>
        <v>Price Review 2024</v>
      </c>
      <c r="F135" s="18"/>
      <c r="G135" s="18"/>
      <c r="H135" s="18"/>
      <c r="I135" s="18"/>
      <c r="J135" s="18"/>
      <c r="K135" s="18"/>
      <c r="L135" s="18"/>
      <c r="M135" s="38"/>
    </row>
    <row r="136" spans="1:13">
      <c r="A136" s="18" t="str">
        <f>'Consolidated Input'!A136</f>
        <v>YKY</v>
      </c>
      <c r="B136" s="18" t="str">
        <f ca="1">Table1[[#This Row],[BON code]]</f>
        <v>CWW3_008TOT_PR24</v>
      </c>
      <c r="C136" s="18" t="str">
        <f>'Consolidated Input'!C136</f>
        <v>EA/NRW environmental programme wastewater (WINEP/NEP) - Continuous river water quality monitoring (WINEP/NEP) wastewater opex - Total</v>
      </c>
      <c r="D136" s="18" t="str">
        <f>'Consolidated Input'!D136</f>
        <v>£m</v>
      </c>
      <c r="E136" s="18" t="str">
        <f>'Consolidated Input'!E136</f>
        <v>Price Review 2024</v>
      </c>
      <c r="F136" s="18"/>
      <c r="G136" s="18"/>
      <c r="H136" s="18"/>
      <c r="I136" s="18"/>
      <c r="J136" s="18"/>
      <c r="K136" s="18"/>
      <c r="L136" s="18"/>
      <c r="M136" s="38"/>
    </row>
    <row r="137" spans="1:13">
      <c r="A137" s="18" t="str">
        <f>'Consolidated Input'!A137</f>
        <v>YKY</v>
      </c>
      <c r="B137" s="18" t="str">
        <f ca="1">Table1[[#This Row],[BON code]]</f>
        <v>CWW3_009TOT_PR24</v>
      </c>
      <c r="C137" s="18" t="str">
        <f>'Consolidated Input'!C137</f>
        <v>EA/NRW environmental programme wastewater (WINEP/NEP) - Continuous river water quality monitoring (WINEP/NEP) wastewater totex - Total</v>
      </c>
      <c r="D137" s="18" t="str">
        <f>'Consolidated Input'!D137</f>
        <v>£m</v>
      </c>
      <c r="E137" s="18" t="str">
        <f>'Consolidated Input'!E137</f>
        <v>Price Review 2024</v>
      </c>
      <c r="F137" s="18"/>
      <c r="G137" s="18"/>
      <c r="H137" s="18"/>
      <c r="I137" s="18"/>
      <c r="J137" s="18"/>
      <c r="K137" s="18"/>
      <c r="L137" s="18"/>
      <c r="M137" s="38"/>
    </row>
    <row r="138" spans="1:13">
      <c r="A138" s="18" t="str">
        <f>'Consolidated Input'!A138</f>
        <v>YKY</v>
      </c>
      <c r="B138" s="18" t="str">
        <f ca="1">Table1[[#This Row],[BON code]]</f>
        <v>CWW20_049_PR24</v>
      </c>
      <c r="C138" s="18" t="str">
        <f>'Consolidated Input'!C138</f>
        <v>Network / Storm overflow data - Number of continuous water quality monitor installations</v>
      </c>
      <c r="D138" s="18" t="str">
        <f>'Consolidated Input'!D138</f>
        <v>nr</v>
      </c>
      <c r="E138" s="18" t="str">
        <f>'Consolidated Input'!E138</f>
        <v>Price Review 2024</v>
      </c>
      <c r="F138" s="18"/>
      <c r="G138" s="18"/>
      <c r="H138" s="18"/>
      <c r="I138" s="18"/>
      <c r="J138" s="18"/>
      <c r="K138" s="18"/>
      <c r="L138" s="18"/>
      <c r="M138" s="38"/>
    </row>
    <row r="139" spans="1:13">
      <c r="A139" s="18" t="str">
        <f>'Consolidated Input'!A139</f>
        <v>YKY</v>
      </c>
      <c r="B139" s="18" t="str">
        <f ca="1">Table1[[#This Row],[BON code]]</f>
        <v>CWW1A_015TOT_PR24</v>
      </c>
      <c r="C139" s="18" t="str">
        <f>'Consolidated Input'!C139</f>
        <v>Net totex - Total</v>
      </c>
      <c r="D139" s="18" t="str">
        <f>'Consolidated Input'!D139</f>
        <v>£m</v>
      </c>
      <c r="E139" s="18" t="str">
        <f>'Consolidated Input'!E139</f>
        <v>Price Review 2024</v>
      </c>
      <c r="F139" s="18"/>
      <c r="G139" s="18"/>
      <c r="H139" s="18"/>
      <c r="I139" s="18"/>
      <c r="J139" s="18"/>
      <c r="K139" s="18"/>
      <c r="L139" s="18"/>
      <c r="M139" s="38"/>
    </row>
    <row r="140" spans="1:13">
      <c r="A140" s="18" t="str">
        <f>'Consolidated Input'!A140</f>
        <v>YKY</v>
      </c>
      <c r="B140" s="18" t="str">
        <f ca="1">Table1[[#This Row],[BON code]]</f>
        <v>PR24_NETTOTEX_WASTE</v>
      </c>
      <c r="C140" s="18" t="str">
        <f>'Consolidated Input'!C140</f>
        <v>PR24 BP Net totex - Total inc. accelerated &amp; transition costs</v>
      </c>
      <c r="D140" s="18" t="str">
        <f>'Consolidated Input'!D140</f>
        <v>£m</v>
      </c>
      <c r="E140" s="18" t="str">
        <f>'Consolidated Input'!E140</f>
        <v>Price Review 2024</v>
      </c>
      <c r="F140" s="18"/>
      <c r="G140" s="18"/>
      <c r="H140" s="18"/>
      <c r="I140" s="18"/>
      <c r="J140" s="18"/>
      <c r="K140" s="18"/>
      <c r="L140" s="18"/>
      <c r="M140" s="38"/>
    </row>
    <row r="141" spans="1:13">
      <c r="A141" s="18" t="str">
        <f>'Consolidated Input'!A141</f>
        <v>YKY</v>
      </c>
      <c r="B141" s="18" t="str">
        <f ca="1">Table1[[#This Row],[BON code]]</f>
        <v>CWW12_007TOT_PR24</v>
      </c>
      <c r="C141" s="18" t="str">
        <f>'Consolidated Input'!C141</f>
        <v>EA/NRW environmental programme wastewater (WINEP/NEP) - Continuous river water quality monitoring (WINEP/NEP) wastewater capex - Total</v>
      </c>
      <c r="D141" s="18" t="str">
        <f>'Consolidated Input'!D141</f>
        <v>£m</v>
      </c>
      <c r="E141" s="18" t="str">
        <f>'Consolidated Input'!E141</f>
        <v>Price Review 2024</v>
      </c>
      <c r="F141" s="18"/>
      <c r="G141" s="18"/>
      <c r="H141" s="18"/>
      <c r="I141" s="18"/>
      <c r="J141" s="18"/>
      <c r="K141" s="18"/>
      <c r="L141" s="18"/>
      <c r="M141" s="38"/>
    </row>
    <row r="142" spans="1:13">
      <c r="A142" s="18" t="str">
        <f>'Consolidated Input'!A142</f>
        <v>YKY</v>
      </c>
      <c r="B142" s="18" t="str">
        <f ca="1">Table1[[#This Row],[BON code]]</f>
        <v>CWW12_008TOT_PR24</v>
      </c>
      <c r="C142" s="18" t="str">
        <f>'Consolidated Input'!C142</f>
        <v>EA/NRW environmental programme wastewater (WINEP/NEP) - Continuous river water quality monitoring (WINEP/NEP) wastewater opex - Total</v>
      </c>
      <c r="D142" s="18" t="str">
        <f>'Consolidated Input'!D142</f>
        <v>£m</v>
      </c>
      <c r="E142" s="18" t="str">
        <f>'Consolidated Input'!E142</f>
        <v>Price Review 2024</v>
      </c>
      <c r="F142" s="18"/>
      <c r="G142" s="18"/>
      <c r="H142" s="18"/>
      <c r="I142" s="18"/>
      <c r="J142" s="18"/>
      <c r="K142" s="18"/>
      <c r="L142" s="18"/>
      <c r="M142" s="38"/>
    </row>
    <row r="143" spans="1:13">
      <c r="A143" s="18" t="str">
        <f>'Consolidated Input'!A143</f>
        <v>YKY</v>
      </c>
      <c r="B143" s="18" t="str">
        <f ca="1">Table1[[#This Row],[BON code]]</f>
        <v>CWW12_009TOT_PR24</v>
      </c>
      <c r="C143" s="18" t="str">
        <f>'Consolidated Input'!C143</f>
        <v>EA/NRW environmental programme wastewater (WINEP/NEP) - Continuous river water quality monitoring (WINEP/NEP) wastewater totex - Total</v>
      </c>
      <c r="D143" s="18" t="str">
        <f>'Consolidated Input'!D143</f>
        <v>£m</v>
      </c>
      <c r="E143" s="18" t="str">
        <f>'Consolidated Input'!E143</f>
        <v>Price Review 2024</v>
      </c>
      <c r="F143" s="18"/>
      <c r="G143" s="18"/>
      <c r="H143" s="18"/>
      <c r="I143" s="18"/>
      <c r="J143" s="18"/>
      <c r="K143" s="18"/>
      <c r="L143" s="18"/>
      <c r="M143" s="38"/>
    </row>
    <row r="144" spans="1:13">
      <c r="A144" s="18" t="str">
        <f>'Consolidated Input'!A144</f>
        <v>YKY</v>
      </c>
      <c r="B144" s="18" t="str">
        <f ca="1">Table1[[#This Row],[BON code]]</f>
        <v>CWW17_007TOT_PR24</v>
      </c>
      <c r="C144" s="18" t="str">
        <f>'Consolidated Input'!C144</f>
        <v>EA/NRW environmental programme wastewater (WINEP/NEP) - Continuous river water quality monitoring (WINEP/NEP) wastewater capex - Total</v>
      </c>
      <c r="D144" s="18" t="str">
        <f>'Consolidated Input'!D144</f>
        <v>£m</v>
      </c>
      <c r="E144" s="18" t="str">
        <f>'Consolidated Input'!E144</f>
        <v>Price Review 2024</v>
      </c>
      <c r="F144" s="18"/>
      <c r="G144" s="18"/>
      <c r="H144" s="18"/>
      <c r="I144" s="18"/>
      <c r="J144" s="18"/>
      <c r="K144" s="18"/>
      <c r="L144" s="18"/>
      <c r="M144" s="38"/>
    </row>
    <row r="145" spans="1:13">
      <c r="A145" s="18" t="str">
        <f>'Consolidated Input'!A145</f>
        <v>YKY</v>
      </c>
      <c r="B145" s="18" t="str">
        <f ca="1">Table1[[#This Row],[BON code]]</f>
        <v>CWW17_008TOT_PR24</v>
      </c>
      <c r="C145" s="18" t="str">
        <f>'Consolidated Input'!C145</f>
        <v>EA/NRW environmental programme wastewater (WINEP/NEP) - Continuous river water quality monitoring (WINEP/NEP) wastewater opex - Total</v>
      </c>
      <c r="D145" s="18" t="str">
        <f>'Consolidated Input'!D145</f>
        <v>£m</v>
      </c>
      <c r="E145" s="18" t="str">
        <f>'Consolidated Input'!E145</f>
        <v>Price Review 2024</v>
      </c>
      <c r="F145" s="18"/>
      <c r="G145" s="18"/>
      <c r="H145" s="18"/>
      <c r="I145" s="18"/>
      <c r="J145" s="18"/>
      <c r="K145" s="18"/>
      <c r="L145" s="18"/>
      <c r="M145" s="38"/>
    </row>
    <row r="146" spans="1:13">
      <c r="A146" s="18" t="str">
        <f>'Consolidated Input'!A146</f>
        <v>YKY</v>
      </c>
      <c r="B146" s="18" t="str">
        <f ca="1">Table1[[#This Row],[BON code]]</f>
        <v>CWW17_009TOT_PR24</v>
      </c>
      <c r="C146" s="18" t="str">
        <f>'Consolidated Input'!C146</f>
        <v>EA/NRW environmental programme wastewater (WINEP/NEP) - Continuous river water quality monitoring (WINEP/NEP) wastewater totex - Total</v>
      </c>
      <c r="D146" s="18" t="str">
        <f>'Consolidated Input'!D146</f>
        <v>£m</v>
      </c>
      <c r="E146" s="18" t="str">
        <f>'Consolidated Input'!E146</f>
        <v>Price Review 2024</v>
      </c>
      <c r="F146" s="18"/>
      <c r="G146" s="18"/>
      <c r="H146" s="18"/>
      <c r="I146" s="18"/>
      <c r="J146" s="18"/>
      <c r="K146" s="18"/>
      <c r="L146" s="18"/>
      <c r="M146" s="38"/>
    </row>
    <row r="147" spans="1:13">
      <c r="A147" s="18" t="str">
        <f>'Consolidated Input'!A147</f>
        <v>YKY</v>
      </c>
      <c r="B147" s="18" t="str">
        <f ca="1">Table1[[#This Row],[BON code]]</f>
        <v>CWW20A_049_PR24</v>
      </c>
      <c r="C147" s="18" t="str">
        <f>'Consolidated Input'!C147</f>
        <v>Network / Storm overflow data - Number of continuous water quality monitor installations</v>
      </c>
      <c r="D147" s="18" t="str">
        <f>'Consolidated Input'!D147</f>
        <v>nr</v>
      </c>
      <c r="E147" s="18" t="str">
        <f>'Consolidated Input'!E147</f>
        <v>Price Review 2024</v>
      </c>
      <c r="F147" s="18"/>
      <c r="G147" s="18"/>
      <c r="H147" s="18"/>
      <c r="I147" s="18"/>
      <c r="J147" s="18"/>
      <c r="K147" s="18"/>
      <c r="L147" s="18"/>
      <c r="M147" s="38"/>
    </row>
  </sheetData>
  <phoneticPr fontId="4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8B16F-C788-49B1-BD0F-2B98AA76A504}">
  <sheetPr codeName="Sheet16">
    <tabColor rgb="FFFFDB8E"/>
  </sheetPr>
  <dimension ref="A1:N148"/>
  <sheetViews>
    <sheetView showGridLines="0" zoomScale="80" zoomScaleNormal="80" workbookViewId="0"/>
  </sheetViews>
  <sheetFormatPr defaultRowHeight="12.75"/>
  <cols>
    <col min="1" max="1" width="11.140625" customWidth="1"/>
    <col min="2" max="2" width="23.28515625" bestFit="1" customWidth="1"/>
    <col min="3" max="3" width="124.42578125" customWidth="1"/>
    <col min="5" max="5" width="17.7109375" customWidth="1"/>
    <col min="6" max="12" width="9.5703125" bestFit="1" customWidth="1"/>
    <col min="13" max="13" width="11.140625" customWidth="1"/>
    <col min="14" max="14" width="9.5703125" bestFit="1" customWidth="1"/>
  </cols>
  <sheetData>
    <row r="1" spans="1:14" ht="31.5">
      <c r="A1" s="1" t="str">
        <f ca="1" xml:space="preserve"> RIGHT(CELL("filename", $A$1), LEN(CELL("filename", $A$1)) - SEARCH("]", CELL("filename", $A$1)))</f>
        <v>Final Input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4" spans="1:14">
      <c r="A4" s="154" t="s">
        <v>59</v>
      </c>
      <c r="B4" s="154" t="s">
        <v>109</v>
      </c>
      <c r="C4" s="154" t="s">
        <v>110</v>
      </c>
      <c r="D4" s="154" t="s">
        <v>62</v>
      </c>
      <c r="E4" s="154" t="s">
        <v>63</v>
      </c>
      <c r="F4" s="29" t="s">
        <v>64</v>
      </c>
      <c r="G4" s="29" t="s">
        <v>65</v>
      </c>
      <c r="H4" s="29" t="s">
        <v>66</v>
      </c>
      <c r="I4" s="29" t="s">
        <v>67</v>
      </c>
      <c r="J4" s="29" t="s">
        <v>68</v>
      </c>
      <c r="K4" s="29" t="s">
        <v>69</v>
      </c>
      <c r="L4" s="29" t="s">
        <v>70</v>
      </c>
      <c r="M4" s="42" t="s">
        <v>71</v>
      </c>
      <c r="N4" s="43" t="s">
        <v>111</v>
      </c>
    </row>
    <row r="5" spans="1:14">
      <c r="A5" s="169" t="str">
        <f>'F_Input Override'!A5</f>
        <v>ANH</v>
      </c>
      <c r="B5" s="170" t="str">
        <f ca="1">Table1[[#This Row],[BON code]]</f>
        <v>CWW3_007TOT_PR24</v>
      </c>
      <c r="C5" s="170" t="str">
        <f>'F_Input Override'!C5</f>
        <v>EA/NRW environmental programme wastewater (WINEP/NEP) - Continuous river water quality monitoring (WINEP/NEP) wastewater capex - Total</v>
      </c>
      <c r="D5" s="170" t="str">
        <f>'F_Input Override'!D5</f>
        <v>£m</v>
      </c>
      <c r="E5" s="171" t="str">
        <f>'F_Input Override'!E5</f>
        <v>Price Review 2024</v>
      </c>
      <c r="F5" s="172">
        <f ca="1">IF('F_Input Override'!F5="",'Consolidated Input'!F5,('F_Input Override'!F5))</f>
        <v>0</v>
      </c>
      <c r="G5" s="172">
        <f ca="1">IF('F_Input Override'!G5="",'Consolidated Input'!G5,('F_Input Override'!G5))</f>
        <v>0</v>
      </c>
      <c r="H5" s="172">
        <f ca="1">IF('F_Input Override'!H5="",'Consolidated Input'!H5,('F_Input Override'!H5))</f>
        <v>0.86799999999999999</v>
      </c>
      <c r="I5" s="172">
        <f ca="1">IF('F_Input Override'!I5="",'Consolidated Input'!I5,('F_Input Override'!I5))</f>
        <v>17.236000000000001</v>
      </c>
      <c r="J5" s="172">
        <f ca="1">IF('F_Input Override'!J5="",'Consolidated Input'!J5,('F_Input Override'!J5))</f>
        <v>18.103999999999999</v>
      </c>
      <c r="K5" s="172">
        <f ca="1">IF('F_Input Override'!K5="",'Consolidated Input'!K5,('F_Input Override'!K5))</f>
        <v>18.103999999999999</v>
      </c>
      <c r="L5" s="172">
        <f ca="1">IF('F_Input Override'!L5="",'Consolidated Input'!L5,('F_Input Override'!L5))</f>
        <v>18.103999999999999</v>
      </c>
      <c r="M5" s="172">
        <f ca="1">IF('F_Input Override'!M5="",'Consolidated Input'!M5,('F_Input Override'!M5))</f>
        <v>0</v>
      </c>
      <c r="N5" s="173">
        <f ca="1">SUM(F5:L5)</f>
        <v>72.415999999999997</v>
      </c>
    </row>
    <row r="6" spans="1:14">
      <c r="A6" s="154" t="str">
        <f>'F_Input Override'!A5</f>
        <v>ANH</v>
      </c>
      <c r="B6" s="154" t="str">
        <f ca="1">Table1[[#This Row],[BON code]]</f>
        <v>CWW3_008TOT_PR24</v>
      </c>
      <c r="C6" s="170" t="str">
        <f>'F_Input Override'!C6</f>
        <v>EA/NRW environmental programme wastewater (WINEP/NEP) - Continuous river water quality monitoring (WINEP/NEP) wastewater opex - Total</v>
      </c>
      <c r="D6" s="170" t="str">
        <f>'F_Input Override'!D6</f>
        <v>£m</v>
      </c>
      <c r="E6" s="171" t="str">
        <f>'F_Input Override'!E6</f>
        <v>Price Review 2024</v>
      </c>
      <c r="F6" s="172">
        <f ca="1">IF('F_Input Override'!F6="",'Consolidated Input'!F6,('F_Input Override'!F6))</f>
        <v>0</v>
      </c>
      <c r="G6" s="172">
        <f ca="1">IF('F_Input Override'!G6="",'Consolidated Input'!G6,('F_Input Override'!G6))</f>
        <v>0</v>
      </c>
      <c r="H6" s="172">
        <f ca="1">IF('F_Input Override'!H6="",'Consolidated Input'!H6,('F_Input Override'!H6))</f>
        <v>0</v>
      </c>
      <c r="I6" s="172">
        <f ca="1">IF('F_Input Override'!I6="",'Consolidated Input'!I6,('F_Input Override'!I6))</f>
        <v>0.50700000000000001</v>
      </c>
      <c r="J6" s="172">
        <f ca="1">IF('F_Input Override'!J6="",'Consolidated Input'!J6,('F_Input Override'!J6))</f>
        <v>1.014</v>
      </c>
      <c r="K6" s="172">
        <f ca="1">IF('F_Input Override'!K6="",'Consolidated Input'!K6,('F_Input Override'!K6))</f>
        <v>1.5189999999999999</v>
      </c>
      <c r="L6" s="172">
        <f ca="1">IF('F_Input Override'!L6="",'Consolidated Input'!L6,('F_Input Override'!L6))</f>
        <v>2.3639999999999999</v>
      </c>
      <c r="M6" s="172">
        <f ca="1">IF('F_Input Override'!M6="",'Consolidated Input'!M6,('F_Input Override'!M6))</f>
        <v>0</v>
      </c>
      <c r="N6" s="173">
        <f t="shared" ref="N6:N69" ca="1" si="0">SUM(F6:L6)</f>
        <v>5.4039999999999999</v>
      </c>
    </row>
    <row r="7" spans="1:14">
      <c r="A7" s="154" t="str">
        <f>'F_Input Override'!A6</f>
        <v>ANH</v>
      </c>
      <c r="B7" s="154" t="str">
        <f ca="1">Table1[[#This Row],[BON code]]</f>
        <v>CWW3_009TOT_PR24</v>
      </c>
      <c r="C7" s="170" t="str">
        <f>'F_Input Override'!C7</f>
        <v>EA/NRW environmental programme wastewater (WINEP/NEP) - Continuous river water quality monitoring (WINEP/NEP) wastewater totex - Total</v>
      </c>
      <c r="D7" s="170" t="str">
        <f>'F_Input Override'!D7</f>
        <v>£m</v>
      </c>
      <c r="E7" s="171" t="str">
        <f>'F_Input Override'!E7</f>
        <v>Price Review 2024</v>
      </c>
      <c r="F7" s="172">
        <f ca="1">IF('F_Input Override'!F7="",'Consolidated Input'!F7,('F_Input Override'!F7))</f>
        <v>0</v>
      </c>
      <c r="G7" s="172">
        <f ca="1">IF('F_Input Override'!G7="",'Consolidated Input'!G7,('F_Input Override'!G7))</f>
        <v>0</v>
      </c>
      <c r="H7" s="172">
        <f ca="1">IF('F_Input Override'!H7="",'Consolidated Input'!H7,('F_Input Override'!H7))</f>
        <v>0.86799999999999999</v>
      </c>
      <c r="I7" s="172">
        <f ca="1">IF('F_Input Override'!I7="",'Consolidated Input'!I7,('F_Input Override'!I7))</f>
        <v>17.742999999999999</v>
      </c>
      <c r="J7" s="172">
        <f ca="1">IF('F_Input Override'!J7="",'Consolidated Input'!J7,('F_Input Override'!J7))</f>
        <v>19.117999999999999</v>
      </c>
      <c r="K7" s="172">
        <f ca="1">IF('F_Input Override'!K7="",'Consolidated Input'!K7,('F_Input Override'!K7))</f>
        <v>19.623000000000001</v>
      </c>
      <c r="L7" s="172">
        <f ca="1">IF('F_Input Override'!L7="",'Consolidated Input'!L7,('F_Input Override'!L7))</f>
        <v>20.468</v>
      </c>
      <c r="M7" s="172">
        <f ca="1">IF('F_Input Override'!M7="",'Consolidated Input'!M7,('F_Input Override'!M7))</f>
        <v>0</v>
      </c>
      <c r="N7" s="173">
        <f t="shared" ca="1" si="0"/>
        <v>77.820000000000007</v>
      </c>
    </row>
    <row r="8" spans="1:14">
      <c r="A8" s="154" t="str">
        <f>'F_Input Override'!A7</f>
        <v>ANH</v>
      </c>
      <c r="B8" s="154" t="str">
        <f ca="1">Table1[[#This Row],[BON code]]</f>
        <v>CWW20_049_PR24</v>
      </c>
      <c r="C8" s="170" t="str">
        <f>'F_Input Override'!C8</f>
        <v>Network / Storm overflow data - Number of continuous water quality monitor installations</v>
      </c>
      <c r="D8" s="170" t="str">
        <f>'F_Input Override'!D8</f>
        <v>nr</v>
      </c>
      <c r="E8" s="171" t="str">
        <f>'F_Input Override'!E8</f>
        <v>Price Review 2024</v>
      </c>
      <c r="F8" s="172">
        <f ca="1">IF('F_Input Override'!F8="",'Consolidated Input'!F8,('F_Input Override'!F8))</f>
        <v>0</v>
      </c>
      <c r="G8" s="172">
        <f ca="1">IF('F_Input Override'!G8="",'Consolidated Input'!G8,('F_Input Override'!G8))</f>
        <v>0</v>
      </c>
      <c r="H8" s="172">
        <f ca="1">IF('F_Input Override'!H8="",'Consolidated Input'!H8,('F_Input Override'!H8))</f>
        <v>0</v>
      </c>
      <c r="I8" s="172">
        <f ca="1">IF('F_Input Override'!I8="",'Consolidated Input'!I8,('F_Input Override'!I8))</f>
        <v>117</v>
      </c>
      <c r="J8" s="172">
        <f ca="1">IF('F_Input Override'!J8="",'Consolidated Input'!J8,('F_Input Override'!J8))</f>
        <v>117</v>
      </c>
      <c r="K8" s="172">
        <f ca="1">IF('F_Input Override'!K8="",'Consolidated Input'!K8,('F_Input Override'!K8))</f>
        <v>175</v>
      </c>
      <c r="L8" s="172">
        <f ca="1">IF('F_Input Override'!L8="",'Consolidated Input'!L8,('F_Input Override'!L8))</f>
        <v>175</v>
      </c>
      <c r="M8" s="172">
        <f ca="1">IF('F_Input Override'!M8="",'Consolidated Input'!M8,('F_Input Override'!M8))</f>
        <v>0</v>
      </c>
      <c r="N8" s="173">
        <f t="shared" ca="1" si="0"/>
        <v>584</v>
      </c>
    </row>
    <row r="9" spans="1:14">
      <c r="A9" s="154" t="str">
        <f>'F_Input Override'!A8</f>
        <v>ANH</v>
      </c>
      <c r="B9" s="154" t="str">
        <f ca="1">Table1[[#This Row],[BON code]]</f>
        <v>CWW1A_015TOT_PR24</v>
      </c>
      <c r="C9" s="170" t="str">
        <f>'F_Input Override'!C9</f>
        <v>Net totex - Total</v>
      </c>
      <c r="D9" s="170" t="str">
        <f>'F_Input Override'!D9</f>
        <v>£m</v>
      </c>
      <c r="E9" s="171" t="str">
        <f>'F_Input Override'!E9</f>
        <v>Price Review 2024</v>
      </c>
      <c r="F9" s="172">
        <f ca="1">IF('F_Input Override'!F9="",'Consolidated Input'!F9,('F_Input Override'!F9))</f>
        <v>0</v>
      </c>
      <c r="G9" s="172">
        <f ca="1">IF('F_Input Override'!G9="",'Consolidated Input'!G9,('F_Input Override'!G9))</f>
        <v>0</v>
      </c>
      <c r="H9" s="172">
        <f ca="1">IF('F_Input Override'!H9="",'Consolidated Input'!H9,('F_Input Override'!H9))</f>
        <v>918.35791855506159</v>
      </c>
      <c r="I9" s="172">
        <f ca="1">IF('F_Input Override'!I9="",'Consolidated Input'!I9,('F_Input Override'!I9))</f>
        <v>1252.510714614566</v>
      </c>
      <c r="J9" s="172">
        <f ca="1">IF('F_Input Override'!J9="",'Consolidated Input'!J9,('F_Input Override'!J9))</f>
        <v>1373.6720073368151</v>
      </c>
      <c r="K9" s="172">
        <f ca="1">IF('F_Input Override'!K9="",'Consolidated Input'!K9,('F_Input Override'!K9))</f>
        <v>1412.752604889323</v>
      </c>
      <c r="L9" s="172">
        <f ca="1">IF('F_Input Override'!L9="",'Consolidated Input'!L9,('F_Input Override'!L9))</f>
        <v>1043.517799885112</v>
      </c>
      <c r="M9" s="172">
        <f ca="1">IF('F_Input Override'!M9="",'Consolidated Input'!M9,('F_Input Override'!M9))</f>
        <v>0</v>
      </c>
      <c r="N9" s="173">
        <f t="shared" ca="1" si="0"/>
        <v>6000.8110452808778</v>
      </c>
    </row>
    <row r="10" spans="1:14">
      <c r="A10" s="154" t="str">
        <f>'F_Input Override'!A9</f>
        <v>ANH</v>
      </c>
      <c r="B10" s="154" t="str">
        <f ca="1">Table1[[#This Row],[BON code]]</f>
        <v>PR24_NETTOTEX_WASTE</v>
      </c>
      <c r="C10" s="170" t="str">
        <f>'F_Input Override'!C10</f>
        <v>PR24 BP Net totex - Total inc. accelerated &amp; transition costs</v>
      </c>
      <c r="D10" s="170" t="str">
        <f>'F_Input Override'!D10</f>
        <v>£m</v>
      </c>
      <c r="E10" s="171" t="str">
        <f>'F_Input Override'!E10</f>
        <v>Price Review 2024</v>
      </c>
      <c r="F10" s="172">
        <f ca="1">IF('F_Input Override'!F10="",'Consolidated Input'!F10,('F_Input Override'!F10))</f>
        <v>0</v>
      </c>
      <c r="G10" s="172">
        <f ca="1">IF('F_Input Override'!G10="",'Consolidated Input'!G10,('F_Input Override'!G10))</f>
        <v>0</v>
      </c>
      <c r="H10" s="172">
        <f ca="1">IF('F_Input Override'!H10="",'Consolidated Input'!H10,('F_Input Override'!H10))</f>
        <v>0</v>
      </c>
      <c r="I10" s="172">
        <f ca="1">IF('F_Input Override'!I10="",'Consolidated Input'!I10,('F_Input Override'!I10))</f>
        <v>0</v>
      </c>
      <c r="J10" s="172">
        <f ca="1">IF('F_Input Override'!J10="",'Consolidated Input'!J10,('F_Input Override'!J10))</f>
        <v>0</v>
      </c>
      <c r="K10" s="172">
        <f ca="1">IF('F_Input Override'!K10="",'Consolidated Input'!K10,('F_Input Override'!K10))</f>
        <v>0</v>
      </c>
      <c r="L10" s="172">
        <f ca="1">IF('F_Input Override'!L10="",'Consolidated Input'!L10,('F_Input Override'!L10))</f>
        <v>0</v>
      </c>
      <c r="M10" s="172">
        <f ca="1">IF('F_Input Override'!M10="",'Consolidated Input'!M10,('F_Input Override'!M10))</f>
        <v>6050.1791019508782</v>
      </c>
      <c r="N10" s="173">
        <f t="shared" ca="1" si="0"/>
        <v>0</v>
      </c>
    </row>
    <row r="11" spans="1:14">
      <c r="A11" s="154" t="str">
        <f>'F_Input Override'!A10</f>
        <v>ANH</v>
      </c>
      <c r="B11" s="154" t="str">
        <f ca="1">Table1[[#This Row],[BON code]]</f>
        <v>CWW12_007TOT_PR24</v>
      </c>
      <c r="C11" s="170" t="str">
        <f>'F_Input Override'!C11</f>
        <v>EA/NRW environmental programme wastewater (WINEP/NEP) - Continuous river water quality monitoring (WINEP/NEP) wastewater capex - Total</v>
      </c>
      <c r="D11" s="170" t="str">
        <f>'F_Input Override'!D11</f>
        <v>£m</v>
      </c>
      <c r="E11" s="171" t="str">
        <f>'F_Input Override'!E11</f>
        <v>Price Review 2024</v>
      </c>
      <c r="F11" s="172">
        <f ca="1">IF('F_Input Override'!F11="",'Consolidated Input'!F11,('F_Input Override'!F11))</f>
        <v>0</v>
      </c>
      <c r="G11" s="172">
        <f ca="1">IF('F_Input Override'!G11="",'Consolidated Input'!G11,('F_Input Override'!G11))</f>
        <v>0</v>
      </c>
      <c r="H11" s="172">
        <f ca="1">IF('F_Input Override'!H11="",'Consolidated Input'!H11,('F_Input Override'!H11))</f>
        <v>0</v>
      </c>
      <c r="I11" s="172">
        <f ca="1">IF('F_Input Override'!I11="",'Consolidated Input'!I11,('F_Input Override'!I11))</f>
        <v>0</v>
      </c>
      <c r="J11" s="172">
        <f ca="1">IF('F_Input Override'!J11="",'Consolidated Input'!J11,('F_Input Override'!J11))</f>
        <v>0</v>
      </c>
      <c r="K11" s="172">
        <f ca="1">IF('F_Input Override'!K11="",'Consolidated Input'!K11,('F_Input Override'!K11))</f>
        <v>0</v>
      </c>
      <c r="L11" s="172">
        <f ca="1">IF('F_Input Override'!L11="",'Consolidated Input'!L11,('F_Input Override'!L11))</f>
        <v>0</v>
      </c>
      <c r="M11" s="172">
        <f ca="1">IF('F_Input Override'!M11="",'Consolidated Input'!M11,('F_Input Override'!M11))</f>
        <v>0</v>
      </c>
      <c r="N11" s="173">
        <f t="shared" ca="1" si="0"/>
        <v>0</v>
      </c>
    </row>
    <row r="12" spans="1:14">
      <c r="A12" s="154" t="str">
        <f>'F_Input Override'!A11</f>
        <v>ANH</v>
      </c>
      <c r="B12" s="154" t="str">
        <f ca="1">Table1[[#This Row],[BON code]]</f>
        <v>CWW12_008TOT_PR24</v>
      </c>
      <c r="C12" s="170" t="str">
        <f>'F_Input Override'!C12</f>
        <v>EA/NRW environmental programme wastewater (WINEP/NEP) - Continuous river water quality monitoring (WINEP/NEP) wastewater opex - Total</v>
      </c>
      <c r="D12" s="170" t="str">
        <f>'F_Input Override'!D12</f>
        <v>£m</v>
      </c>
      <c r="E12" s="171" t="str">
        <f>'F_Input Override'!E12</f>
        <v>Price Review 2024</v>
      </c>
      <c r="F12" s="172">
        <f ca="1">IF('F_Input Override'!F12="",'Consolidated Input'!F12,('F_Input Override'!F12))</f>
        <v>0</v>
      </c>
      <c r="G12" s="172">
        <f ca="1">IF('F_Input Override'!G12="",'Consolidated Input'!G12,('F_Input Override'!G12))</f>
        <v>0</v>
      </c>
      <c r="H12" s="172">
        <f ca="1">IF('F_Input Override'!H12="",'Consolidated Input'!H12,('F_Input Override'!H12))</f>
        <v>0</v>
      </c>
      <c r="I12" s="172">
        <f ca="1">IF('F_Input Override'!I12="",'Consolidated Input'!I12,('F_Input Override'!I12))</f>
        <v>0</v>
      </c>
      <c r="J12" s="172">
        <f ca="1">IF('F_Input Override'!J12="",'Consolidated Input'!J12,('F_Input Override'!J12))</f>
        <v>0</v>
      </c>
      <c r="K12" s="172">
        <f ca="1">IF('F_Input Override'!K12="",'Consolidated Input'!K12,('F_Input Override'!K12))</f>
        <v>0</v>
      </c>
      <c r="L12" s="172">
        <f ca="1">IF('F_Input Override'!L12="",'Consolidated Input'!L12,('F_Input Override'!L12))</f>
        <v>0</v>
      </c>
      <c r="M12" s="172">
        <f ca="1">IF('F_Input Override'!M12="",'Consolidated Input'!M12,('F_Input Override'!M12))</f>
        <v>0</v>
      </c>
      <c r="N12" s="173">
        <f t="shared" ca="1" si="0"/>
        <v>0</v>
      </c>
    </row>
    <row r="13" spans="1:14">
      <c r="A13" s="154" t="str">
        <f>'F_Input Override'!A12</f>
        <v>ANH</v>
      </c>
      <c r="B13" s="154" t="str">
        <f ca="1">Table1[[#This Row],[BON code]]</f>
        <v>CWW12_009TOT_PR24</v>
      </c>
      <c r="C13" s="170" t="str">
        <f>'F_Input Override'!C13</f>
        <v>EA/NRW environmental programme wastewater (WINEP/NEP) - Continuous river water quality monitoring (WINEP/NEP) wastewater totex - Total</v>
      </c>
      <c r="D13" s="170" t="str">
        <f>'F_Input Override'!D13</f>
        <v>£m</v>
      </c>
      <c r="E13" s="171" t="str">
        <f>'F_Input Override'!E13</f>
        <v>Price Review 2024</v>
      </c>
      <c r="F13" s="172">
        <f ca="1">IF('F_Input Override'!F13="",'Consolidated Input'!F13,('F_Input Override'!F13))</f>
        <v>0</v>
      </c>
      <c r="G13" s="172">
        <f ca="1">IF('F_Input Override'!G13="",'Consolidated Input'!G13,('F_Input Override'!G13))</f>
        <v>0</v>
      </c>
      <c r="H13" s="172">
        <f ca="1">IF('F_Input Override'!H13="",'Consolidated Input'!H13,('F_Input Override'!H13))</f>
        <v>0</v>
      </c>
      <c r="I13" s="172">
        <f ca="1">IF('F_Input Override'!I13="",'Consolidated Input'!I13,('F_Input Override'!I13))</f>
        <v>0</v>
      </c>
      <c r="J13" s="172">
        <f ca="1">IF('F_Input Override'!J13="",'Consolidated Input'!J13,('F_Input Override'!J13))</f>
        <v>0</v>
      </c>
      <c r="K13" s="172">
        <f ca="1">IF('F_Input Override'!K13="",'Consolidated Input'!K13,('F_Input Override'!K13))</f>
        <v>0</v>
      </c>
      <c r="L13" s="172">
        <f ca="1">IF('F_Input Override'!L13="",'Consolidated Input'!L13,('F_Input Override'!L13))</f>
        <v>0</v>
      </c>
      <c r="M13" s="172">
        <f ca="1">IF('F_Input Override'!M13="",'Consolidated Input'!M13,('F_Input Override'!M13))</f>
        <v>0</v>
      </c>
      <c r="N13" s="173">
        <f t="shared" ca="1" si="0"/>
        <v>0</v>
      </c>
    </row>
    <row r="14" spans="1:14">
      <c r="A14" s="154" t="str">
        <f>'F_Input Override'!A13</f>
        <v>ANH</v>
      </c>
      <c r="B14" s="154" t="str">
        <f ca="1">Table1[[#This Row],[BON code]]</f>
        <v>CWW17_007TOT_PR24</v>
      </c>
      <c r="C14" s="170" t="str">
        <f>'F_Input Override'!C14</f>
        <v>EA/NRW environmental programme wastewater (WINEP/NEP) - Continuous river water quality monitoring (WINEP/NEP) wastewater capex - Total</v>
      </c>
      <c r="D14" s="170" t="str">
        <f>'F_Input Override'!D14</f>
        <v>£m</v>
      </c>
      <c r="E14" s="171" t="str">
        <f>'F_Input Override'!E14</f>
        <v>Price Review 2024</v>
      </c>
      <c r="F14" s="172">
        <f ca="1">IF('F_Input Override'!F14="",'Consolidated Input'!F14,('F_Input Override'!F14))</f>
        <v>0</v>
      </c>
      <c r="G14" s="172">
        <f ca="1">IF('F_Input Override'!G14="",'Consolidated Input'!G14,('F_Input Override'!G14))</f>
        <v>0</v>
      </c>
      <c r="H14" s="172">
        <f ca="1">IF('F_Input Override'!H14="",'Consolidated Input'!H14,('F_Input Override'!H14))</f>
        <v>0</v>
      </c>
      <c r="I14" s="172">
        <f ca="1">IF('F_Input Override'!I14="",'Consolidated Input'!I14,('F_Input Override'!I14))</f>
        <v>0</v>
      </c>
      <c r="J14" s="172">
        <f ca="1">IF('F_Input Override'!J14="",'Consolidated Input'!J14,('F_Input Override'!J14))</f>
        <v>0</v>
      </c>
      <c r="K14" s="172">
        <f ca="1">IF('F_Input Override'!K14="",'Consolidated Input'!K14,('F_Input Override'!K14))</f>
        <v>0</v>
      </c>
      <c r="L14" s="172">
        <f ca="1">IF('F_Input Override'!L14="",'Consolidated Input'!L14,('F_Input Override'!L14))</f>
        <v>0</v>
      </c>
      <c r="M14" s="172">
        <f ca="1">IF('F_Input Override'!M14="",'Consolidated Input'!M14,('F_Input Override'!M14))</f>
        <v>0</v>
      </c>
      <c r="N14" s="173">
        <f t="shared" ca="1" si="0"/>
        <v>0</v>
      </c>
    </row>
    <row r="15" spans="1:14">
      <c r="A15" s="154" t="str">
        <f>'F_Input Override'!A14</f>
        <v>ANH</v>
      </c>
      <c r="B15" s="154" t="str">
        <f ca="1">Table1[[#This Row],[BON code]]</f>
        <v>CWW17_008TOT_PR24</v>
      </c>
      <c r="C15" s="170" t="str">
        <f>'F_Input Override'!C15</f>
        <v>EA/NRW environmental programme wastewater (WINEP/NEP) - Continuous river water quality monitoring (WINEP/NEP) wastewater opex - Total</v>
      </c>
      <c r="D15" s="170" t="str">
        <f>'F_Input Override'!D15</f>
        <v>£m</v>
      </c>
      <c r="E15" s="171" t="str">
        <f>'F_Input Override'!E15</f>
        <v>Price Review 2024</v>
      </c>
      <c r="F15" s="172">
        <f ca="1">IF('F_Input Override'!F15="",'Consolidated Input'!F15,('F_Input Override'!F15))</f>
        <v>0</v>
      </c>
      <c r="G15" s="172">
        <f ca="1">IF('F_Input Override'!G15="",'Consolidated Input'!G15,('F_Input Override'!G15))</f>
        <v>0</v>
      </c>
      <c r="H15" s="172">
        <f ca="1">IF('F_Input Override'!H15="",'Consolidated Input'!H15,('F_Input Override'!H15))</f>
        <v>0</v>
      </c>
      <c r="I15" s="172">
        <f ca="1">IF('F_Input Override'!I15="",'Consolidated Input'!I15,('F_Input Override'!I15))</f>
        <v>0</v>
      </c>
      <c r="J15" s="172">
        <f ca="1">IF('F_Input Override'!J15="",'Consolidated Input'!J15,('F_Input Override'!J15))</f>
        <v>0</v>
      </c>
      <c r="K15" s="172">
        <f ca="1">IF('F_Input Override'!K15="",'Consolidated Input'!K15,('F_Input Override'!K15))</f>
        <v>0</v>
      </c>
      <c r="L15" s="172">
        <f ca="1">IF('F_Input Override'!L15="",'Consolidated Input'!L15,('F_Input Override'!L15))</f>
        <v>0</v>
      </c>
      <c r="M15" s="172">
        <f ca="1">IF('F_Input Override'!M15="",'Consolidated Input'!M15,('F_Input Override'!M15))</f>
        <v>0</v>
      </c>
      <c r="N15" s="173">
        <f t="shared" ca="1" si="0"/>
        <v>0</v>
      </c>
    </row>
    <row r="16" spans="1:14">
      <c r="A16" s="154" t="str">
        <f>'F_Input Override'!A15</f>
        <v>ANH</v>
      </c>
      <c r="B16" s="154" t="str">
        <f ca="1">Table1[[#This Row],[BON code]]</f>
        <v>CWW17_009TOT_PR24</v>
      </c>
      <c r="C16" s="170" t="str">
        <f>'F_Input Override'!C16</f>
        <v>EA/NRW environmental programme wastewater (WINEP/NEP) - Continuous river water quality monitoring (WINEP/NEP) wastewater totex - Total</v>
      </c>
      <c r="D16" s="170" t="str">
        <f>'F_Input Override'!D16</f>
        <v>£m</v>
      </c>
      <c r="E16" s="171" t="str">
        <f>'F_Input Override'!E16</f>
        <v>Price Review 2024</v>
      </c>
      <c r="F16" s="172">
        <f ca="1">IF('F_Input Override'!F16="",'Consolidated Input'!F16,('F_Input Override'!F16))</f>
        <v>0</v>
      </c>
      <c r="G16" s="172">
        <f ca="1">IF('F_Input Override'!G16="",'Consolidated Input'!G16,('F_Input Override'!G16))</f>
        <v>0</v>
      </c>
      <c r="H16" s="172">
        <f ca="1">IF('F_Input Override'!H16="",'Consolidated Input'!H16,('F_Input Override'!H16))</f>
        <v>0</v>
      </c>
      <c r="I16" s="172">
        <f ca="1">IF('F_Input Override'!I16="",'Consolidated Input'!I16,('F_Input Override'!I16))</f>
        <v>0</v>
      </c>
      <c r="J16" s="172">
        <f ca="1">IF('F_Input Override'!J16="",'Consolidated Input'!J16,('F_Input Override'!J16))</f>
        <v>0</v>
      </c>
      <c r="K16" s="172">
        <f ca="1">IF('F_Input Override'!K16="",'Consolidated Input'!K16,('F_Input Override'!K16))</f>
        <v>0</v>
      </c>
      <c r="L16" s="172">
        <f ca="1">IF('F_Input Override'!L16="",'Consolidated Input'!L16,('F_Input Override'!L16))</f>
        <v>0</v>
      </c>
      <c r="M16" s="172">
        <f ca="1">IF('F_Input Override'!M16="",'Consolidated Input'!M16,('F_Input Override'!M16))</f>
        <v>0</v>
      </c>
      <c r="N16" s="173">
        <f t="shared" ca="1" si="0"/>
        <v>0</v>
      </c>
    </row>
    <row r="17" spans="1:14">
      <c r="A17" s="154" t="str">
        <f>'F_Input Override'!A16</f>
        <v>ANH</v>
      </c>
      <c r="B17" s="154" t="str">
        <f ca="1">Table1[[#This Row],[BON code]]</f>
        <v>CWW20A_049_PR24</v>
      </c>
      <c r="C17" s="170" t="str">
        <f>'F_Input Override'!C17</f>
        <v>Network / Storm overflow data - Number of continuous water quality monitor installations</v>
      </c>
      <c r="D17" s="170" t="str">
        <f>'F_Input Override'!D17</f>
        <v>nr</v>
      </c>
      <c r="E17" s="171" t="str">
        <f>'F_Input Override'!E17</f>
        <v>Price Review 2024</v>
      </c>
      <c r="F17" s="172">
        <f ca="1">IF('F_Input Override'!F17="",'Consolidated Input'!F17,('F_Input Override'!F17))</f>
        <v>0</v>
      </c>
      <c r="G17" s="172">
        <f ca="1">IF('F_Input Override'!G17="",'Consolidated Input'!G17,('F_Input Override'!G17))</f>
        <v>0</v>
      </c>
      <c r="H17" s="172">
        <f ca="1">IF('F_Input Override'!H17="",'Consolidated Input'!H17,('F_Input Override'!H17))</f>
        <v>0</v>
      </c>
      <c r="I17" s="172">
        <f ca="1">IF('F_Input Override'!I17="",'Consolidated Input'!I17,('F_Input Override'!I17))</f>
        <v>0</v>
      </c>
      <c r="J17" s="172">
        <f ca="1">IF('F_Input Override'!J17="",'Consolidated Input'!J17,('F_Input Override'!J17))</f>
        <v>0</v>
      </c>
      <c r="K17" s="172">
        <f ca="1">IF('F_Input Override'!K17="",'Consolidated Input'!K17,('F_Input Override'!K17))</f>
        <v>0</v>
      </c>
      <c r="L17" s="172">
        <f ca="1">IF('F_Input Override'!L17="",'Consolidated Input'!L17,('F_Input Override'!L17))</f>
        <v>0</v>
      </c>
      <c r="M17" s="172">
        <f ca="1">IF('F_Input Override'!M17="",'Consolidated Input'!M17,('F_Input Override'!M17))</f>
        <v>0</v>
      </c>
      <c r="N17" s="173">
        <f t="shared" ca="1" si="0"/>
        <v>0</v>
      </c>
    </row>
    <row r="18" spans="1:14">
      <c r="A18" s="154" t="str">
        <f>'F_Input Override'!A17</f>
        <v>ANH</v>
      </c>
      <c r="B18" s="154" t="str">
        <f ca="1">Table1[[#This Row],[BON code]]</f>
        <v>CWW3_007TOT_PR24</v>
      </c>
      <c r="C18" s="170" t="str">
        <f>'F_Input Override'!C18</f>
        <v>EA/NRW environmental programme wastewater (WINEP/NEP) - Continuous river water quality monitoring (WINEP/NEP) wastewater capex - Total</v>
      </c>
      <c r="D18" s="170" t="str">
        <f>'F_Input Override'!D18</f>
        <v>£m</v>
      </c>
      <c r="E18" s="171" t="str">
        <f>'F_Input Override'!E18</f>
        <v>Price Review 2024</v>
      </c>
      <c r="F18" s="172">
        <f ca="1">IF('F_Input Override'!F18="",'Consolidated Input'!F18,('F_Input Override'!F18))</f>
        <v>0</v>
      </c>
      <c r="G18" s="172">
        <f ca="1">IF('F_Input Override'!G18="",'Consolidated Input'!G18,('F_Input Override'!G18))</f>
        <v>0</v>
      </c>
      <c r="H18" s="172">
        <f ca="1">IF('F_Input Override'!H18="",'Consolidated Input'!H18,('F_Input Override'!H18))</f>
        <v>2.347</v>
      </c>
      <c r="I18" s="172">
        <f ca="1">IF('F_Input Override'!I18="",'Consolidated Input'!I18,('F_Input Override'!I18))</f>
        <v>2.2869999999999999</v>
      </c>
      <c r="J18" s="172">
        <f ca="1">IF('F_Input Override'!J18="",'Consolidated Input'!J18,('F_Input Override'!J18))</f>
        <v>0</v>
      </c>
      <c r="K18" s="172">
        <f ca="1">IF('F_Input Override'!K18="",'Consolidated Input'!K18,('F_Input Override'!K18))</f>
        <v>0</v>
      </c>
      <c r="L18" s="172">
        <f ca="1">IF('F_Input Override'!L18="",'Consolidated Input'!L18,('F_Input Override'!L18))</f>
        <v>0</v>
      </c>
      <c r="M18" s="172">
        <f ca="1">IF('F_Input Override'!M18="",'Consolidated Input'!M18,('F_Input Override'!M18))</f>
        <v>0</v>
      </c>
      <c r="N18" s="173">
        <f t="shared" ca="1" si="0"/>
        <v>4.6340000000000003</v>
      </c>
    </row>
    <row r="19" spans="1:14">
      <c r="A19" s="154" t="str">
        <f>'F_Input Override'!A18</f>
        <v>WSH</v>
      </c>
      <c r="B19" s="154" t="str">
        <f ca="1">Table1[[#This Row],[BON code]]</f>
        <v>CWW3_008TOT_PR24</v>
      </c>
      <c r="C19" s="170" t="str">
        <f>'F_Input Override'!C19</f>
        <v>EA/NRW environmental programme wastewater (WINEP/NEP) - Continuous river water quality monitoring (WINEP/NEP) wastewater opex - Total</v>
      </c>
      <c r="D19" s="170" t="str">
        <f>'F_Input Override'!D19</f>
        <v>£m</v>
      </c>
      <c r="E19" s="171" t="str">
        <f>'F_Input Override'!E19</f>
        <v>Price Review 2024</v>
      </c>
      <c r="F19" s="172">
        <f ca="1">IF('F_Input Override'!F19="",'Consolidated Input'!F19,('F_Input Override'!F19))</f>
        <v>0</v>
      </c>
      <c r="G19" s="172">
        <f ca="1">IF('F_Input Override'!G19="",'Consolidated Input'!G19,('F_Input Override'!G19))</f>
        <v>0</v>
      </c>
      <c r="H19" s="172">
        <f ca="1">IF('F_Input Override'!H19="",'Consolidated Input'!H19,('F_Input Override'!H19))</f>
        <v>0.159</v>
      </c>
      <c r="I19" s="172">
        <f ca="1">IF('F_Input Override'!I19="",'Consolidated Input'!I19,('F_Input Override'!I19))</f>
        <v>0.31700000000000012</v>
      </c>
      <c r="J19" s="172">
        <f ca="1">IF('F_Input Override'!J19="",'Consolidated Input'!J19,('F_Input Override'!J19))</f>
        <v>0.31900000000000012</v>
      </c>
      <c r="K19" s="172">
        <f ca="1">IF('F_Input Override'!K19="",'Consolidated Input'!K19,('F_Input Override'!K19))</f>
        <v>0.32100000000000012</v>
      </c>
      <c r="L19" s="172">
        <f ca="1">IF('F_Input Override'!L19="",'Consolidated Input'!L19,('F_Input Override'!L19))</f>
        <v>0.32200000000000012</v>
      </c>
      <c r="M19" s="172">
        <f ca="1">IF('F_Input Override'!M19="",'Consolidated Input'!M19,('F_Input Override'!M19))</f>
        <v>0</v>
      </c>
      <c r="N19" s="173">
        <f t="shared" ca="1" si="0"/>
        <v>1.4380000000000004</v>
      </c>
    </row>
    <row r="20" spans="1:14">
      <c r="A20" s="154" t="str">
        <f>'F_Input Override'!A19</f>
        <v>WSH</v>
      </c>
      <c r="B20" s="154" t="str">
        <f ca="1">Table1[[#This Row],[BON code]]</f>
        <v>CWW3_009TOT_PR24</v>
      </c>
      <c r="C20" s="170" t="str">
        <f>'F_Input Override'!C20</f>
        <v>EA/NRW environmental programme wastewater (WINEP/NEP) - Continuous river water quality monitoring (WINEP/NEP) wastewater totex - Total</v>
      </c>
      <c r="D20" s="170" t="str">
        <f>'F_Input Override'!D20</f>
        <v>£m</v>
      </c>
      <c r="E20" s="171" t="str">
        <f>'F_Input Override'!E20</f>
        <v>Price Review 2024</v>
      </c>
      <c r="F20" s="172">
        <f ca="1">IF('F_Input Override'!F20="",'Consolidated Input'!F20,('F_Input Override'!F20))</f>
        <v>0</v>
      </c>
      <c r="G20" s="172">
        <f ca="1">IF('F_Input Override'!G20="",'Consolidated Input'!G20,('F_Input Override'!G20))</f>
        <v>0</v>
      </c>
      <c r="H20" s="172">
        <f ca="1">IF('F_Input Override'!H20="",'Consolidated Input'!H20,('F_Input Override'!H20))</f>
        <v>2.5059999999999998</v>
      </c>
      <c r="I20" s="172">
        <f ca="1">IF('F_Input Override'!I20="",'Consolidated Input'!I20,('F_Input Override'!I20))</f>
        <v>2.6039999999999992</v>
      </c>
      <c r="J20" s="172">
        <f ca="1">IF('F_Input Override'!J20="",'Consolidated Input'!J20,('F_Input Override'!J20))</f>
        <v>0.31900000000000012</v>
      </c>
      <c r="K20" s="172">
        <f ca="1">IF('F_Input Override'!K20="",'Consolidated Input'!K20,('F_Input Override'!K20))</f>
        <v>0.32100000000000012</v>
      </c>
      <c r="L20" s="172">
        <f ca="1">IF('F_Input Override'!L20="",'Consolidated Input'!L20,('F_Input Override'!L20))</f>
        <v>0.32200000000000012</v>
      </c>
      <c r="M20" s="172">
        <f ca="1">IF('F_Input Override'!M20="",'Consolidated Input'!M20,('F_Input Override'!M20))</f>
        <v>0</v>
      </c>
      <c r="N20" s="173">
        <f t="shared" ca="1" si="0"/>
        <v>6.0719999999999992</v>
      </c>
    </row>
    <row r="21" spans="1:14">
      <c r="A21" s="154" t="str">
        <f>'F_Input Override'!A20</f>
        <v>WSH</v>
      </c>
      <c r="B21" s="154" t="str">
        <f ca="1">Table1[[#This Row],[BON code]]</f>
        <v>CWW20_049_PR24</v>
      </c>
      <c r="C21" s="170" t="str">
        <f>'F_Input Override'!C21</f>
        <v>Network / Storm overflow data - Number of continuous water quality monitor installations</v>
      </c>
      <c r="D21" s="170" t="str">
        <f>'F_Input Override'!D21</f>
        <v>nr</v>
      </c>
      <c r="E21" s="171" t="str">
        <f>'F_Input Override'!E21</f>
        <v>Price Review 2024</v>
      </c>
      <c r="F21" s="172">
        <f ca="1">IF('F_Input Override'!F21="",'Consolidated Input'!F21,('F_Input Override'!F21))</f>
        <v>0</v>
      </c>
      <c r="G21" s="172">
        <f ca="1">IF('F_Input Override'!G21="",'Consolidated Input'!G21,('F_Input Override'!G21))</f>
        <v>0</v>
      </c>
      <c r="H21" s="172">
        <f ca="1">IF('F_Input Override'!H21="",'Consolidated Input'!H21,('F_Input Override'!H21))</f>
        <v>14</v>
      </c>
      <c r="I21" s="172">
        <f ca="1">IF('F_Input Override'!I21="",'Consolidated Input'!I21,('F_Input Override'!I21))</f>
        <v>14</v>
      </c>
      <c r="J21" s="172">
        <f ca="1">IF('F_Input Override'!J21="",'Consolidated Input'!J21,('F_Input Override'!J21))</f>
        <v>0</v>
      </c>
      <c r="K21" s="172">
        <f ca="1">IF('F_Input Override'!K21="",'Consolidated Input'!K21,('F_Input Override'!K21))</f>
        <v>0</v>
      </c>
      <c r="L21" s="172">
        <f ca="1">IF('F_Input Override'!L21="",'Consolidated Input'!L21,('F_Input Override'!L21))</f>
        <v>0</v>
      </c>
      <c r="M21" s="172">
        <f ca="1">IF('F_Input Override'!M21="",'Consolidated Input'!M21,('F_Input Override'!M21))</f>
        <v>0</v>
      </c>
      <c r="N21" s="173">
        <f t="shared" ca="1" si="0"/>
        <v>28</v>
      </c>
    </row>
    <row r="22" spans="1:14">
      <c r="A22" s="154" t="str">
        <f>'F_Input Override'!A21</f>
        <v>WSH</v>
      </c>
      <c r="B22" s="154" t="str">
        <f ca="1">Table1[[#This Row],[BON code]]</f>
        <v>CWW1A_015TOT_PR24</v>
      </c>
      <c r="C22" s="170" t="str">
        <f>'F_Input Override'!C22</f>
        <v>Net totex - Total</v>
      </c>
      <c r="D22" s="170" t="str">
        <f>'F_Input Override'!D22</f>
        <v>£m</v>
      </c>
      <c r="E22" s="171" t="str">
        <f>'F_Input Override'!E22</f>
        <v>Price Review 2024</v>
      </c>
      <c r="F22" s="172">
        <f ca="1">IF('F_Input Override'!F22="",'Consolidated Input'!F22,('F_Input Override'!F22))</f>
        <v>0</v>
      </c>
      <c r="G22" s="172">
        <f ca="1">IF('F_Input Override'!G22="",'Consolidated Input'!G22,('F_Input Override'!G22))</f>
        <v>0</v>
      </c>
      <c r="H22" s="172">
        <f ca="1">IF('F_Input Override'!H22="",'Consolidated Input'!H22,('F_Input Override'!H22))</f>
        <v>532.04300000000001</v>
      </c>
      <c r="I22" s="172">
        <f ca="1">IF('F_Input Override'!I22="",'Consolidated Input'!I22,('F_Input Override'!I22))</f>
        <v>677.46500000000003</v>
      </c>
      <c r="J22" s="172">
        <f ca="1">IF('F_Input Override'!J22="",'Consolidated Input'!J22,('F_Input Override'!J22))</f>
        <v>781.62900000000002</v>
      </c>
      <c r="K22" s="172">
        <f ca="1">IF('F_Input Override'!K22="",'Consolidated Input'!K22,('F_Input Override'!K22))</f>
        <v>743.375</v>
      </c>
      <c r="L22" s="172">
        <f ca="1">IF('F_Input Override'!L22="",'Consolidated Input'!L22,('F_Input Override'!L22))</f>
        <v>583.65700000000004</v>
      </c>
      <c r="M22" s="172">
        <f ca="1">IF('F_Input Override'!M22="",'Consolidated Input'!M22,('F_Input Override'!M22))</f>
        <v>0</v>
      </c>
      <c r="N22" s="173">
        <f t="shared" ca="1" si="0"/>
        <v>3318.1690000000003</v>
      </c>
    </row>
    <row r="23" spans="1:14">
      <c r="A23" s="154" t="str">
        <f>'F_Input Override'!A22</f>
        <v>WSH</v>
      </c>
      <c r="B23" s="154" t="str">
        <f ca="1">Table1[[#This Row],[BON code]]</f>
        <v>PR24_NETTOTEX_WASTE</v>
      </c>
      <c r="C23" s="170" t="str">
        <f>'F_Input Override'!C23</f>
        <v>PR24 BP Net totex - Total inc. accelerated &amp; transition costs</v>
      </c>
      <c r="D23" s="170" t="str">
        <f>'F_Input Override'!D23</f>
        <v>£m</v>
      </c>
      <c r="E23" s="171" t="str">
        <f>'F_Input Override'!E23</f>
        <v>Price Review 2024</v>
      </c>
      <c r="F23" s="172">
        <f ca="1">IF('F_Input Override'!F23="",'Consolidated Input'!F23,('F_Input Override'!F23))</f>
        <v>0</v>
      </c>
      <c r="G23" s="172">
        <f ca="1">IF('F_Input Override'!G23="",'Consolidated Input'!G23,('F_Input Override'!G23))</f>
        <v>0</v>
      </c>
      <c r="H23" s="172">
        <f ca="1">IF('F_Input Override'!H23="",'Consolidated Input'!H23,('F_Input Override'!H23))</f>
        <v>0</v>
      </c>
      <c r="I23" s="172">
        <f ca="1">IF('F_Input Override'!I23="",'Consolidated Input'!I23,('F_Input Override'!I23))</f>
        <v>0</v>
      </c>
      <c r="J23" s="172">
        <f ca="1">IF('F_Input Override'!J23="",'Consolidated Input'!J23,('F_Input Override'!J23))</f>
        <v>0</v>
      </c>
      <c r="K23" s="172">
        <f ca="1">IF('F_Input Override'!K23="",'Consolidated Input'!K23,('F_Input Override'!K23))</f>
        <v>0</v>
      </c>
      <c r="L23" s="172">
        <f ca="1">IF('F_Input Override'!L23="",'Consolidated Input'!L23,('F_Input Override'!L23))</f>
        <v>0</v>
      </c>
      <c r="M23" s="172">
        <f ca="1">IF('F_Input Override'!M23="",'Consolidated Input'!M23,('F_Input Override'!M23))</f>
        <v>3318.1690000000003</v>
      </c>
      <c r="N23" s="173">
        <f t="shared" ca="1" si="0"/>
        <v>0</v>
      </c>
    </row>
    <row r="24" spans="1:14">
      <c r="A24" s="154" t="str">
        <f>'F_Input Override'!A23</f>
        <v>WSH</v>
      </c>
      <c r="B24" s="154" t="str">
        <f ca="1">Table1[[#This Row],[BON code]]</f>
        <v>CWW12_007TOT_PR24</v>
      </c>
      <c r="C24" s="170" t="str">
        <f>'F_Input Override'!C24</f>
        <v>EA/NRW environmental programme wastewater (WINEP/NEP) - Continuous river water quality monitoring (WINEP/NEP) wastewater capex - Total</v>
      </c>
      <c r="D24" s="170" t="str">
        <f>'F_Input Override'!D24</f>
        <v>£m</v>
      </c>
      <c r="E24" s="171" t="str">
        <f>'F_Input Override'!E24</f>
        <v>Price Review 2024</v>
      </c>
      <c r="F24" s="172">
        <f ca="1">IF('F_Input Override'!F24="",'Consolidated Input'!F24,('F_Input Override'!F24))</f>
        <v>0</v>
      </c>
      <c r="G24" s="172">
        <f ca="1">IF('F_Input Override'!G24="",'Consolidated Input'!G24,('F_Input Override'!G24))</f>
        <v>0</v>
      </c>
      <c r="H24" s="172">
        <f ca="1">IF('F_Input Override'!H24="",'Consolidated Input'!H24,('F_Input Override'!H24))</f>
        <v>0</v>
      </c>
      <c r="I24" s="172">
        <f ca="1">IF('F_Input Override'!I24="",'Consolidated Input'!I24,('F_Input Override'!I24))</f>
        <v>0</v>
      </c>
      <c r="J24" s="172">
        <f ca="1">IF('F_Input Override'!J24="",'Consolidated Input'!J24,('F_Input Override'!J24))</f>
        <v>0</v>
      </c>
      <c r="K24" s="172">
        <f ca="1">IF('F_Input Override'!K24="",'Consolidated Input'!K24,('F_Input Override'!K24))</f>
        <v>0</v>
      </c>
      <c r="L24" s="172">
        <f ca="1">IF('F_Input Override'!L24="",'Consolidated Input'!L24,('F_Input Override'!L24))</f>
        <v>0</v>
      </c>
      <c r="M24" s="172">
        <f ca="1">IF('F_Input Override'!M24="",'Consolidated Input'!M24,('F_Input Override'!M24))</f>
        <v>0</v>
      </c>
      <c r="N24" s="173">
        <f t="shared" ca="1" si="0"/>
        <v>0</v>
      </c>
    </row>
    <row r="25" spans="1:14">
      <c r="A25" s="154" t="str">
        <f>'F_Input Override'!A24</f>
        <v>WSH</v>
      </c>
      <c r="B25" s="154" t="str">
        <f ca="1">Table1[[#This Row],[BON code]]</f>
        <v>CWW12_008TOT_PR24</v>
      </c>
      <c r="C25" s="170" t="str">
        <f>'F_Input Override'!C25</f>
        <v>EA/NRW environmental programme wastewater (WINEP/NEP) - Continuous river water quality monitoring (WINEP/NEP) wastewater opex - Total</v>
      </c>
      <c r="D25" s="170" t="str">
        <f>'F_Input Override'!D25</f>
        <v>£m</v>
      </c>
      <c r="E25" s="171" t="str">
        <f>'F_Input Override'!E25</f>
        <v>Price Review 2024</v>
      </c>
      <c r="F25" s="172">
        <f ca="1">IF('F_Input Override'!F25="",'Consolidated Input'!F25,('F_Input Override'!F25))</f>
        <v>0</v>
      </c>
      <c r="G25" s="172">
        <f ca="1">IF('F_Input Override'!G25="",'Consolidated Input'!G25,('F_Input Override'!G25))</f>
        <v>0</v>
      </c>
      <c r="H25" s="172">
        <f ca="1">IF('F_Input Override'!H25="",'Consolidated Input'!H25,('F_Input Override'!H25))</f>
        <v>0</v>
      </c>
      <c r="I25" s="172">
        <f ca="1">IF('F_Input Override'!I25="",'Consolidated Input'!I25,('F_Input Override'!I25))</f>
        <v>0</v>
      </c>
      <c r="J25" s="172">
        <f ca="1">IF('F_Input Override'!J25="",'Consolidated Input'!J25,('F_Input Override'!J25))</f>
        <v>0</v>
      </c>
      <c r="K25" s="172">
        <f ca="1">IF('F_Input Override'!K25="",'Consolidated Input'!K25,('F_Input Override'!K25))</f>
        <v>0</v>
      </c>
      <c r="L25" s="172">
        <f ca="1">IF('F_Input Override'!L25="",'Consolidated Input'!L25,('F_Input Override'!L25))</f>
        <v>0</v>
      </c>
      <c r="M25" s="172">
        <f ca="1">IF('F_Input Override'!M25="",'Consolidated Input'!M25,('F_Input Override'!M25))</f>
        <v>0</v>
      </c>
      <c r="N25" s="173">
        <f t="shared" ca="1" si="0"/>
        <v>0</v>
      </c>
    </row>
    <row r="26" spans="1:14">
      <c r="A26" s="154" t="str">
        <f>'F_Input Override'!A25</f>
        <v>WSH</v>
      </c>
      <c r="B26" s="154" t="str">
        <f ca="1">Table1[[#This Row],[BON code]]</f>
        <v>CWW12_009TOT_PR24</v>
      </c>
      <c r="C26" s="170" t="str">
        <f>'F_Input Override'!C26</f>
        <v>EA/NRW environmental programme wastewater (WINEP/NEP) - Continuous river water quality monitoring (WINEP/NEP) wastewater totex - Total</v>
      </c>
      <c r="D26" s="170" t="str">
        <f>'F_Input Override'!D26</f>
        <v>£m</v>
      </c>
      <c r="E26" s="171" t="str">
        <f>'F_Input Override'!E26</f>
        <v>Price Review 2024</v>
      </c>
      <c r="F26" s="172">
        <f ca="1">IF('F_Input Override'!F26="",'Consolidated Input'!F26,('F_Input Override'!F26))</f>
        <v>0</v>
      </c>
      <c r="G26" s="172">
        <f ca="1">IF('F_Input Override'!G26="",'Consolidated Input'!G26,('F_Input Override'!G26))</f>
        <v>0</v>
      </c>
      <c r="H26" s="172">
        <f ca="1">IF('F_Input Override'!H26="",'Consolidated Input'!H26,('F_Input Override'!H26))</f>
        <v>0</v>
      </c>
      <c r="I26" s="172">
        <f ca="1">IF('F_Input Override'!I26="",'Consolidated Input'!I26,('F_Input Override'!I26))</f>
        <v>0</v>
      </c>
      <c r="J26" s="172">
        <f ca="1">IF('F_Input Override'!J26="",'Consolidated Input'!J26,('F_Input Override'!J26))</f>
        <v>0</v>
      </c>
      <c r="K26" s="172">
        <f ca="1">IF('F_Input Override'!K26="",'Consolidated Input'!K26,('F_Input Override'!K26))</f>
        <v>0</v>
      </c>
      <c r="L26" s="172">
        <f ca="1">IF('F_Input Override'!L26="",'Consolidated Input'!L26,('F_Input Override'!L26))</f>
        <v>0</v>
      </c>
      <c r="M26" s="172">
        <f ca="1">IF('F_Input Override'!M26="",'Consolidated Input'!M26,('F_Input Override'!M26))</f>
        <v>0</v>
      </c>
      <c r="N26" s="173">
        <f t="shared" ca="1" si="0"/>
        <v>0</v>
      </c>
    </row>
    <row r="27" spans="1:14">
      <c r="A27" s="154" t="str">
        <f>'F_Input Override'!A26</f>
        <v>WSH</v>
      </c>
      <c r="B27" s="154" t="str">
        <f ca="1">Table1[[#This Row],[BON code]]</f>
        <v>CWW17_007TOT_PR24</v>
      </c>
      <c r="C27" s="170" t="str">
        <f>'F_Input Override'!C27</f>
        <v>EA/NRW environmental programme wastewater (WINEP/NEP) - Continuous river water quality monitoring (WINEP/NEP) wastewater capex - Total</v>
      </c>
      <c r="D27" s="170" t="str">
        <f>'F_Input Override'!D27</f>
        <v>£m</v>
      </c>
      <c r="E27" s="171" t="str">
        <f>'F_Input Override'!E27</f>
        <v>Price Review 2024</v>
      </c>
      <c r="F27" s="172">
        <f ca="1">IF('F_Input Override'!F27="",'Consolidated Input'!F27,('F_Input Override'!F27))</f>
        <v>0</v>
      </c>
      <c r="G27" s="172">
        <f ca="1">IF('F_Input Override'!G27="",'Consolidated Input'!G27,('F_Input Override'!G27))</f>
        <v>0</v>
      </c>
      <c r="H27" s="172">
        <f ca="1">IF('F_Input Override'!H27="",'Consolidated Input'!H27,('F_Input Override'!H27))</f>
        <v>0</v>
      </c>
      <c r="I27" s="172">
        <f ca="1">IF('F_Input Override'!I27="",'Consolidated Input'!I27,('F_Input Override'!I27))</f>
        <v>0</v>
      </c>
      <c r="J27" s="172">
        <f ca="1">IF('F_Input Override'!J27="",'Consolidated Input'!J27,('F_Input Override'!J27))</f>
        <v>0</v>
      </c>
      <c r="K27" s="172">
        <f ca="1">IF('F_Input Override'!K27="",'Consolidated Input'!K27,('F_Input Override'!K27))</f>
        <v>0</v>
      </c>
      <c r="L27" s="172">
        <f ca="1">IF('F_Input Override'!L27="",'Consolidated Input'!L27,('F_Input Override'!L27))</f>
        <v>0</v>
      </c>
      <c r="M27" s="172">
        <f ca="1">IF('F_Input Override'!M27="",'Consolidated Input'!M27,('F_Input Override'!M27))</f>
        <v>0</v>
      </c>
      <c r="N27" s="173">
        <f t="shared" ca="1" si="0"/>
        <v>0</v>
      </c>
    </row>
    <row r="28" spans="1:14">
      <c r="A28" s="154" t="str">
        <f>'F_Input Override'!A27</f>
        <v>WSH</v>
      </c>
      <c r="B28" s="154" t="str">
        <f ca="1">Table1[[#This Row],[BON code]]</f>
        <v>CWW17_008TOT_PR24</v>
      </c>
      <c r="C28" s="170" t="str">
        <f>'F_Input Override'!C28</f>
        <v>EA/NRW environmental programme wastewater (WINEP/NEP) - Continuous river water quality monitoring (WINEP/NEP) wastewater opex - Total</v>
      </c>
      <c r="D28" s="170" t="str">
        <f>'F_Input Override'!D28</f>
        <v>£m</v>
      </c>
      <c r="E28" s="171" t="str">
        <f>'F_Input Override'!E28</f>
        <v>Price Review 2024</v>
      </c>
      <c r="F28" s="172">
        <f ca="1">IF('F_Input Override'!F28="",'Consolidated Input'!F28,('F_Input Override'!F28))</f>
        <v>0</v>
      </c>
      <c r="G28" s="172">
        <f ca="1">IF('F_Input Override'!G28="",'Consolidated Input'!G28,('F_Input Override'!G28))</f>
        <v>0</v>
      </c>
      <c r="H28" s="172">
        <f ca="1">IF('F_Input Override'!H28="",'Consolidated Input'!H28,('F_Input Override'!H28))</f>
        <v>0</v>
      </c>
      <c r="I28" s="172">
        <f ca="1">IF('F_Input Override'!I28="",'Consolidated Input'!I28,('F_Input Override'!I28))</f>
        <v>0</v>
      </c>
      <c r="J28" s="172">
        <f ca="1">IF('F_Input Override'!J28="",'Consolidated Input'!J28,('F_Input Override'!J28))</f>
        <v>0</v>
      </c>
      <c r="K28" s="172">
        <f ca="1">IF('F_Input Override'!K28="",'Consolidated Input'!K28,('F_Input Override'!K28))</f>
        <v>0</v>
      </c>
      <c r="L28" s="172">
        <f ca="1">IF('F_Input Override'!L28="",'Consolidated Input'!L28,('F_Input Override'!L28))</f>
        <v>0</v>
      </c>
      <c r="M28" s="172">
        <f ca="1">IF('F_Input Override'!M28="",'Consolidated Input'!M28,('F_Input Override'!M28))</f>
        <v>0</v>
      </c>
      <c r="N28" s="173">
        <f t="shared" ca="1" si="0"/>
        <v>0</v>
      </c>
    </row>
    <row r="29" spans="1:14">
      <c r="A29" s="154" t="str">
        <f>'F_Input Override'!A28</f>
        <v>WSH</v>
      </c>
      <c r="B29" s="154" t="str">
        <f ca="1">Table1[[#This Row],[BON code]]</f>
        <v>CWW17_009TOT_PR24</v>
      </c>
      <c r="C29" s="170" t="str">
        <f>'F_Input Override'!C29</f>
        <v>EA/NRW environmental programme wastewater (WINEP/NEP) - Continuous river water quality monitoring (WINEP/NEP) wastewater totex - Total</v>
      </c>
      <c r="D29" s="170" t="str">
        <f>'F_Input Override'!D29</f>
        <v>£m</v>
      </c>
      <c r="E29" s="171" t="str">
        <f>'F_Input Override'!E29</f>
        <v>Price Review 2024</v>
      </c>
      <c r="F29" s="172">
        <f ca="1">IF('F_Input Override'!F29="",'Consolidated Input'!F29,('F_Input Override'!F29))</f>
        <v>0</v>
      </c>
      <c r="G29" s="172">
        <f ca="1">IF('F_Input Override'!G29="",'Consolidated Input'!G29,('F_Input Override'!G29))</f>
        <v>0</v>
      </c>
      <c r="H29" s="172">
        <f ca="1">IF('F_Input Override'!H29="",'Consolidated Input'!H29,('F_Input Override'!H29))</f>
        <v>0</v>
      </c>
      <c r="I29" s="172">
        <f ca="1">IF('F_Input Override'!I29="",'Consolidated Input'!I29,('F_Input Override'!I29))</f>
        <v>0</v>
      </c>
      <c r="J29" s="172">
        <f ca="1">IF('F_Input Override'!J29="",'Consolidated Input'!J29,('F_Input Override'!J29))</f>
        <v>0</v>
      </c>
      <c r="K29" s="172">
        <f ca="1">IF('F_Input Override'!K29="",'Consolidated Input'!K29,('F_Input Override'!K29))</f>
        <v>0</v>
      </c>
      <c r="L29" s="172">
        <f ca="1">IF('F_Input Override'!L29="",'Consolidated Input'!L29,('F_Input Override'!L29))</f>
        <v>0</v>
      </c>
      <c r="M29" s="172">
        <f ca="1">IF('F_Input Override'!M29="",'Consolidated Input'!M29,('F_Input Override'!M29))</f>
        <v>0</v>
      </c>
      <c r="N29" s="173">
        <f t="shared" ca="1" si="0"/>
        <v>0</v>
      </c>
    </row>
    <row r="30" spans="1:14">
      <c r="A30" s="154" t="str">
        <f>'F_Input Override'!A29</f>
        <v>WSH</v>
      </c>
      <c r="B30" s="154" t="str">
        <f ca="1">Table1[[#This Row],[BON code]]</f>
        <v>CWW20A_049_PR24</v>
      </c>
      <c r="C30" s="170" t="str">
        <f>'F_Input Override'!C30</f>
        <v>Network / Storm overflow data - Number of continuous water quality monitor installations</v>
      </c>
      <c r="D30" s="170" t="str">
        <f>'F_Input Override'!D30</f>
        <v>nr</v>
      </c>
      <c r="E30" s="171" t="str">
        <f>'F_Input Override'!E30</f>
        <v>Price Review 2024</v>
      </c>
      <c r="F30" s="172">
        <f ca="1">IF('F_Input Override'!F30="",'Consolidated Input'!F30,('F_Input Override'!F30))</f>
        <v>0</v>
      </c>
      <c r="G30" s="172">
        <f ca="1">IF('F_Input Override'!G30="",'Consolidated Input'!G30,('F_Input Override'!G30))</f>
        <v>0</v>
      </c>
      <c r="H30" s="172">
        <f ca="1">IF('F_Input Override'!H30="",'Consolidated Input'!H30,('F_Input Override'!H30))</f>
        <v>0</v>
      </c>
      <c r="I30" s="172">
        <f ca="1">IF('F_Input Override'!I30="",'Consolidated Input'!I30,('F_Input Override'!I30))</f>
        <v>0</v>
      </c>
      <c r="J30" s="172">
        <f ca="1">IF('F_Input Override'!J30="",'Consolidated Input'!J30,('F_Input Override'!J30))</f>
        <v>0</v>
      </c>
      <c r="K30" s="172">
        <f ca="1">IF('F_Input Override'!K30="",'Consolidated Input'!K30,('F_Input Override'!K30))</f>
        <v>0</v>
      </c>
      <c r="L30" s="172">
        <f ca="1">IF('F_Input Override'!L30="",'Consolidated Input'!L30,('F_Input Override'!L30))</f>
        <v>0</v>
      </c>
      <c r="M30" s="172">
        <f ca="1">IF('F_Input Override'!M30="",'Consolidated Input'!M30,('F_Input Override'!M30))</f>
        <v>0</v>
      </c>
      <c r="N30" s="173">
        <f t="shared" ca="1" si="0"/>
        <v>0</v>
      </c>
    </row>
    <row r="31" spans="1:14">
      <c r="A31" s="154" t="str">
        <f>'F_Input Override'!A30</f>
        <v>WSH</v>
      </c>
      <c r="B31" s="154" t="str">
        <f ca="1">Table1[[#This Row],[BON code]]</f>
        <v>CWW3_007TOT_PR24</v>
      </c>
      <c r="C31" s="170" t="str">
        <f>'F_Input Override'!C31</f>
        <v>EA/NRW environmental programme wastewater (WINEP/NEP) - Continuous river water quality monitoring (WINEP/NEP) wastewater capex - Total</v>
      </c>
      <c r="D31" s="170" t="str">
        <f>'F_Input Override'!D31</f>
        <v>£m</v>
      </c>
      <c r="E31" s="171" t="str">
        <f>'F_Input Override'!E31</f>
        <v>Price Review 2024</v>
      </c>
      <c r="F31" s="172">
        <f ca="1">IF('F_Input Override'!F31="",'Consolidated Input'!F31,('F_Input Override'!F31))</f>
        <v>0</v>
      </c>
      <c r="G31" s="172">
        <f ca="1">IF('F_Input Override'!G31="",'Consolidated Input'!G31,('F_Input Override'!G31))</f>
        <v>0</v>
      </c>
      <c r="H31" s="172">
        <f ca="1">IF('F_Input Override'!H31="",'Consolidated Input'!H31,('F_Input Override'!H31))</f>
        <v>0</v>
      </c>
      <c r="I31" s="172">
        <f ca="1">IF('F_Input Override'!I31="",'Consolidated Input'!I31,('F_Input Override'!I31))</f>
        <v>0</v>
      </c>
      <c r="J31" s="172">
        <f ca="1">IF('F_Input Override'!J31="",'Consolidated Input'!J31,('F_Input Override'!J31))</f>
        <v>0</v>
      </c>
      <c r="K31" s="172">
        <f ca="1">IF('F_Input Override'!K31="",'Consolidated Input'!K31,('F_Input Override'!K31))</f>
        <v>0</v>
      </c>
      <c r="L31" s="172">
        <f ca="1">IF('F_Input Override'!L31="",'Consolidated Input'!L31,('F_Input Override'!L31))</f>
        <v>0</v>
      </c>
      <c r="M31" s="172">
        <f ca="1">IF('F_Input Override'!M31="",'Consolidated Input'!M31,('F_Input Override'!M31))</f>
        <v>0</v>
      </c>
      <c r="N31" s="173">
        <f t="shared" ca="1" si="0"/>
        <v>0</v>
      </c>
    </row>
    <row r="32" spans="1:14">
      <c r="A32" s="154" t="str">
        <f>'F_Input Override'!A31</f>
        <v>HDD</v>
      </c>
      <c r="B32" s="154" t="str">
        <f ca="1">Table1[[#This Row],[BON code]]</f>
        <v>CWW3_008TOT_PR24</v>
      </c>
      <c r="C32" s="170" t="str">
        <f>'F_Input Override'!C32</f>
        <v>EA/NRW environmental programme wastewater (WINEP/NEP) - Continuous river water quality monitoring (WINEP/NEP) wastewater opex - Total</v>
      </c>
      <c r="D32" s="170" t="str">
        <f>'F_Input Override'!D32</f>
        <v>£m</v>
      </c>
      <c r="E32" s="171" t="str">
        <f>'F_Input Override'!E32</f>
        <v>Price Review 2024</v>
      </c>
      <c r="F32" s="172">
        <f ca="1">IF('F_Input Override'!F32="",'Consolidated Input'!F32,('F_Input Override'!F32))</f>
        <v>0</v>
      </c>
      <c r="G32" s="172">
        <f ca="1">IF('F_Input Override'!G32="",'Consolidated Input'!G32,('F_Input Override'!G32))</f>
        <v>0</v>
      </c>
      <c r="H32" s="172">
        <f ca="1">IF('F_Input Override'!H32="",'Consolidated Input'!H32,('F_Input Override'!H32))</f>
        <v>0</v>
      </c>
      <c r="I32" s="172">
        <f ca="1">IF('F_Input Override'!I32="",'Consolidated Input'!I32,('F_Input Override'!I32))</f>
        <v>0</v>
      </c>
      <c r="J32" s="172">
        <f ca="1">IF('F_Input Override'!J32="",'Consolidated Input'!J32,('F_Input Override'!J32))</f>
        <v>0</v>
      </c>
      <c r="K32" s="172">
        <f ca="1">IF('F_Input Override'!K32="",'Consolidated Input'!K32,('F_Input Override'!K32))</f>
        <v>0</v>
      </c>
      <c r="L32" s="172">
        <f ca="1">IF('F_Input Override'!L32="",'Consolidated Input'!L32,('F_Input Override'!L32))</f>
        <v>0</v>
      </c>
      <c r="M32" s="172">
        <f ca="1">IF('F_Input Override'!M32="",'Consolidated Input'!M32,('F_Input Override'!M32))</f>
        <v>0</v>
      </c>
      <c r="N32" s="173">
        <f t="shared" ca="1" si="0"/>
        <v>0</v>
      </c>
    </row>
    <row r="33" spans="1:14">
      <c r="A33" s="154" t="str">
        <f>'F_Input Override'!A32</f>
        <v>HDD</v>
      </c>
      <c r="B33" s="154" t="str">
        <f ca="1">Table1[[#This Row],[BON code]]</f>
        <v>CWW3_009TOT_PR24</v>
      </c>
      <c r="C33" s="170" t="str">
        <f>'F_Input Override'!C33</f>
        <v>EA/NRW environmental programme wastewater (WINEP/NEP) - Continuous river water quality monitoring (WINEP/NEP) wastewater totex - Total</v>
      </c>
      <c r="D33" s="170" t="str">
        <f>'F_Input Override'!D33</f>
        <v>£m</v>
      </c>
      <c r="E33" s="171" t="str">
        <f>'F_Input Override'!E33</f>
        <v>Price Review 2024</v>
      </c>
      <c r="F33" s="172">
        <f ca="1">IF('F_Input Override'!F33="",'Consolidated Input'!F33,('F_Input Override'!F33))</f>
        <v>0</v>
      </c>
      <c r="G33" s="172">
        <f ca="1">IF('F_Input Override'!G33="",'Consolidated Input'!G33,('F_Input Override'!G33))</f>
        <v>0</v>
      </c>
      <c r="H33" s="172">
        <f ca="1">IF('F_Input Override'!H33="",'Consolidated Input'!H33,('F_Input Override'!H33))</f>
        <v>0</v>
      </c>
      <c r="I33" s="172">
        <f ca="1">IF('F_Input Override'!I33="",'Consolidated Input'!I33,('F_Input Override'!I33))</f>
        <v>0</v>
      </c>
      <c r="J33" s="172">
        <f ca="1">IF('F_Input Override'!J33="",'Consolidated Input'!J33,('F_Input Override'!J33))</f>
        <v>0</v>
      </c>
      <c r="K33" s="172">
        <f ca="1">IF('F_Input Override'!K33="",'Consolidated Input'!K33,('F_Input Override'!K33))</f>
        <v>0</v>
      </c>
      <c r="L33" s="172">
        <f ca="1">IF('F_Input Override'!L33="",'Consolidated Input'!L33,('F_Input Override'!L33))</f>
        <v>0</v>
      </c>
      <c r="M33" s="172">
        <f ca="1">IF('F_Input Override'!M33="",'Consolidated Input'!M33,('F_Input Override'!M33))</f>
        <v>0</v>
      </c>
      <c r="N33" s="173">
        <f t="shared" ca="1" si="0"/>
        <v>0</v>
      </c>
    </row>
    <row r="34" spans="1:14">
      <c r="A34" s="154" t="str">
        <f>'F_Input Override'!A33</f>
        <v>HDD</v>
      </c>
      <c r="B34" s="154" t="str">
        <f ca="1">Table1[[#This Row],[BON code]]</f>
        <v>CWW20_049_PR24</v>
      </c>
      <c r="C34" s="170" t="str">
        <f>'F_Input Override'!C34</f>
        <v>Network / Storm overflow data - Number of continuous water quality monitor installations</v>
      </c>
      <c r="D34" s="170" t="str">
        <f>'F_Input Override'!D34</f>
        <v>nr</v>
      </c>
      <c r="E34" s="171" t="str">
        <f>'F_Input Override'!E34</f>
        <v>Price Review 2024</v>
      </c>
      <c r="F34" s="172">
        <f ca="1">IF('F_Input Override'!F34="",'Consolidated Input'!F34,('F_Input Override'!F34))</f>
        <v>0</v>
      </c>
      <c r="G34" s="172">
        <f ca="1">IF('F_Input Override'!G34="",'Consolidated Input'!G34,('F_Input Override'!G34))</f>
        <v>0</v>
      </c>
      <c r="H34" s="172">
        <f ca="1">IF('F_Input Override'!H34="",'Consolidated Input'!H34,('F_Input Override'!H34))</f>
        <v>0</v>
      </c>
      <c r="I34" s="172">
        <f ca="1">IF('F_Input Override'!I34="",'Consolidated Input'!I34,('F_Input Override'!I34))</f>
        <v>0</v>
      </c>
      <c r="J34" s="172">
        <f ca="1">IF('F_Input Override'!J34="",'Consolidated Input'!J34,('F_Input Override'!J34))</f>
        <v>0</v>
      </c>
      <c r="K34" s="172">
        <f ca="1">IF('F_Input Override'!K34="",'Consolidated Input'!K34,('F_Input Override'!K34))</f>
        <v>0</v>
      </c>
      <c r="L34" s="172">
        <f ca="1">IF('F_Input Override'!L34="",'Consolidated Input'!L34,('F_Input Override'!L34))</f>
        <v>0</v>
      </c>
      <c r="M34" s="172">
        <f ca="1">IF('F_Input Override'!M34="",'Consolidated Input'!M34,('F_Input Override'!M34))</f>
        <v>0</v>
      </c>
      <c r="N34" s="173">
        <f t="shared" ca="1" si="0"/>
        <v>0</v>
      </c>
    </row>
    <row r="35" spans="1:14">
      <c r="A35" s="154" t="str">
        <f>'F_Input Override'!A34</f>
        <v>HDD</v>
      </c>
      <c r="B35" s="154" t="str">
        <f ca="1">Table1[[#This Row],[BON code]]</f>
        <v>CWW1A_015TOT_PR24</v>
      </c>
      <c r="C35" s="170" t="str">
        <f>'F_Input Override'!C35</f>
        <v>Net totex - Total</v>
      </c>
      <c r="D35" s="170" t="str">
        <f>'F_Input Override'!D35</f>
        <v>£m</v>
      </c>
      <c r="E35" s="171" t="str">
        <f>'F_Input Override'!E35</f>
        <v>Price Review 2024</v>
      </c>
      <c r="F35" s="172">
        <f ca="1">IF('F_Input Override'!F35="",'Consolidated Input'!F35,('F_Input Override'!F35))</f>
        <v>0</v>
      </c>
      <c r="G35" s="172">
        <f ca="1">IF('F_Input Override'!G35="",'Consolidated Input'!G35,('F_Input Override'!G35))</f>
        <v>0</v>
      </c>
      <c r="H35" s="172">
        <f ca="1">IF('F_Input Override'!H35="",'Consolidated Input'!H35,('F_Input Override'!H35))</f>
        <v>8.9449866348255469</v>
      </c>
      <c r="I35" s="172">
        <f ca="1">IF('F_Input Override'!I35="",'Consolidated Input'!I35,('F_Input Override'!I35))</f>
        <v>10.513360129683161</v>
      </c>
      <c r="J35" s="172">
        <f ca="1">IF('F_Input Override'!J35="",'Consolidated Input'!J35,('F_Input Override'!J35))</f>
        <v>14.777142001610789</v>
      </c>
      <c r="K35" s="172">
        <f ca="1">IF('F_Input Override'!K35="",'Consolidated Input'!K35,('F_Input Override'!K35))</f>
        <v>17.269327311959941</v>
      </c>
      <c r="L35" s="172">
        <f ca="1">IF('F_Input Override'!L35="",'Consolidated Input'!L35,('F_Input Override'!L35))</f>
        <v>9.7979959403769783</v>
      </c>
      <c r="M35" s="172">
        <f ca="1">IF('F_Input Override'!M35="",'Consolidated Input'!M35,('F_Input Override'!M35))</f>
        <v>0</v>
      </c>
      <c r="N35" s="173">
        <f t="shared" ca="1" si="0"/>
        <v>61.302812018456414</v>
      </c>
    </row>
    <row r="36" spans="1:14">
      <c r="A36" s="154" t="str">
        <f>'F_Input Override'!A35</f>
        <v>HDD</v>
      </c>
      <c r="B36" s="154" t="str">
        <f ca="1">Table1[[#This Row],[BON code]]</f>
        <v>PR24_NETTOTEX_WASTE</v>
      </c>
      <c r="C36" s="170" t="str">
        <f>'F_Input Override'!C36</f>
        <v>PR24 BP Net totex - Total inc. accelerated &amp; transition costs</v>
      </c>
      <c r="D36" s="170" t="str">
        <f>'F_Input Override'!D36</f>
        <v>£m</v>
      </c>
      <c r="E36" s="171" t="str">
        <f>'F_Input Override'!E36</f>
        <v>Price Review 2024</v>
      </c>
      <c r="F36" s="172">
        <f ca="1">IF('F_Input Override'!F36="",'Consolidated Input'!F36,('F_Input Override'!F36))</f>
        <v>0</v>
      </c>
      <c r="G36" s="172">
        <f ca="1">IF('F_Input Override'!G36="",'Consolidated Input'!G36,('F_Input Override'!G36))</f>
        <v>0</v>
      </c>
      <c r="H36" s="172">
        <f ca="1">IF('F_Input Override'!H36="",'Consolidated Input'!H36,('F_Input Override'!H36))</f>
        <v>0</v>
      </c>
      <c r="I36" s="172">
        <f ca="1">IF('F_Input Override'!I36="",'Consolidated Input'!I36,('F_Input Override'!I36))</f>
        <v>0</v>
      </c>
      <c r="J36" s="172">
        <f ca="1">IF('F_Input Override'!J36="",'Consolidated Input'!J36,('F_Input Override'!J36))</f>
        <v>0</v>
      </c>
      <c r="K36" s="172">
        <f ca="1">IF('F_Input Override'!K36="",'Consolidated Input'!K36,('F_Input Override'!K36))</f>
        <v>0</v>
      </c>
      <c r="L36" s="172">
        <f ca="1">IF('F_Input Override'!L36="",'Consolidated Input'!L36,('F_Input Override'!L36))</f>
        <v>0</v>
      </c>
      <c r="M36" s="172">
        <f ca="1">IF('F_Input Override'!M36="",'Consolidated Input'!M36,('F_Input Override'!M36))</f>
        <v>61.302812018456414</v>
      </c>
      <c r="N36" s="173">
        <f t="shared" ca="1" si="0"/>
        <v>0</v>
      </c>
    </row>
    <row r="37" spans="1:14">
      <c r="A37" s="154" t="str">
        <f>'F_Input Override'!A36</f>
        <v>HDD</v>
      </c>
      <c r="B37" s="154" t="str">
        <f ca="1">Table1[[#This Row],[BON code]]</f>
        <v>CWW12_007TOT_PR24</v>
      </c>
      <c r="C37" s="170" t="str">
        <f>'F_Input Override'!C37</f>
        <v>EA/NRW environmental programme wastewater (WINEP/NEP) - Continuous river water quality monitoring (WINEP/NEP) wastewater capex - Total</v>
      </c>
      <c r="D37" s="170" t="str">
        <f>'F_Input Override'!D37</f>
        <v>£m</v>
      </c>
      <c r="E37" s="171" t="str">
        <f>'F_Input Override'!E37</f>
        <v>Price Review 2024</v>
      </c>
      <c r="F37" s="172">
        <f ca="1">IF('F_Input Override'!F37="",'Consolidated Input'!F37,('F_Input Override'!F37))</f>
        <v>0</v>
      </c>
      <c r="G37" s="172">
        <f ca="1">IF('F_Input Override'!G37="",'Consolidated Input'!G37,('F_Input Override'!G37))</f>
        <v>0</v>
      </c>
      <c r="H37" s="172">
        <f ca="1">IF('F_Input Override'!H37="",'Consolidated Input'!H37,('F_Input Override'!H37))</f>
        <v>0</v>
      </c>
      <c r="I37" s="172">
        <f ca="1">IF('F_Input Override'!I37="",'Consolidated Input'!I37,('F_Input Override'!I37))</f>
        <v>0</v>
      </c>
      <c r="J37" s="172">
        <f ca="1">IF('F_Input Override'!J37="",'Consolidated Input'!J37,('F_Input Override'!J37))</f>
        <v>0</v>
      </c>
      <c r="K37" s="172">
        <f ca="1">IF('F_Input Override'!K37="",'Consolidated Input'!K37,('F_Input Override'!K37))</f>
        <v>0</v>
      </c>
      <c r="L37" s="172">
        <f ca="1">IF('F_Input Override'!L37="",'Consolidated Input'!L37,('F_Input Override'!L37))</f>
        <v>0</v>
      </c>
      <c r="M37" s="172">
        <f ca="1">IF('F_Input Override'!M37="",'Consolidated Input'!M37,('F_Input Override'!M37))</f>
        <v>0</v>
      </c>
      <c r="N37" s="173">
        <f t="shared" ca="1" si="0"/>
        <v>0</v>
      </c>
    </row>
    <row r="38" spans="1:14">
      <c r="A38" s="154" t="str">
        <f>'F_Input Override'!A37</f>
        <v>HDD</v>
      </c>
      <c r="B38" s="154" t="str">
        <f ca="1">Table1[[#This Row],[BON code]]</f>
        <v>CWW12_008TOT_PR24</v>
      </c>
      <c r="C38" s="170" t="str">
        <f>'F_Input Override'!C38</f>
        <v>EA/NRW environmental programme wastewater (WINEP/NEP) - Continuous river water quality monitoring (WINEP/NEP) wastewater opex - Total</v>
      </c>
      <c r="D38" s="170" t="str">
        <f>'F_Input Override'!D38</f>
        <v>£m</v>
      </c>
      <c r="E38" s="171" t="str">
        <f>'F_Input Override'!E38</f>
        <v>Price Review 2024</v>
      </c>
      <c r="F38" s="172">
        <f ca="1">IF('F_Input Override'!F38="",'Consolidated Input'!F38,('F_Input Override'!F38))</f>
        <v>0</v>
      </c>
      <c r="G38" s="172">
        <f ca="1">IF('F_Input Override'!G38="",'Consolidated Input'!G38,('F_Input Override'!G38))</f>
        <v>0</v>
      </c>
      <c r="H38" s="172">
        <f ca="1">IF('F_Input Override'!H38="",'Consolidated Input'!H38,('F_Input Override'!H38))</f>
        <v>0</v>
      </c>
      <c r="I38" s="172">
        <f ca="1">IF('F_Input Override'!I38="",'Consolidated Input'!I38,('F_Input Override'!I38))</f>
        <v>0</v>
      </c>
      <c r="J38" s="172">
        <f ca="1">IF('F_Input Override'!J38="",'Consolidated Input'!J38,('F_Input Override'!J38))</f>
        <v>0</v>
      </c>
      <c r="K38" s="172">
        <f ca="1">IF('F_Input Override'!K38="",'Consolidated Input'!K38,('F_Input Override'!K38))</f>
        <v>0</v>
      </c>
      <c r="L38" s="172">
        <f ca="1">IF('F_Input Override'!L38="",'Consolidated Input'!L38,('F_Input Override'!L38))</f>
        <v>0</v>
      </c>
      <c r="M38" s="172">
        <f ca="1">IF('F_Input Override'!M38="",'Consolidated Input'!M38,('F_Input Override'!M38))</f>
        <v>0</v>
      </c>
      <c r="N38" s="173">
        <f t="shared" ca="1" si="0"/>
        <v>0</v>
      </c>
    </row>
    <row r="39" spans="1:14">
      <c r="A39" s="154" t="str">
        <f>'F_Input Override'!A38</f>
        <v>HDD</v>
      </c>
      <c r="B39" s="154" t="str">
        <f ca="1">Table1[[#This Row],[BON code]]</f>
        <v>CWW12_009TOT_PR24</v>
      </c>
      <c r="C39" s="170" t="str">
        <f>'F_Input Override'!C39</f>
        <v>EA/NRW environmental programme wastewater (WINEP/NEP) - Continuous river water quality monitoring (WINEP/NEP) wastewater totex - Total</v>
      </c>
      <c r="D39" s="170" t="str">
        <f>'F_Input Override'!D39</f>
        <v>£m</v>
      </c>
      <c r="E39" s="171" t="str">
        <f>'F_Input Override'!E39</f>
        <v>Price Review 2024</v>
      </c>
      <c r="F39" s="172">
        <f ca="1">IF('F_Input Override'!F39="",'Consolidated Input'!F39,('F_Input Override'!F39))</f>
        <v>0</v>
      </c>
      <c r="G39" s="172">
        <f ca="1">IF('F_Input Override'!G39="",'Consolidated Input'!G39,('F_Input Override'!G39))</f>
        <v>0</v>
      </c>
      <c r="H39" s="172">
        <f ca="1">IF('F_Input Override'!H39="",'Consolidated Input'!H39,('F_Input Override'!H39))</f>
        <v>0</v>
      </c>
      <c r="I39" s="172">
        <f ca="1">IF('F_Input Override'!I39="",'Consolidated Input'!I39,('F_Input Override'!I39))</f>
        <v>0</v>
      </c>
      <c r="J39" s="172">
        <f ca="1">IF('F_Input Override'!J39="",'Consolidated Input'!J39,('F_Input Override'!J39))</f>
        <v>0</v>
      </c>
      <c r="K39" s="172">
        <f ca="1">IF('F_Input Override'!K39="",'Consolidated Input'!K39,('F_Input Override'!K39))</f>
        <v>0</v>
      </c>
      <c r="L39" s="172">
        <f ca="1">IF('F_Input Override'!L39="",'Consolidated Input'!L39,('F_Input Override'!L39))</f>
        <v>0</v>
      </c>
      <c r="M39" s="172">
        <f ca="1">IF('F_Input Override'!M39="",'Consolidated Input'!M39,('F_Input Override'!M39))</f>
        <v>0</v>
      </c>
      <c r="N39" s="173">
        <f t="shared" ca="1" si="0"/>
        <v>0</v>
      </c>
    </row>
    <row r="40" spans="1:14">
      <c r="A40" s="154" t="str">
        <f>'F_Input Override'!A39</f>
        <v>HDD</v>
      </c>
      <c r="B40" s="154" t="str">
        <f ca="1">Table1[[#This Row],[BON code]]</f>
        <v>CWW17_007TOT_PR24</v>
      </c>
      <c r="C40" s="170" t="str">
        <f>'F_Input Override'!C40</f>
        <v>EA/NRW environmental programme wastewater (WINEP/NEP) - Continuous river water quality monitoring (WINEP/NEP) wastewater capex - Total</v>
      </c>
      <c r="D40" s="170" t="str">
        <f>'F_Input Override'!D40</f>
        <v>£m</v>
      </c>
      <c r="E40" s="171" t="str">
        <f>'F_Input Override'!E40</f>
        <v>Price Review 2024</v>
      </c>
      <c r="F40" s="172">
        <f ca="1">IF('F_Input Override'!F40="",'Consolidated Input'!F40,('F_Input Override'!F40))</f>
        <v>0</v>
      </c>
      <c r="G40" s="172">
        <f ca="1">IF('F_Input Override'!G40="",'Consolidated Input'!G40,('F_Input Override'!G40))</f>
        <v>0</v>
      </c>
      <c r="H40" s="172">
        <f ca="1">IF('F_Input Override'!H40="",'Consolidated Input'!H40,('F_Input Override'!H40))</f>
        <v>0</v>
      </c>
      <c r="I40" s="172">
        <f ca="1">IF('F_Input Override'!I40="",'Consolidated Input'!I40,('F_Input Override'!I40))</f>
        <v>0</v>
      </c>
      <c r="J40" s="172">
        <f ca="1">IF('F_Input Override'!J40="",'Consolidated Input'!J40,('F_Input Override'!J40))</f>
        <v>0</v>
      </c>
      <c r="K40" s="172">
        <f ca="1">IF('F_Input Override'!K40="",'Consolidated Input'!K40,('F_Input Override'!K40))</f>
        <v>0</v>
      </c>
      <c r="L40" s="172">
        <f ca="1">IF('F_Input Override'!L40="",'Consolidated Input'!L40,('F_Input Override'!L40))</f>
        <v>0</v>
      </c>
      <c r="M40" s="172">
        <f ca="1">IF('F_Input Override'!M40="",'Consolidated Input'!M40,('F_Input Override'!M40))</f>
        <v>0</v>
      </c>
      <c r="N40" s="173">
        <f t="shared" ca="1" si="0"/>
        <v>0</v>
      </c>
    </row>
    <row r="41" spans="1:14">
      <c r="A41" s="154" t="str">
        <f>'F_Input Override'!A40</f>
        <v>HDD</v>
      </c>
      <c r="B41" s="154" t="str">
        <f ca="1">Table1[[#This Row],[BON code]]</f>
        <v>CWW17_008TOT_PR24</v>
      </c>
      <c r="C41" s="170" t="str">
        <f>'F_Input Override'!C41</f>
        <v>EA/NRW environmental programme wastewater (WINEP/NEP) - Continuous river water quality monitoring (WINEP/NEP) wastewater opex - Total</v>
      </c>
      <c r="D41" s="170" t="str">
        <f>'F_Input Override'!D41</f>
        <v>£m</v>
      </c>
      <c r="E41" s="171" t="str">
        <f>'F_Input Override'!E41</f>
        <v>Price Review 2024</v>
      </c>
      <c r="F41" s="172">
        <f ca="1">IF('F_Input Override'!F41="",'Consolidated Input'!F41,('F_Input Override'!F41))</f>
        <v>0</v>
      </c>
      <c r="G41" s="172">
        <f ca="1">IF('F_Input Override'!G41="",'Consolidated Input'!G41,('F_Input Override'!G41))</f>
        <v>0</v>
      </c>
      <c r="H41" s="172">
        <f ca="1">IF('F_Input Override'!H41="",'Consolidated Input'!H41,('F_Input Override'!H41))</f>
        <v>0</v>
      </c>
      <c r="I41" s="172">
        <f ca="1">IF('F_Input Override'!I41="",'Consolidated Input'!I41,('F_Input Override'!I41))</f>
        <v>0</v>
      </c>
      <c r="J41" s="172">
        <f ca="1">IF('F_Input Override'!J41="",'Consolidated Input'!J41,('F_Input Override'!J41))</f>
        <v>0</v>
      </c>
      <c r="K41" s="172">
        <f ca="1">IF('F_Input Override'!K41="",'Consolidated Input'!K41,('F_Input Override'!K41))</f>
        <v>0</v>
      </c>
      <c r="L41" s="172">
        <f ca="1">IF('F_Input Override'!L41="",'Consolidated Input'!L41,('F_Input Override'!L41))</f>
        <v>0</v>
      </c>
      <c r="M41" s="172">
        <f ca="1">IF('F_Input Override'!M41="",'Consolidated Input'!M41,('F_Input Override'!M41))</f>
        <v>0</v>
      </c>
      <c r="N41" s="173">
        <f t="shared" ca="1" si="0"/>
        <v>0</v>
      </c>
    </row>
    <row r="42" spans="1:14">
      <c r="A42" s="154" t="str">
        <f>'F_Input Override'!A41</f>
        <v>HDD</v>
      </c>
      <c r="B42" s="154" t="str">
        <f ca="1">Table1[[#This Row],[BON code]]</f>
        <v>CWW17_009TOT_PR24</v>
      </c>
      <c r="C42" s="170" t="str">
        <f>'F_Input Override'!C42</f>
        <v>EA/NRW environmental programme wastewater (WINEP/NEP) - Continuous river water quality monitoring (WINEP/NEP) wastewater totex - Total</v>
      </c>
      <c r="D42" s="170" t="str">
        <f>'F_Input Override'!D42</f>
        <v>£m</v>
      </c>
      <c r="E42" s="171" t="str">
        <f>'F_Input Override'!E42</f>
        <v>Price Review 2024</v>
      </c>
      <c r="F42" s="172">
        <f ca="1">IF('F_Input Override'!F42="",'Consolidated Input'!F42,('F_Input Override'!F42))</f>
        <v>0</v>
      </c>
      <c r="G42" s="172">
        <f ca="1">IF('F_Input Override'!G42="",'Consolidated Input'!G42,('F_Input Override'!G42))</f>
        <v>0</v>
      </c>
      <c r="H42" s="172">
        <f ca="1">IF('F_Input Override'!H42="",'Consolidated Input'!H42,('F_Input Override'!H42))</f>
        <v>0</v>
      </c>
      <c r="I42" s="172">
        <f ca="1">IF('F_Input Override'!I42="",'Consolidated Input'!I42,('F_Input Override'!I42))</f>
        <v>0</v>
      </c>
      <c r="J42" s="172">
        <f ca="1">IF('F_Input Override'!J42="",'Consolidated Input'!J42,('F_Input Override'!J42))</f>
        <v>0</v>
      </c>
      <c r="K42" s="172">
        <f ca="1">IF('F_Input Override'!K42="",'Consolidated Input'!K42,('F_Input Override'!K42))</f>
        <v>0</v>
      </c>
      <c r="L42" s="172">
        <f ca="1">IF('F_Input Override'!L42="",'Consolidated Input'!L42,('F_Input Override'!L42))</f>
        <v>0</v>
      </c>
      <c r="M42" s="172">
        <f ca="1">IF('F_Input Override'!M42="",'Consolidated Input'!M42,('F_Input Override'!M42))</f>
        <v>0</v>
      </c>
      <c r="N42" s="173">
        <f t="shared" ca="1" si="0"/>
        <v>0</v>
      </c>
    </row>
    <row r="43" spans="1:14">
      <c r="A43" s="154" t="str">
        <f>'F_Input Override'!A42</f>
        <v>HDD</v>
      </c>
      <c r="B43" s="154" t="str">
        <f ca="1">Table1[[#This Row],[BON code]]</f>
        <v>CWW20A_049_PR24</v>
      </c>
      <c r="C43" s="170" t="str">
        <f>'F_Input Override'!C43</f>
        <v>Network / Storm overflow data - Number of continuous water quality monitor installations</v>
      </c>
      <c r="D43" s="170" t="str">
        <f>'F_Input Override'!D43</f>
        <v>nr</v>
      </c>
      <c r="E43" s="171" t="str">
        <f>'F_Input Override'!E43</f>
        <v>Price Review 2024</v>
      </c>
      <c r="F43" s="172">
        <f ca="1">IF('F_Input Override'!F43="",'Consolidated Input'!F43,('F_Input Override'!F43))</f>
        <v>0</v>
      </c>
      <c r="G43" s="172">
        <f ca="1">IF('F_Input Override'!G43="",'Consolidated Input'!G43,('F_Input Override'!G43))</f>
        <v>0</v>
      </c>
      <c r="H43" s="172">
        <f ca="1">IF('F_Input Override'!H43="",'Consolidated Input'!H43,('F_Input Override'!H43))</f>
        <v>0</v>
      </c>
      <c r="I43" s="172">
        <f ca="1">IF('F_Input Override'!I43="",'Consolidated Input'!I43,('F_Input Override'!I43))</f>
        <v>0</v>
      </c>
      <c r="J43" s="172">
        <f ca="1">IF('F_Input Override'!J43="",'Consolidated Input'!J43,('F_Input Override'!J43))</f>
        <v>0</v>
      </c>
      <c r="K43" s="172">
        <f ca="1">IF('F_Input Override'!K43="",'Consolidated Input'!K43,('F_Input Override'!K43))</f>
        <v>0</v>
      </c>
      <c r="L43" s="172">
        <f ca="1">IF('F_Input Override'!L43="",'Consolidated Input'!L43,('F_Input Override'!L43))</f>
        <v>0</v>
      </c>
      <c r="M43" s="172">
        <f ca="1">IF('F_Input Override'!M43="",'Consolidated Input'!M43,('F_Input Override'!M43))</f>
        <v>0</v>
      </c>
      <c r="N43" s="173">
        <f t="shared" ca="1" si="0"/>
        <v>0</v>
      </c>
    </row>
    <row r="44" spans="1:14">
      <c r="A44" s="154" t="str">
        <f>'F_Input Override'!A43</f>
        <v>HDD</v>
      </c>
      <c r="B44" s="154" t="str">
        <f ca="1">Table1[[#This Row],[BON code]]</f>
        <v>CWW3_007TOT_PR24</v>
      </c>
      <c r="C44" s="170" t="str">
        <f>'F_Input Override'!C44</f>
        <v>EA/NRW environmental programme wastewater (WINEP/NEP) - Continuous river water quality monitoring (WINEP/NEP) wastewater capex - Total</v>
      </c>
      <c r="D44" s="170" t="str">
        <f>'F_Input Override'!D44</f>
        <v>£m</v>
      </c>
      <c r="E44" s="171" t="str">
        <f>'F_Input Override'!E44</f>
        <v>Price Review 2024</v>
      </c>
      <c r="F44" s="172">
        <f ca="1">IF('F_Input Override'!F44="",'Consolidated Input'!F44,('F_Input Override'!F44))</f>
        <v>0</v>
      </c>
      <c r="G44" s="172">
        <f ca="1">IF('F_Input Override'!G44="",'Consolidated Input'!G44,('F_Input Override'!G44))</f>
        <v>0</v>
      </c>
      <c r="H44" s="172">
        <f ca="1">IF('F_Input Override'!H44="",'Consolidated Input'!H44,('F_Input Override'!H44))</f>
        <v>2.718</v>
      </c>
      <c r="I44" s="172">
        <f ca="1">IF('F_Input Override'!I44="",'Consolidated Input'!I44,('F_Input Override'!I44))</f>
        <v>12.323</v>
      </c>
      <c r="J44" s="172">
        <f ca="1">IF('F_Input Override'!J44="",'Consolidated Input'!J44,('F_Input Override'!J44))</f>
        <v>12.449</v>
      </c>
      <c r="K44" s="172">
        <f ca="1">IF('F_Input Override'!K44="",'Consolidated Input'!K44,('F_Input Override'!K44))</f>
        <v>12.323</v>
      </c>
      <c r="L44" s="172">
        <f ca="1">IF('F_Input Override'!L44="",'Consolidated Input'!L44,('F_Input Override'!L44))</f>
        <v>12.449</v>
      </c>
      <c r="M44" s="172">
        <f ca="1">IF('F_Input Override'!M44="",'Consolidated Input'!M44,('F_Input Override'!M44))</f>
        <v>0</v>
      </c>
      <c r="N44" s="173">
        <f t="shared" ca="1" si="0"/>
        <v>52.262</v>
      </c>
    </row>
    <row r="45" spans="1:14">
      <c r="A45" s="154" t="str">
        <f>'F_Input Override'!A44</f>
        <v>NES</v>
      </c>
      <c r="B45" s="154" t="str">
        <f ca="1">Table1[[#This Row],[BON code]]</f>
        <v>CWW3_008TOT_PR24</v>
      </c>
      <c r="C45" s="170" t="str">
        <f>'F_Input Override'!C45</f>
        <v>EA/NRW environmental programme wastewater (WINEP/NEP) - Continuous river water quality monitoring (WINEP/NEP) wastewater opex - Total</v>
      </c>
      <c r="D45" s="170" t="str">
        <f>'F_Input Override'!D45</f>
        <v>£m</v>
      </c>
      <c r="E45" s="171" t="str">
        <f>'F_Input Override'!E45</f>
        <v>Price Review 2024</v>
      </c>
      <c r="F45" s="172">
        <f ca="1">IF('F_Input Override'!F45="",'Consolidated Input'!F45,('F_Input Override'!F45))</f>
        <v>0</v>
      </c>
      <c r="G45" s="172">
        <f ca="1">IF('F_Input Override'!G45="",'Consolidated Input'!G45,('F_Input Override'!G45))</f>
        <v>0</v>
      </c>
      <c r="H45" s="172">
        <f ca="1">IF('F_Input Override'!H45="",'Consolidated Input'!H45,('F_Input Override'!H45))</f>
        <v>0</v>
      </c>
      <c r="I45" s="172">
        <f ca="1">IF('F_Input Override'!I45="",'Consolidated Input'!I45,('F_Input Override'!I45))</f>
        <v>0</v>
      </c>
      <c r="J45" s="172">
        <f ca="1">IF('F_Input Override'!J45="",'Consolidated Input'!J45,('F_Input Override'!J45))</f>
        <v>0.52900000000000003</v>
      </c>
      <c r="K45" s="172">
        <f ca="1">IF('F_Input Override'!K45="",'Consolidated Input'!K45,('F_Input Override'!K45))</f>
        <v>1.0640000000000001</v>
      </c>
      <c r="L45" s="172">
        <f ca="1">IF('F_Input Override'!L45="",'Consolidated Input'!L45,('F_Input Override'!L45))</f>
        <v>1.593</v>
      </c>
      <c r="M45" s="172">
        <f ca="1">IF('F_Input Override'!M45="",'Consolidated Input'!M45,('F_Input Override'!M45))</f>
        <v>0</v>
      </c>
      <c r="N45" s="173">
        <f t="shared" ca="1" si="0"/>
        <v>3.1859999999999999</v>
      </c>
    </row>
    <row r="46" spans="1:14">
      <c r="A46" s="154" t="str">
        <f>'F_Input Override'!A45</f>
        <v>NES</v>
      </c>
      <c r="B46" s="154" t="str">
        <f ca="1">Table1[[#This Row],[BON code]]</f>
        <v>CWW3_009TOT_PR24</v>
      </c>
      <c r="C46" s="170" t="str">
        <f>'F_Input Override'!C46</f>
        <v>EA/NRW environmental programme wastewater (WINEP/NEP) - Continuous river water quality monitoring (WINEP/NEP) wastewater totex - Total</v>
      </c>
      <c r="D46" s="170" t="str">
        <f>'F_Input Override'!D46</f>
        <v>£m</v>
      </c>
      <c r="E46" s="171" t="str">
        <f>'F_Input Override'!E46</f>
        <v>Price Review 2024</v>
      </c>
      <c r="F46" s="172">
        <f ca="1">IF('F_Input Override'!F46="",'Consolidated Input'!F46,('F_Input Override'!F46))</f>
        <v>0</v>
      </c>
      <c r="G46" s="172">
        <f ca="1">IF('F_Input Override'!G46="",'Consolidated Input'!G46,('F_Input Override'!G46))</f>
        <v>0</v>
      </c>
      <c r="H46" s="172">
        <f ca="1">IF('F_Input Override'!H46="",'Consolidated Input'!H46,('F_Input Override'!H46))</f>
        <v>2.718</v>
      </c>
      <c r="I46" s="172">
        <f ca="1">IF('F_Input Override'!I46="",'Consolidated Input'!I46,('F_Input Override'!I46))</f>
        <v>12.323</v>
      </c>
      <c r="J46" s="172">
        <f ca="1">IF('F_Input Override'!J46="",'Consolidated Input'!J46,('F_Input Override'!J46))</f>
        <v>12.978</v>
      </c>
      <c r="K46" s="172">
        <f ca="1">IF('F_Input Override'!K46="",'Consolidated Input'!K46,('F_Input Override'!K46))</f>
        <v>13.387</v>
      </c>
      <c r="L46" s="172">
        <f ca="1">IF('F_Input Override'!L46="",'Consolidated Input'!L46,('F_Input Override'!L46))</f>
        <v>14.042</v>
      </c>
      <c r="M46" s="172">
        <f ca="1">IF('F_Input Override'!M46="",'Consolidated Input'!M46,('F_Input Override'!M46))</f>
        <v>0</v>
      </c>
      <c r="N46" s="173">
        <f t="shared" ca="1" si="0"/>
        <v>55.448</v>
      </c>
    </row>
    <row r="47" spans="1:14">
      <c r="A47" s="154" t="str">
        <f>'F_Input Override'!A46</f>
        <v>NES</v>
      </c>
      <c r="B47" s="154" t="str">
        <f ca="1">Table1[[#This Row],[BON code]]</f>
        <v>CWW20_049_PR24</v>
      </c>
      <c r="C47" s="170" t="str">
        <f>'F_Input Override'!C47</f>
        <v>Network / Storm overflow data - Number of continuous water quality monitor installations</v>
      </c>
      <c r="D47" s="170" t="str">
        <f>'F_Input Override'!D47</f>
        <v>nr</v>
      </c>
      <c r="E47" s="171" t="str">
        <f>'F_Input Override'!E47</f>
        <v>Price Review 2024</v>
      </c>
      <c r="F47" s="172">
        <f ca="1">IF('F_Input Override'!F47="",'Consolidated Input'!F47,('F_Input Override'!F47))</f>
        <v>0</v>
      </c>
      <c r="G47" s="172">
        <f ca="1">IF('F_Input Override'!G47="",'Consolidated Input'!G47,('F_Input Override'!G47))</f>
        <v>0</v>
      </c>
      <c r="H47" s="172">
        <f ca="1">IF('F_Input Override'!H47="",'Consolidated Input'!H47,('F_Input Override'!H47))</f>
        <v>0</v>
      </c>
      <c r="I47" s="172">
        <f ca="1">IF('F_Input Override'!I47="",'Consolidated Input'!I47,('F_Input Override'!I47))</f>
        <v>97</v>
      </c>
      <c r="J47" s="172">
        <f ca="1">IF('F_Input Override'!J47="",'Consolidated Input'!J47,('F_Input Override'!J47))</f>
        <v>98</v>
      </c>
      <c r="K47" s="172">
        <f ca="1">IF('F_Input Override'!K47="",'Consolidated Input'!K47,('F_Input Override'!K47))</f>
        <v>97</v>
      </c>
      <c r="L47" s="172">
        <f ca="1">IF('F_Input Override'!L47="",'Consolidated Input'!L47,('F_Input Override'!L47))</f>
        <v>98</v>
      </c>
      <c r="M47" s="172">
        <f ca="1">IF('F_Input Override'!M47="",'Consolidated Input'!M47,('F_Input Override'!M47))</f>
        <v>0</v>
      </c>
      <c r="N47" s="173">
        <f t="shared" ca="1" si="0"/>
        <v>390</v>
      </c>
    </row>
    <row r="48" spans="1:14">
      <c r="A48" s="154" t="str">
        <f>'F_Input Override'!A47</f>
        <v>NES</v>
      </c>
      <c r="B48" s="154" t="str">
        <f ca="1">Table1[[#This Row],[BON code]]</f>
        <v>CWW1A_015TOT_PR24</v>
      </c>
      <c r="C48" s="170" t="str">
        <f>'F_Input Override'!C48</f>
        <v>Net totex - Total</v>
      </c>
      <c r="D48" s="170" t="str">
        <f>'F_Input Override'!D48</f>
        <v>£m</v>
      </c>
      <c r="E48" s="171" t="str">
        <f>'F_Input Override'!E48</f>
        <v>Price Review 2024</v>
      </c>
      <c r="F48" s="172">
        <f ca="1">IF('F_Input Override'!F48="",'Consolidated Input'!F48,('F_Input Override'!F48))</f>
        <v>0</v>
      </c>
      <c r="G48" s="172">
        <f ca="1">IF('F_Input Override'!G48="",'Consolidated Input'!G48,('F_Input Override'!G48))</f>
        <v>0</v>
      </c>
      <c r="H48" s="172">
        <f ca="1">IF('F_Input Override'!H48="",'Consolidated Input'!H48,('F_Input Override'!H48))</f>
        <v>637.49235151146331</v>
      </c>
      <c r="I48" s="172">
        <f ca="1">IF('F_Input Override'!I48="",'Consolidated Input'!I48,('F_Input Override'!I48))</f>
        <v>649.43938105100824</v>
      </c>
      <c r="J48" s="172">
        <f ca="1">IF('F_Input Override'!J48="",'Consolidated Input'!J48,('F_Input Override'!J48))</f>
        <v>633.75696696428611</v>
      </c>
      <c r="K48" s="172">
        <f ca="1">IF('F_Input Override'!K48="",'Consolidated Input'!K48,('F_Input Override'!K48))</f>
        <v>617.35869124562396</v>
      </c>
      <c r="L48" s="172">
        <f ca="1">IF('F_Input Override'!L48="",'Consolidated Input'!L48,('F_Input Override'!L48))</f>
        <v>590.04476795521828</v>
      </c>
      <c r="M48" s="172">
        <f ca="1">IF('F_Input Override'!M48="",'Consolidated Input'!M48,('F_Input Override'!M48))</f>
        <v>0</v>
      </c>
      <c r="N48" s="173">
        <f t="shared" ca="1" si="0"/>
        <v>3128.0921587275998</v>
      </c>
    </row>
    <row r="49" spans="1:14">
      <c r="A49" s="154" t="str">
        <f>'F_Input Override'!A48</f>
        <v>NES</v>
      </c>
      <c r="B49" s="154" t="str">
        <f ca="1">Table1[[#This Row],[BON code]]</f>
        <v>PR24_NETTOTEX_WASTE</v>
      </c>
      <c r="C49" s="170" t="str">
        <f>'F_Input Override'!C49</f>
        <v>PR24 BP Net totex - Total inc. accelerated &amp; transition costs</v>
      </c>
      <c r="D49" s="170" t="str">
        <f>'F_Input Override'!D49</f>
        <v>£m</v>
      </c>
      <c r="E49" s="171" t="str">
        <f>'F_Input Override'!E49</f>
        <v>Price Review 2024</v>
      </c>
      <c r="F49" s="172">
        <f ca="1">IF('F_Input Override'!F49="",'Consolidated Input'!F49,('F_Input Override'!F49))</f>
        <v>0</v>
      </c>
      <c r="G49" s="172">
        <f ca="1">IF('F_Input Override'!G49="",'Consolidated Input'!G49,('F_Input Override'!G49))</f>
        <v>0</v>
      </c>
      <c r="H49" s="172">
        <f ca="1">IF('F_Input Override'!H49="",'Consolidated Input'!H49,('F_Input Override'!H49))</f>
        <v>0</v>
      </c>
      <c r="I49" s="172">
        <f ca="1">IF('F_Input Override'!I49="",'Consolidated Input'!I49,('F_Input Override'!I49))</f>
        <v>0</v>
      </c>
      <c r="J49" s="172">
        <f ca="1">IF('F_Input Override'!J49="",'Consolidated Input'!J49,('F_Input Override'!J49))</f>
        <v>0</v>
      </c>
      <c r="K49" s="172">
        <f ca="1">IF('F_Input Override'!K49="",'Consolidated Input'!K49,('F_Input Override'!K49))</f>
        <v>0</v>
      </c>
      <c r="L49" s="172">
        <f ca="1">IF('F_Input Override'!L49="",'Consolidated Input'!L49,('F_Input Override'!L49))</f>
        <v>0</v>
      </c>
      <c r="M49" s="172">
        <f ca="1">IF('F_Input Override'!M49="",'Consolidated Input'!M49,('F_Input Override'!M49))</f>
        <v>3207.9274023759344</v>
      </c>
      <c r="N49" s="173">
        <f t="shared" ca="1" si="0"/>
        <v>0</v>
      </c>
    </row>
    <row r="50" spans="1:14">
      <c r="A50" s="154" t="str">
        <f>'F_Input Override'!A49</f>
        <v>NES</v>
      </c>
      <c r="B50" s="154" t="str">
        <f ca="1">Table1[[#This Row],[BON code]]</f>
        <v>CWW12_007TOT_PR24</v>
      </c>
      <c r="C50" s="170" t="str">
        <f>'F_Input Override'!C50</f>
        <v>EA/NRW environmental programme wastewater (WINEP/NEP) - Continuous river water quality monitoring (WINEP/NEP) wastewater capex - Total</v>
      </c>
      <c r="D50" s="170" t="str">
        <f>'F_Input Override'!D50</f>
        <v>£m</v>
      </c>
      <c r="E50" s="171" t="str">
        <f>'F_Input Override'!E50</f>
        <v>Price Review 2024</v>
      </c>
      <c r="F50" s="172">
        <f ca="1">IF('F_Input Override'!F50="",'Consolidated Input'!F50,('F_Input Override'!F50))</f>
        <v>0</v>
      </c>
      <c r="G50" s="172">
        <f ca="1">IF('F_Input Override'!G50="",'Consolidated Input'!G50,('F_Input Override'!G50))</f>
        <v>0</v>
      </c>
      <c r="H50" s="172">
        <f ca="1">IF('F_Input Override'!H50="",'Consolidated Input'!H50,('F_Input Override'!H50))</f>
        <v>0</v>
      </c>
      <c r="I50" s="172">
        <f ca="1">IF('F_Input Override'!I50="",'Consolidated Input'!I50,('F_Input Override'!I50))</f>
        <v>0</v>
      </c>
      <c r="J50" s="172">
        <f ca="1">IF('F_Input Override'!J50="",'Consolidated Input'!J50,('F_Input Override'!J50))</f>
        <v>0</v>
      </c>
      <c r="K50" s="172">
        <f ca="1">IF('F_Input Override'!K50="",'Consolidated Input'!K50,('F_Input Override'!K50))</f>
        <v>0</v>
      </c>
      <c r="L50" s="172">
        <f ca="1">IF('F_Input Override'!L50="",'Consolidated Input'!L50,('F_Input Override'!L50))</f>
        <v>0</v>
      </c>
      <c r="M50" s="172">
        <f ca="1">IF('F_Input Override'!M50="",'Consolidated Input'!M50,('F_Input Override'!M50))</f>
        <v>0</v>
      </c>
      <c r="N50" s="173">
        <f t="shared" ca="1" si="0"/>
        <v>0</v>
      </c>
    </row>
    <row r="51" spans="1:14">
      <c r="A51" s="154" t="str">
        <f>'F_Input Override'!A50</f>
        <v>NES</v>
      </c>
      <c r="B51" s="154" t="str">
        <f ca="1">Table1[[#This Row],[BON code]]</f>
        <v>CWW12_008TOT_PR24</v>
      </c>
      <c r="C51" s="170" t="str">
        <f>'F_Input Override'!C51</f>
        <v>EA/NRW environmental programme wastewater (WINEP/NEP) - Continuous river water quality monitoring (WINEP/NEP) wastewater opex - Total</v>
      </c>
      <c r="D51" s="170" t="str">
        <f>'F_Input Override'!D51</f>
        <v>£m</v>
      </c>
      <c r="E51" s="171" t="str">
        <f>'F_Input Override'!E51</f>
        <v>Price Review 2024</v>
      </c>
      <c r="F51" s="172">
        <f ca="1">IF('F_Input Override'!F51="",'Consolidated Input'!F51,('F_Input Override'!F51))</f>
        <v>0</v>
      </c>
      <c r="G51" s="172">
        <f ca="1">IF('F_Input Override'!G51="",'Consolidated Input'!G51,('F_Input Override'!G51))</f>
        <v>0</v>
      </c>
      <c r="H51" s="172">
        <f ca="1">IF('F_Input Override'!H51="",'Consolidated Input'!H51,('F_Input Override'!H51))</f>
        <v>0</v>
      </c>
      <c r="I51" s="172">
        <f ca="1">IF('F_Input Override'!I51="",'Consolidated Input'!I51,('F_Input Override'!I51))</f>
        <v>0</v>
      </c>
      <c r="J51" s="172">
        <f ca="1">IF('F_Input Override'!J51="",'Consolidated Input'!J51,('F_Input Override'!J51))</f>
        <v>0</v>
      </c>
      <c r="K51" s="172">
        <f ca="1">IF('F_Input Override'!K51="",'Consolidated Input'!K51,('F_Input Override'!K51))</f>
        <v>0</v>
      </c>
      <c r="L51" s="172">
        <f ca="1">IF('F_Input Override'!L51="",'Consolidated Input'!L51,('F_Input Override'!L51))</f>
        <v>0</v>
      </c>
      <c r="M51" s="172">
        <f ca="1">IF('F_Input Override'!M51="",'Consolidated Input'!M51,('F_Input Override'!M51))</f>
        <v>0</v>
      </c>
      <c r="N51" s="173">
        <f t="shared" ca="1" si="0"/>
        <v>0</v>
      </c>
    </row>
    <row r="52" spans="1:14">
      <c r="A52" s="154" t="str">
        <f>'F_Input Override'!A51</f>
        <v>NES</v>
      </c>
      <c r="B52" s="154" t="str">
        <f ca="1">Table1[[#This Row],[BON code]]</f>
        <v>CWW12_009TOT_PR24</v>
      </c>
      <c r="C52" s="170" t="str">
        <f>'F_Input Override'!C52</f>
        <v>EA/NRW environmental programme wastewater (WINEP/NEP) - Continuous river water quality monitoring (WINEP/NEP) wastewater totex - Total</v>
      </c>
      <c r="D52" s="170" t="str">
        <f>'F_Input Override'!D52</f>
        <v>£m</v>
      </c>
      <c r="E52" s="171" t="str">
        <f>'F_Input Override'!E52</f>
        <v>Price Review 2024</v>
      </c>
      <c r="F52" s="172">
        <f ca="1">IF('F_Input Override'!F52="",'Consolidated Input'!F52,('F_Input Override'!F52))</f>
        <v>0</v>
      </c>
      <c r="G52" s="172">
        <f ca="1">IF('F_Input Override'!G52="",'Consolidated Input'!G52,('F_Input Override'!G52))</f>
        <v>0</v>
      </c>
      <c r="H52" s="172">
        <f ca="1">IF('F_Input Override'!H52="",'Consolidated Input'!H52,('F_Input Override'!H52))</f>
        <v>0</v>
      </c>
      <c r="I52" s="172">
        <f ca="1">IF('F_Input Override'!I52="",'Consolidated Input'!I52,('F_Input Override'!I52))</f>
        <v>0</v>
      </c>
      <c r="J52" s="172">
        <f ca="1">IF('F_Input Override'!J52="",'Consolidated Input'!J52,('F_Input Override'!J52))</f>
        <v>0</v>
      </c>
      <c r="K52" s="172">
        <f ca="1">IF('F_Input Override'!K52="",'Consolidated Input'!K52,('F_Input Override'!K52))</f>
        <v>0</v>
      </c>
      <c r="L52" s="172">
        <f ca="1">IF('F_Input Override'!L52="",'Consolidated Input'!L52,('F_Input Override'!L52))</f>
        <v>0</v>
      </c>
      <c r="M52" s="172">
        <f ca="1">IF('F_Input Override'!M52="",'Consolidated Input'!M52,('F_Input Override'!M52))</f>
        <v>0</v>
      </c>
      <c r="N52" s="173">
        <f t="shared" ca="1" si="0"/>
        <v>0</v>
      </c>
    </row>
    <row r="53" spans="1:14">
      <c r="A53" s="154" t="str">
        <f>'F_Input Override'!A52</f>
        <v>NES</v>
      </c>
      <c r="B53" s="154" t="str">
        <f ca="1">Table1[[#This Row],[BON code]]</f>
        <v>CWW17_007TOT_PR24</v>
      </c>
      <c r="C53" s="170" t="str">
        <f>'F_Input Override'!C53</f>
        <v>EA/NRW environmental programme wastewater (WINEP/NEP) - Continuous river water quality monitoring (WINEP/NEP) wastewater capex - Total</v>
      </c>
      <c r="D53" s="170" t="str">
        <f>'F_Input Override'!D53</f>
        <v>£m</v>
      </c>
      <c r="E53" s="171" t="str">
        <f>'F_Input Override'!E53</f>
        <v>Price Review 2024</v>
      </c>
      <c r="F53" s="172">
        <f ca="1">IF('F_Input Override'!F53="",'Consolidated Input'!F53,('F_Input Override'!F53))</f>
        <v>0</v>
      </c>
      <c r="G53" s="172">
        <f ca="1">IF('F_Input Override'!G53="",'Consolidated Input'!G53,('F_Input Override'!G53))</f>
        <v>0</v>
      </c>
      <c r="H53" s="172">
        <f ca="1">IF('F_Input Override'!H53="",'Consolidated Input'!H53,('F_Input Override'!H53))</f>
        <v>0</v>
      </c>
      <c r="I53" s="172">
        <f ca="1">IF('F_Input Override'!I53="",'Consolidated Input'!I53,('F_Input Override'!I53))</f>
        <v>0</v>
      </c>
      <c r="J53" s="172">
        <f ca="1">IF('F_Input Override'!J53="",'Consolidated Input'!J53,('F_Input Override'!J53))</f>
        <v>0</v>
      </c>
      <c r="K53" s="172">
        <f ca="1">IF('F_Input Override'!K53="",'Consolidated Input'!K53,('F_Input Override'!K53))</f>
        <v>0</v>
      </c>
      <c r="L53" s="172">
        <f ca="1">IF('F_Input Override'!L53="",'Consolidated Input'!L53,('F_Input Override'!L53))</f>
        <v>0</v>
      </c>
      <c r="M53" s="172">
        <f ca="1">IF('F_Input Override'!M53="",'Consolidated Input'!M53,('F_Input Override'!M53))</f>
        <v>0</v>
      </c>
      <c r="N53" s="173">
        <f t="shared" ca="1" si="0"/>
        <v>0</v>
      </c>
    </row>
    <row r="54" spans="1:14">
      <c r="A54" s="154" t="str">
        <f>'F_Input Override'!A53</f>
        <v>NES</v>
      </c>
      <c r="B54" s="154" t="str">
        <f ca="1">Table1[[#This Row],[BON code]]</f>
        <v>CWW17_008TOT_PR24</v>
      </c>
      <c r="C54" s="170" t="str">
        <f>'F_Input Override'!C54</f>
        <v>EA/NRW environmental programme wastewater (WINEP/NEP) - Continuous river water quality monitoring (WINEP/NEP) wastewater opex - Total</v>
      </c>
      <c r="D54" s="170" t="str">
        <f>'F_Input Override'!D54</f>
        <v>£m</v>
      </c>
      <c r="E54" s="171" t="str">
        <f>'F_Input Override'!E54</f>
        <v>Price Review 2024</v>
      </c>
      <c r="F54" s="172">
        <f ca="1">IF('F_Input Override'!F54="",'Consolidated Input'!F54,('F_Input Override'!F54))</f>
        <v>0</v>
      </c>
      <c r="G54" s="172">
        <f ca="1">IF('F_Input Override'!G54="",'Consolidated Input'!G54,('F_Input Override'!G54))</f>
        <v>0</v>
      </c>
      <c r="H54" s="172">
        <f ca="1">IF('F_Input Override'!H54="",'Consolidated Input'!H54,('F_Input Override'!H54))</f>
        <v>0</v>
      </c>
      <c r="I54" s="172">
        <f ca="1">IF('F_Input Override'!I54="",'Consolidated Input'!I54,('F_Input Override'!I54))</f>
        <v>0</v>
      </c>
      <c r="J54" s="172">
        <f ca="1">IF('F_Input Override'!J54="",'Consolidated Input'!J54,('F_Input Override'!J54))</f>
        <v>0</v>
      </c>
      <c r="K54" s="172">
        <f ca="1">IF('F_Input Override'!K54="",'Consolidated Input'!K54,('F_Input Override'!K54))</f>
        <v>0</v>
      </c>
      <c r="L54" s="172">
        <f ca="1">IF('F_Input Override'!L54="",'Consolidated Input'!L54,('F_Input Override'!L54))</f>
        <v>0</v>
      </c>
      <c r="M54" s="172">
        <f ca="1">IF('F_Input Override'!M54="",'Consolidated Input'!M54,('F_Input Override'!M54))</f>
        <v>0</v>
      </c>
      <c r="N54" s="173">
        <f t="shared" ca="1" si="0"/>
        <v>0</v>
      </c>
    </row>
    <row r="55" spans="1:14">
      <c r="A55" s="154" t="str">
        <f>'F_Input Override'!A54</f>
        <v>NES</v>
      </c>
      <c r="B55" s="154" t="str">
        <f ca="1">Table1[[#This Row],[BON code]]</f>
        <v>CWW17_009TOT_PR24</v>
      </c>
      <c r="C55" s="170" t="str">
        <f>'F_Input Override'!C55</f>
        <v>EA/NRW environmental programme wastewater (WINEP/NEP) - Continuous river water quality monitoring (WINEP/NEP) wastewater totex - Total</v>
      </c>
      <c r="D55" s="170" t="str">
        <f>'F_Input Override'!D55</f>
        <v>£m</v>
      </c>
      <c r="E55" s="171" t="str">
        <f>'F_Input Override'!E55</f>
        <v>Price Review 2024</v>
      </c>
      <c r="F55" s="172">
        <f ca="1">IF('F_Input Override'!F55="",'Consolidated Input'!F55,('F_Input Override'!F55))</f>
        <v>0</v>
      </c>
      <c r="G55" s="172">
        <f ca="1">IF('F_Input Override'!G55="",'Consolidated Input'!G55,('F_Input Override'!G55))</f>
        <v>0</v>
      </c>
      <c r="H55" s="172">
        <f ca="1">IF('F_Input Override'!H55="",'Consolidated Input'!H55,('F_Input Override'!H55))</f>
        <v>0</v>
      </c>
      <c r="I55" s="172">
        <f ca="1">IF('F_Input Override'!I55="",'Consolidated Input'!I55,('F_Input Override'!I55))</f>
        <v>0</v>
      </c>
      <c r="J55" s="172">
        <f ca="1">IF('F_Input Override'!J55="",'Consolidated Input'!J55,('F_Input Override'!J55))</f>
        <v>0</v>
      </c>
      <c r="K55" s="172">
        <f ca="1">IF('F_Input Override'!K55="",'Consolidated Input'!K55,('F_Input Override'!K55))</f>
        <v>0</v>
      </c>
      <c r="L55" s="172">
        <f ca="1">IF('F_Input Override'!L55="",'Consolidated Input'!L55,('F_Input Override'!L55))</f>
        <v>0</v>
      </c>
      <c r="M55" s="172">
        <f ca="1">IF('F_Input Override'!M55="",'Consolidated Input'!M55,('F_Input Override'!M55))</f>
        <v>0</v>
      </c>
      <c r="N55" s="173">
        <f t="shared" ca="1" si="0"/>
        <v>0</v>
      </c>
    </row>
    <row r="56" spans="1:14">
      <c r="A56" s="154" t="str">
        <f>'F_Input Override'!A55</f>
        <v>NES</v>
      </c>
      <c r="B56" s="154" t="str">
        <f ca="1">Table1[[#This Row],[BON code]]</f>
        <v>CWW20A_049_PR24</v>
      </c>
      <c r="C56" s="170" t="str">
        <f>'F_Input Override'!C56</f>
        <v>Network / Storm overflow data - Number of continuous water quality monitor installations</v>
      </c>
      <c r="D56" s="170" t="str">
        <f>'F_Input Override'!D56</f>
        <v>nr</v>
      </c>
      <c r="E56" s="171" t="str">
        <f>'F_Input Override'!E56</f>
        <v>Price Review 2024</v>
      </c>
      <c r="F56" s="172">
        <f ca="1">IF('F_Input Override'!F56="",'Consolidated Input'!F56,('F_Input Override'!F56))</f>
        <v>0</v>
      </c>
      <c r="G56" s="172">
        <f ca="1">IF('F_Input Override'!G56="",'Consolidated Input'!G56,('F_Input Override'!G56))</f>
        <v>0</v>
      </c>
      <c r="H56" s="172">
        <f ca="1">IF('F_Input Override'!H56="",'Consolidated Input'!H56,('F_Input Override'!H56))</f>
        <v>0</v>
      </c>
      <c r="I56" s="172">
        <f ca="1">IF('F_Input Override'!I56="",'Consolidated Input'!I56,('F_Input Override'!I56))</f>
        <v>0</v>
      </c>
      <c r="J56" s="172">
        <f ca="1">IF('F_Input Override'!J56="",'Consolidated Input'!J56,('F_Input Override'!J56))</f>
        <v>0</v>
      </c>
      <c r="K56" s="172">
        <f ca="1">IF('F_Input Override'!K56="",'Consolidated Input'!K56,('F_Input Override'!K56))</f>
        <v>0</v>
      </c>
      <c r="L56" s="172">
        <f ca="1">IF('F_Input Override'!L56="",'Consolidated Input'!L56,('F_Input Override'!L56))</f>
        <v>0</v>
      </c>
      <c r="M56" s="172">
        <f ca="1">IF('F_Input Override'!M56="",'Consolidated Input'!M56,('F_Input Override'!M56))</f>
        <v>0</v>
      </c>
      <c r="N56" s="173">
        <f t="shared" ca="1" si="0"/>
        <v>0</v>
      </c>
    </row>
    <row r="57" spans="1:14">
      <c r="A57" s="154" t="str">
        <f>'F_Input Override'!A56</f>
        <v>NES</v>
      </c>
      <c r="B57" s="154" t="str">
        <f ca="1">Table1[[#This Row],[BON code]]</f>
        <v>CWW3_007TOT_PR24</v>
      </c>
      <c r="C57" s="170" t="str">
        <f>'F_Input Override'!C57</f>
        <v>EA/NRW environmental programme wastewater (WINEP/NEP) - Continuous river water quality monitoring (WINEP/NEP) wastewater capex - Total</v>
      </c>
      <c r="D57" s="170" t="str">
        <f>'F_Input Override'!D57</f>
        <v>£m</v>
      </c>
      <c r="E57" s="171" t="str">
        <f>'F_Input Override'!E57</f>
        <v>Price Review 2024</v>
      </c>
      <c r="F57" s="172">
        <f ca="1">IF('F_Input Override'!F57="",'Consolidated Input'!F57,('F_Input Override'!F57))</f>
        <v>0</v>
      </c>
      <c r="G57" s="172">
        <f ca="1">IF('F_Input Override'!G57="",'Consolidated Input'!G57,('F_Input Override'!G57))</f>
        <v>0</v>
      </c>
      <c r="H57" s="172">
        <f ca="1">IF('F_Input Override'!H57="",'Consolidated Input'!H57,('F_Input Override'!H57))</f>
        <v>8.4819999999999993</v>
      </c>
      <c r="I57" s="172">
        <f ca="1">IF('F_Input Override'!I57="",'Consolidated Input'!I57,('F_Input Override'!I57))</f>
        <v>8.4819999999999975</v>
      </c>
      <c r="J57" s="172">
        <f ca="1">IF('F_Input Override'!J57="",'Consolidated Input'!J57,('F_Input Override'!J57))</f>
        <v>8.4819999999999975</v>
      </c>
      <c r="K57" s="172">
        <f ca="1">IF('F_Input Override'!K57="",'Consolidated Input'!K57,('F_Input Override'!K57))</f>
        <v>8.4830000000000005</v>
      </c>
      <c r="L57" s="172">
        <f ca="1">IF('F_Input Override'!L57="",'Consolidated Input'!L57,('F_Input Override'!L57))</f>
        <v>8.484</v>
      </c>
      <c r="M57" s="172">
        <f ca="1">IF('F_Input Override'!M57="",'Consolidated Input'!M57,('F_Input Override'!M57))</f>
        <v>0</v>
      </c>
      <c r="N57" s="173">
        <f t="shared" ca="1" si="0"/>
        <v>42.413000000000004</v>
      </c>
    </row>
    <row r="58" spans="1:14">
      <c r="A58" s="154" t="str">
        <f>'F_Input Override'!A57</f>
        <v>SWB</v>
      </c>
      <c r="B58" s="154" t="str">
        <f ca="1">Table1[[#This Row],[BON code]]</f>
        <v>CWW3_008TOT_PR24</v>
      </c>
      <c r="C58" s="170" t="str">
        <f>'F_Input Override'!C58</f>
        <v>EA/NRW environmental programme wastewater (WINEP/NEP) - Continuous river water quality monitoring (WINEP/NEP) wastewater opex - Total</v>
      </c>
      <c r="D58" s="170" t="str">
        <f>'F_Input Override'!D58</f>
        <v>£m</v>
      </c>
      <c r="E58" s="171" t="str">
        <f>'F_Input Override'!E58</f>
        <v>Price Review 2024</v>
      </c>
      <c r="F58" s="172">
        <f ca="1">IF('F_Input Override'!F58="",'Consolidated Input'!F58,('F_Input Override'!F58))</f>
        <v>0</v>
      </c>
      <c r="G58" s="172">
        <f ca="1">IF('F_Input Override'!G58="",'Consolidated Input'!G58,('F_Input Override'!G58))</f>
        <v>0</v>
      </c>
      <c r="H58" s="172">
        <f ca="1">IF('F_Input Override'!H58="",'Consolidated Input'!H58,('F_Input Override'!H58))</f>
        <v>0.79999999999999993</v>
      </c>
      <c r="I58" s="172">
        <f ca="1">IF('F_Input Override'!I58="",'Consolidated Input'!I58,('F_Input Override'!I58))</f>
        <v>1.6</v>
      </c>
      <c r="J58" s="172">
        <f ca="1">IF('F_Input Override'!J58="",'Consolidated Input'!J58,('F_Input Override'!J58))</f>
        <v>2.4</v>
      </c>
      <c r="K58" s="172">
        <f ca="1">IF('F_Input Override'!K58="",'Consolidated Input'!K58,('F_Input Override'!K58))</f>
        <v>3.21</v>
      </c>
      <c r="L58" s="172">
        <f ca="1">IF('F_Input Override'!L58="",'Consolidated Input'!L58,('F_Input Override'!L58))</f>
        <v>4.01</v>
      </c>
      <c r="M58" s="172">
        <f ca="1">IF('F_Input Override'!M58="",'Consolidated Input'!M58,('F_Input Override'!M58))</f>
        <v>0</v>
      </c>
      <c r="N58" s="173">
        <f t="shared" ca="1" si="0"/>
        <v>12.02</v>
      </c>
    </row>
    <row r="59" spans="1:14">
      <c r="A59" s="154" t="str">
        <f>'F_Input Override'!A58</f>
        <v>SWB</v>
      </c>
      <c r="B59" s="154" t="str">
        <f ca="1">Table1[[#This Row],[BON code]]</f>
        <v>CWW3_009TOT_PR24</v>
      </c>
      <c r="C59" s="170" t="str">
        <f>'F_Input Override'!C59</f>
        <v>EA/NRW environmental programme wastewater (WINEP/NEP) - Continuous river water quality monitoring (WINEP/NEP) wastewater totex - Total</v>
      </c>
      <c r="D59" s="170" t="str">
        <f>'F_Input Override'!D59</f>
        <v>£m</v>
      </c>
      <c r="E59" s="171" t="str">
        <f>'F_Input Override'!E59</f>
        <v>Price Review 2024</v>
      </c>
      <c r="F59" s="172">
        <f ca="1">IF('F_Input Override'!F59="",'Consolidated Input'!F59,('F_Input Override'!F59))</f>
        <v>0</v>
      </c>
      <c r="G59" s="172">
        <f ca="1">IF('F_Input Override'!G59="",'Consolidated Input'!G59,('F_Input Override'!G59))</f>
        <v>0</v>
      </c>
      <c r="H59" s="172">
        <f ca="1">IF('F_Input Override'!H59="",'Consolidated Input'!H59,('F_Input Override'!H59))</f>
        <v>9.282</v>
      </c>
      <c r="I59" s="172">
        <f ca="1">IF('F_Input Override'!I59="",'Consolidated Input'!I59,('F_Input Override'!I59))</f>
        <v>10.082000000000001</v>
      </c>
      <c r="J59" s="172">
        <f ca="1">IF('F_Input Override'!J59="",'Consolidated Input'!J59,('F_Input Override'!J59))</f>
        <v>10.882</v>
      </c>
      <c r="K59" s="172">
        <f ca="1">IF('F_Input Override'!K59="",'Consolidated Input'!K59,('F_Input Override'!K59))</f>
        <v>11.693</v>
      </c>
      <c r="L59" s="172">
        <f ca="1">IF('F_Input Override'!L59="",'Consolidated Input'!L59,('F_Input Override'!L59))</f>
        <v>12.494</v>
      </c>
      <c r="M59" s="172">
        <f ca="1">IF('F_Input Override'!M59="",'Consolidated Input'!M59,('F_Input Override'!M59))</f>
        <v>0</v>
      </c>
      <c r="N59" s="173">
        <f t="shared" ca="1" si="0"/>
        <v>54.433</v>
      </c>
    </row>
    <row r="60" spans="1:14">
      <c r="A60" s="155" t="str">
        <f>'F_Input Override'!A59</f>
        <v>SWB</v>
      </c>
      <c r="B60" s="155" t="str">
        <f ca="1">Table1[[#This Row],[BON code]]</f>
        <v>CWW20_049_PR24</v>
      </c>
      <c r="C60" s="170" t="str">
        <f>'F_Input Override'!C60</f>
        <v>Network / Storm overflow data - Number of continuous water quality monitor installations</v>
      </c>
      <c r="D60" s="170" t="str">
        <f>'F_Input Override'!D60</f>
        <v>nr</v>
      </c>
      <c r="E60" s="171" t="str">
        <f>'F_Input Override'!E60</f>
        <v>Price Review 2024</v>
      </c>
      <c r="F60" s="172">
        <f ca="1">IF('F_Input Override'!F60="",'Consolidated Input'!F60,('F_Input Override'!F60))</f>
        <v>0</v>
      </c>
      <c r="G60" s="172">
        <f ca="1">IF('F_Input Override'!G60="",'Consolidated Input'!G60,('F_Input Override'!G60))</f>
        <v>0</v>
      </c>
      <c r="H60" s="172">
        <f ca="1">IF('F_Input Override'!H60="",'Consolidated Input'!H60,('F_Input Override'!H60))</f>
        <v>82</v>
      </c>
      <c r="I60" s="172">
        <f ca="1">IF('F_Input Override'!I60="",'Consolidated Input'!I60,('F_Input Override'!I60))</f>
        <v>82</v>
      </c>
      <c r="J60" s="172">
        <f ca="1">IF('F_Input Override'!J60="",'Consolidated Input'!J60,('F_Input Override'!J60))</f>
        <v>82</v>
      </c>
      <c r="K60" s="172">
        <f ca="1">IF('F_Input Override'!K60="",'Consolidated Input'!K60,('F_Input Override'!K60))</f>
        <v>82</v>
      </c>
      <c r="L60" s="172">
        <f ca="1">IF('F_Input Override'!L60="",'Consolidated Input'!L60,('F_Input Override'!L60))</f>
        <v>81</v>
      </c>
      <c r="M60" s="172">
        <f ca="1">IF('F_Input Override'!M60="",'Consolidated Input'!M60,('F_Input Override'!M60))</f>
        <v>0</v>
      </c>
      <c r="N60" s="173">
        <f t="shared" ca="1" si="0"/>
        <v>409</v>
      </c>
    </row>
    <row r="61" spans="1:14">
      <c r="A61" s="155" t="str">
        <f>'F_Input Override'!A60</f>
        <v>SWB</v>
      </c>
      <c r="B61" s="155" t="str">
        <f ca="1">Table1[[#This Row],[BON code]]</f>
        <v>CWW1A_015TOT_PR24</v>
      </c>
      <c r="C61" s="170" t="str">
        <f>'F_Input Override'!C61</f>
        <v>Net totex - Total</v>
      </c>
      <c r="D61" s="170" t="str">
        <f>'F_Input Override'!D61</f>
        <v>£m</v>
      </c>
      <c r="E61" s="171" t="str">
        <f>'F_Input Override'!E61</f>
        <v>Price Review 2024</v>
      </c>
      <c r="F61" s="172">
        <f ca="1">IF('F_Input Override'!F61="",'Consolidated Input'!F61,('F_Input Override'!F61))</f>
        <v>0</v>
      </c>
      <c r="G61" s="172">
        <f ca="1">IF('F_Input Override'!G61="",'Consolidated Input'!G61,('F_Input Override'!G61))</f>
        <v>0</v>
      </c>
      <c r="H61" s="172">
        <f ca="1">IF('F_Input Override'!H61="",'Consolidated Input'!H61,('F_Input Override'!H61))</f>
        <v>424.43672704840031</v>
      </c>
      <c r="I61" s="172">
        <f ca="1">IF('F_Input Override'!I61="",'Consolidated Input'!I61,('F_Input Override'!I61))</f>
        <v>452.43411651686932</v>
      </c>
      <c r="J61" s="172">
        <f ca="1">IF('F_Input Override'!J61="",'Consolidated Input'!J61,('F_Input Override'!J61))</f>
        <v>438.9042052475661</v>
      </c>
      <c r="K61" s="172">
        <f ca="1">IF('F_Input Override'!K61="",'Consolidated Input'!K61,('F_Input Override'!K61))</f>
        <v>443.81161410521469</v>
      </c>
      <c r="L61" s="172">
        <f ca="1">IF('F_Input Override'!L61="",'Consolidated Input'!L61,('F_Input Override'!L61))</f>
        <v>366.29748727458627</v>
      </c>
      <c r="M61" s="172">
        <f ca="1">IF('F_Input Override'!M61="",'Consolidated Input'!M61,('F_Input Override'!M61))</f>
        <v>0</v>
      </c>
      <c r="N61" s="173">
        <f t="shared" ca="1" si="0"/>
        <v>2125.8841501926368</v>
      </c>
    </row>
    <row r="62" spans="1:14">
      <c r="A62" s="155" t="str">
        <f>'F_Input Override'!A61</f>
        <v>SWB</v>
      </c>
      <c r="B62" s="155" t="str">
        <f ca="1">Table1[[#This Row],[BON code]]</f>
        <v>PR24_NETTOTEX_WASTE</v>
      </c>
      <c r="C62" s="170" t="str">
        <f>'F_Input Override'!C62</f>
        <v>PR24 BP Net totex - Total inc. accelerated &amp; transition costs</v>
      </c>
      <c r="D62" s="170" t="str">
        <f>'F_Input Override'!D62</f>
        <v>£m</v>
      </c>
      <c r="E62" s="171" t="str">
        <f>'F_Input Override'!E62</f>
        <v>Price Review 2024</v>
      </c>
      <c r="F62" s="172">
        <f ca="1">IF('F_Input Override'!F62="",'Consolidated Input'!F62,('F_Input Override'!F62))</f>
        <v>0</v>
      </c>
      <c r="G62" s="172">
        <f ca="1">IF('F_Input Override'!G62="",'Consolidated Input'!G62,('F_Input Override'!G62))</f>
        <v>0</v>
      </c>
      <c r="H62" s="172">
        <f ca="1">IF('F_Input Override'!H62="",'Consolidated Input'!H62,('F_Input Override'!H62))</f>
        <v>0</v>
      </c>
      <c r="I62" s="172">
        <f ca="1">IF('F_Input Override'!I62="",'Consolidated Input'!I62,('F_Input Override'!I62))</f>
        <v>0</v>
      </c>
      <c r="J62" s="172">
        <f ca="1">IF('F_Input Override'!J62="",'Consolidated Input'!J62,('F_Input Override'!J62))</f>
        <v>0</v>
      </c>
      <c r="K62" s="172">
        <f ca="1">IF('F_Input Override'!K62="",'Consolidated Input'!K62,('F_Input Override'!K62))</f>
        <v>0</v>
      </c>
      <c r="L62" s="172">
        <f ca="1">IF('F_Input Override'!L62="",'Consolidated Input'!L62,('F_Input Override'!L62))</f>
        <v>0</v>
      </c>
      <c r="M62" s="172">
        <f ca="1">IF('F_Input Override'!M62="",'Consolidated Input'!M62,('F_Input Override'!M62))</f>
        <v>2220.3792602351086</v>
      </c>
      <c r="N62" s="173">
        <f t="shared" ca="1" si="0"/>
        <v>0</v>
      </c>
    </row>
    <row r="63" spans="1:14">
      <c r="A63" s="155" t="str">
        <f>'F_Input Override'!A62</f>
        <v>SWB</v>
      </c>
      <c r="B63" s="155" t="str">
        <f ca="1">Table1[[#This Row],[BON code]]</f>
        <v>CWW12_007TOT_PR24</v>
      </c>
      <c r="C63" s="170" t="str">
        <f>'F_Input Override'!C63</f>
        <v>EA/NRW environmental programme wastewater (WINEP/NEP) - Continuous river water quality monitoring (WINEP/NEP) wastewater capex - Total</v>
      </c>
      <c r="D63" s="170" t="str">
        <f>'F_Input Override'!D63</f>
        <v>£m</v>
      </c>
      <c r="E63" s="171" t="str">
        <f>'F_Input Override'!E63</f>
        <v>Price Review 2024</v>
      </c>
      <c r="F63" s="172">
        <f ca="1">IF('F_Input Override'!F63="",'Consolidated Input'!F63,('F_Input Override'!F63))</f>
        <v>0</v>
      </c>
      <c r="G63" s="172">
        <f ca="1">IF('F_Input Override'!G63="",'Consolidated Input'!G63,('F_Input Override'!G63))</f>
        <v>0</v>
      </c>
      <c r="H63" s="172">
        <f ca="1">IF('F_Input Override'!H63="",'Consolidated Input'!H63,('F_Input Override'!H63))</f>
        <v>0</v>
      </c>
      <c r="I63" s="172">
        <f ca="1">IF('F_Input Override'!I63="",'Consolidated Input'!I63,('F_Input Override'!I63))</f>
        <v>0</v>
      </c>
      <c r="J63" s="172">
        <f ca="1">IF('F_Input Override'!J63="",'Consolidated Input'!J63,('F_Input Override'!J63))</f>
        <v>0</v>
      </c>
      <c r="K63" s="172">
        <f ca="1">IF('F_Input Override'!K63="",'Consolidated Input'!K63,('F_Input Override'!K63))</f>
        <v>0</v>
      </c>
      <c r="L63" s="172">
        <f ca="1">IF('F_Input Override'!L63="",'Consolidated Input'!L63,('F_Input Override'!L63))</f>
        <v>0</v>
      </c>
      <c r="M63" s="172">
        <f ca="1">IF('F_Input Override'!M63="",'Consolidated Input'!M63,('F_Input Override'!M63))</f>
        <v>0</v>
      </c>
      <c r="N63" s="173">
        <f t="shared" ca="1" si="0"/>
        <v>0</v>
      </c>
    </row>
    <row r="64" spans="1:14">
      <c r="A64" s="155" t="str">
        <f>'F_Input Override'!A63</f>
        <v>SWB</v>
      </c>
      <c r="B64" s="155" t="str">
        <f ca="1">Table1[[#This Row],[BON code]]</f>
        <v>CWW12_008TOT_PR24</v>
      </c>
      <c r="C64" s="170" t="str">
        <f>'F_Input Override'!C64</f>
        <v>EA/NRW environmental programme wastewater (WINEP/NEP) - Continuous river water quality monitoring (WINEP/NEP) wastewater opex - Total</v>
      </c>
      <c r="D64" s="170" t="str">
        <f>'F_Input Override'!D64</f>
        <v>£m</v>
      </c>
      <c r="E64" s="171" t="str">
        <f>'F_Input Override'!E64</f>
        <v>Price Review 2024</v>
      </c>
      <c r="F64" s="172">
        <f ca="1">IF('F_Input Override'!F64="",'Consolidated Input'!F64,('F_Input Override'!F64))</f>
        <v>0</v>
      </c>
      <c r="G64" s="172">
        <f ca="1">IF('F_Input Override'!G64="",'Consolidated Input'!G64,('F_Input Override'!G64))</f>
        <v>0</v>
      </c>
      <c r="H64" s="172">
        <f ca="1">IF('F_Input Override'!H64="",'Consolidated Input'!H64,('F_Input Override'!H64))</f>
        <v>0</v>
      </c>
      <c r="I64" s="172">
        <f ca="1">IF('F_Input Override'!I64="",'Consolidated Input'!I64,('F_Input Override'!I64))</f>
        <v>0</v>
      </c>
      <c r="J64" s="172">
        <f ca="1">IF('F_Input Override'!J64="",'Consolidated Input'!J64,('F_Input Override'!J64))</f>
        <v>0</v>
      </c>
      <c r="K64" s="172">
        <f ca="1">IF('F_Input Override'!K64="",'Consolidated Input'!K64,('F_Input Override'!K64))</f>
        <v>0</v>
      </c>
      <c r="L64" s="172">
        <f ca="1">IF('F_Input Override'!L64="",'Consolidated Input'!L64,('F_Input Override'!L64))</f>
        <v>0</v>
      </c>
      <c r="M64" s="172">
        <f ca="1">IF('F_Input Override'!M64="",'Consolidated Input'!M64,('F_Input Override'!M64))</f>
        <v>0</v>
      </c>
      <c r="N64" s="173">
        <f t="shared" ca="1" si="0"/>
        <v>0</v>
      </c>
    </row>
    <row r="65" spans="1:14">
      <c r="A65" s="155" t="str">
        <f>'F_Input Override'!A64</f>
        <v>SWB</v>
      </c>
      <c r="B65" s="155" t="str">
        <f ca="1">Table1[[#This Row],[BON code]]</f>
        <v>CWW12_009TOT_PR24</v>
      </c>
      <c r="C65" s="170" t="str">
        <f>'F_Input Override'!C65</f>
        <v>EA/NRW environmental programme wastewater (WINEP/NEP) - Continuous river water quality monitoring (WINEP/NEP) wastewater totex - Total</v>
      </c>
      <c r="D65" s="170" t="str">
        <f>'F_Input Override'!D65</f>
        <v>£m</v>
      </c>
      <c r="E65" s="171" t="str">
        <f>'F_Input Override'!E65</f>
        <v>Price Review 2024</v>
      </c>
      <c r="F65" s="172">
        <f ca="1">IF('F_Input Override'!F65="",'Consolidated Input'!F65,('F_Input Override'!F65))</f>
        <v>0</v>
      </c>
      <c r="G65" s="172">
        <f ca="1">IF('F_Input Override'!G65="",'Consolidated Input'!G65,('F_Input Override'!G65))</f>
        <v>0</v>
      </c>
      <c r="H65" s="172">
        <f ca="1">IF('F_Input Override'!H65="",'Consolidated Input'!H65,('F_Input Override'!H65))</f>
        <v>0</v>
      </c>
      <c r="I65" s="172">
        <f ca="1">IF('F_Input Override'!I65="",'Consolidated Input'!I65,('F_Input Override'!I65))</f>
        <v>0</v>
      </c>
      <c r="J65" s="172">
        <f ca="1">IF('F_Input Override'!J65="",'Consolidated Input'!J65,('F_Input Override'!J65))</f>
        <v>0</v>
      </c>
      <c r="K65" s="172">
        <f ca="1">IF('F_Input Override'!K65="",'Consolidated Input'!K65,('F_Input Override'!K65))</f>
        <v>0</v>
      </c>
      <c r="L65" s="172">
        <f ca="1">IF('F_Input Override'!L65="",'Consolidated Input'!L65,('F_Input Override'!L65))</f>
        <v>0</v>
      </c>
      <c r="M65" s="172">
        <f ca="1">IF('F_Input Override'!M65="",'Consolidated Input'!M65,('F_Input Override'!M65))</f>
        <v>0</v>
      </c>
      <c r="N65" s="173">
        <f t="shared" ca="1" si="0"/>
        <v>0</v>
      </c>
    </row>
    <row r="66" spans="1:14">
      <c r="A66" s="155" t="str">
        <f>'F_Input Override'!A65</f>
        <v>SWB</v>
      </c>
      <c r="B66" s="155" t="str">
        <f ca="1">Table1[[#This Row],[BON code]]</f>
        <v>CWW17_007TOT_PR24</v>
      </c>
      <c r="C66" s="170" t="str">
        <f>'F_Input Override'!C66</f>
        <v>EA/NRW environmental programme wastewater (WINEP/NEP) - Continuous river water quality monitoring (WINEP/NEP) wastewater capex - Total</v>
      </c>
      <c r="D66" s="170" t="str">
        <f>'F_Input Override'!D66</f>
        <v>£m</v>
      </c>
      <c r="E66" s="171" t="str">
        <f>'F_Input Override'!E66</f>
        <v>Price Review 2024</v>
      </c>
      <c r="F66" s="172">
        <f ca="1">IF('F_Input Override'!F66="",'Consolidated Input'!F66,('F_Input Override'!F66))</f>
        <v>0</v>
      </c>
      <c r="G66" s="172">
        <f ca="1">IF('F_Input Override'!G66="",'Consolidated Input'!G66,('F_Input Override'!G66))</f>
        <v>0</v>
      </c>
      <c r="H66" s="172">
        <f ca="1">IF('F_Input Override'!H66="",'Consolidated Input'!H66,('F_Input Override'!H66))</f>
        <v>0</v>
      </c>
      <c r="I66" s="172">
        <f ca="1">IF('F_Input Override'!I66="",'Consolidated Input'!I66,('F_Input Override'!I66))</f>
        <v>0</v>
      </c>
      <c r="J66" s="172">
        <f ca="1">IF('F_Input Override'!J66="",'Consolidated Input'!J66,('F_Input Override'!J66))</f>
        <v>0</v>
      </c>
      <c r="K66" s="172">
        <f ca="1">IF('F_Input Override'!K66="",'Consolidated Input'!K66,('F_Input Override'!K66))</f>
        <v>0</v>
      </c>
      <c r="L66" s="172">
        <f ca="1">IF('F_Input Override'!L66="",'Consolidated Input'!L66,('F_Input Override'!L66))</f>
        <v>0</v>
      </c>
      <c r="M66" s="172">
        <f ca="1">IF('F_Input Override'!M66="",'Consolidated Input'!M66,('F_Input Override'!M66))</f>
        <v>0</v>
      </c>
      <c r="N66" s="173">
        <f t="shared" ca="1" si="0"/>
        <v>0</v>
      </c>
    </row>
    <row r="67" spans="1:14">
      <c r="A67" s="155" t="str">
        <f>'F_Input Override'!A66</f>
        <v>SWB</v>
      </c>
      <c r="B67" s="155" t="str">
        <f ca="1">Table1[[#This Row],[BON code]]</f>
        <v>CWW17_008TOT_PR24</v>
      </c>
      <c r="C67" s="170" t="str">
        <f>'F_Input Override'!C67</f>
        <v>EA/NRW environmental programme wastewater (WINEP/NEP) - Continuous river water quality monitoring (WINEP/NEP) wastewater opex - Total</v>
      </c>
      <c r="D67" s="170" t="str">
        <f>'F_Input Override'!D67</f>
        <v>£m</v>
      </c>
      <c r="E67" s="171" t="str">
        <f>'F_Input Override'!E67</f>
        <v>Price Review 2024</v>
      </c>
      <c r="F67" s="172">
        <f ca="1">IF('F_Input Override'!F67="",'Consolidated Input'!F67,('F_Input Override'!F67))</f>
        <v>0</v>
      </c>
      <c r="G67" s="172">
        <f ca="1">IF('F_Input Override'!G67="",'Consolidated Input'!G67,('F_Input Override'!G67))</f>
        <v>0</v>
      </c>
      <c r="H67" s="172">
        <f ca="1">IF('F_Input Override'!H67="",'Consolidated Input'!H67,('F_Input Override'!H67))</f>
        <v>0</v>
      </c>
      <c r="I67" s="172">
        <f ca="1">IF('F_Input Override'!I67="",'Consolidated Input'!I67,('F_Input Override'!I67))</f>
        <v>0</v>
      </c>
      <c r="J67" s="172">
        <f ca="1">IF('F_Input Override'!J67="",'Consolidated Input'!J67,('F_Input Override'!J67))</f>
        <v>0</v>
      </c>
      <c r="K67" s="172">
        <f ca="1">IF('F_Input Override'!K67="",'Consolidated Input'!K67,('F_Input Override'!K67))</f>
        <v>0</v>
      </c>
      <c r="L67" s="172">
        <f ca="1">IF('F_Input Override'!L67="",'Consolidated Input'!L67,('F_Input Override'!L67))</f>
        <v>0</v>
      </c>
      <c r="M67" s="172">
        <f ca="1">IF('F_Input Override'!M67="",'Consolidated Input'!M67,('F_Input Override'!M67))</f>
        <v>0</v>
      </c>
      <c r="N67" s="173">
        <f t="shared" ca="1" si="0"/>
        <v>0</v>
      </c>
    </row>
    <row r="68" spans="1:14">
      <c r="A68" s="155" t="str">
        <f>'F_Input Override'!A67</f>
        <v>SWB</v>
      </c>
      <c r="B68" s="155" t="str">
        <f ca="1">Table1[[#This Row],[BON code]]</f>
        <v>CWW17_009TOT_PR24</v>
      </c>
      <c r="C68" s="170" t="str">
        <f>'F_Input Override'!C68</f>
        <v>EA/NRW environmental programme wastewater (WINEP/NEP) - Continuous river water quality monitoring (WINEP/NEP) wastewater totex - Total</v>
      </c>
      <c r="D68" s="170" t="str">
        <f>'F_Input Override'!D68</f>
        <v>£m</v>
      </c>
      <c r="E68" s="171" t="str">
        <f>'F_Input Override'!E68</f>
        <v>Price Review 2024</v>
      </c>
      <c r="F68" s="172">
        <f ca="1">IF('F_Input Override'!F68="",'Consolidated Input'!F68,('F_Input Override'!F68))</f>
        <v>0</v>
      </c>
      <c r="G68" s="172">
        <f ca="1">IF('F_Input Override'!G68="",'Consolidated Input'!G68,('F_Input Override'!G68))</f>
        <v>0</v>
      </c>
      <c r="H68" s="172">
        <f ca="1">IF('F_Input Override'!H68="",'Consolidated Input'!H68,('F_Input Override'!H68))</f>
        <v>0</v>
      </c>
      <c r="I68" s="172">
        <f ca="1">IF('F_Input Override'!I68="",'Consolidated Input'!I68,('F_Input Override'!I68))</f>
        <v>0</v>
      </c>
      <c r="J68" s="172">
        <f ca="1">IF('F_Input Override'!J68="",'Consolidated Input'!J68,('F_Input Override'!J68))</f>
        <v>0</v>
      </c>
      <c r="K68" s="172">
        <f ca="1">IF('F_Input Override'!K68="",'Consolidated Input'!K68,('F_Input Override'!K68))</f>
        <v>0</v>
      </c>
      <c r="L68" s="172">
        <f ca="1">IF('F_Input Override'!L68="",'Consolidated Input'!L68,('F_Input Override'!L68))</f>
        <v>0</v>
      </c>
      <c r="M68" s="172">
        <f ca="1">IF('F_Input Override'!M68="",'Consolidated Input'!M68,('F_Input Override'!M68))</f>
        <v>0</v>
      </c>
      <c r="N68" s="173">
        <f t="shared" ca="1" si="0"/>
        <v>0</v>
      </c>
    </row>
    <row r="69" spans="1:14">
      <c r="A69" s="155" t="str">
        <f>'F_Input Override'!A68</f>
        <v>SWB</v>
      </c>
      <c r="B69" s="155" t="str">
        <f ca="1">Table1[[#This Row],[BON code]]</f>
        <v>CWW20A_049_PR24</v>
      </c>
      <c r="C69" s="170" t="str">
        <f>'F_Input Override'!C69</f>
        <v>Network / Storm overflow data - Number of continuous water quality monitor installations</v>
      </c>
      <c r="D69" s="170" t="str">
        <f>'F_Input Override'!D69</f>
        <v>nr</v>
      </c>
      <c r="E69" s="171" t="str">
        <f>'F_Input Override'!E69</f>
        <v>Price Review 2024</v>
      </c>
      <c r="F69" s="172">
        <f ca="1">IF('F_Input Override'!F69="",'Consolidated Input'!F69,('F_Input Override'!F69))</f>
        <v>0</v>
      </c>
      <c r="G69" s="172">
        <f ca="1">IF('F_Input Override'!G69="",'Consolidated Input'!G69,('F_Input Override'!G69))</f>
        <v>0</v>
      </c>
      <c r="H69" s="172">
        <f ca="1">IF('F_Input Override'!H69="",'Consolidated Input'!H69,('F_Input Override'!H69))</f>
        <v>0</v>
      </c>
      <c r="I69" s="172">
        <f ca="1">IF('F_Input Override'!I69="",'Consolidated Input'!I69,('F_Input Override'!I69))</f>
        <v>0</v>
      </c>
      <c r="J69" s="172">
        <f ca="1">IF('F_Input Override'!J69="",'Consolidated Input'!J69,('F_Input Override'!J69))</f>
        <v>0</v>
      </c>
      <c r="K69" s="172">
        <f ca="1">IF('F_Input Override'!K69="",'Consolidated Input'!K69,('F_Input Override'!K69))</f>
        <v>0</v>
      </c>
      <c r="L69" s="172">
        <f ca="1">IF('F_Input Override'!L69="",'Consolidated Input'!L69,('F_Input Override'!L69))</f>
        <v>0</v>
      </c>
      <c r="M69" s="172">
        <f ca="1">IF('F_Input Override'!M69="",'Consolidated Input'!M69,('F_Input Override'!M69))</f>
        <v>0</v>
      </c>
      <c r="N69" s="173">
        <f t="shared" ca="1" si="0"/>
        <v>0</v>
      </c>
    </row>
    <row r="70" spans="1:14">
      <c r="A70" s="155" t="str">
        <f>'F_Input Override'!A69</f>
        <v>SWB</v>
      </c>
      <c r="B70" s="155" t="str">
        <f ca="1">Table1[[#This Row],[BON code]]</f>
        <v>CWW3_007TOT_PR24</v>
      </c>
      <c r="C70" s="170" t="str">
        <f>'F_Input Override'!C70</f>
        <v>EA/NRW environmental programme wastewater (WINEP/NEP) - Continuous river water quality monitoring (WINEP/NEP) wastewater capex - Total</v>
      </c>
      <c r="D70" s="170" t="str">
        <f>'F_Input Override'!D70</f>
        <v>£m</v>
      </c>
      <c r="E70" s="171" t="str">
        <f>'F_Input Override'!E70</f>
        <v>Price Review 2024</v>
      </c>
      <c r="F70" s="172">
        <f ca="1">IF('F_Input Override'!F70="",'Consolidated Input'!F70,('F_Input Override'!F70))</f>
        <v>0</v>
      </c>
      <c r="G70" s="172">
        <f ca="1">IF('F_Input Override'!G70="",'Consolidated Input'!G70,('F_Input Override'!G70))</f>
        <v>0</v>
      </c>
      <c r="H70" s="172">
        <f ca="1">IF('F_Input Override'!H70="",'Consolidated Input'!H70,('F_Input Override'!H70))</f>
        <v>9.3602482771628619</v>
      </c>
      <c r="I70" s="172">
        <f ca="1">IF('F_Input Override'!I70="",'Consolidated Input'!I70,('F_Input Override'!I70))</f>
        <v>25.06536475297904</v>
      </c>
      <c r="J70" s="172">
        <f ca="1">IF('F_Input Override'!J70="",'Consolidated Input'!J70,('F_Input Override'!J70))</f>
        <v>25.217983996970261</v>
      </c>
      <c r="K70" s="172">
        <f ca="1">IF('F_Input Override'!K70="",'Consolidated Input'!K70,('F_Input Override'!K70))</f>
        <v>25.371532176351359</v>
      </c>
      <c r="L70" s="172">
        <f ca="1">IF('F_Input Override'!L70="",'Consolidated Input'!L70,('F_Input Override'!L70))</f>
        <v>25.52601596625794</v>
      </c>
      <c r="M70" s="172">
        <f ca="1">IF('F_Input Override'!M70="",'Consolidated Input'!M70,('F_Input Override'!M70))</f>
        <v>0</v>
      </c>
      <c r="N70" s="173">
        <f t="shared" ref="N70:N133" ca="1" si="1">SUM(F70:L70)</f>
        <v>110.54114516972146</v>
      </c>
    </row>
    <row r="71" spans="1:14">
      <c r="A71" s="155" t="str">
        <f>'F_Input Override'!A70</f>
        <v>SVE</v>
      </c>
      <c r="B71" s="155" t="str">
        <f ca="1">Table1[[#This Row],[BON code]]</f>
        <v>CWW3_008TOT_PR24</v>
      </c>
      <c r="C71" s="170" t="str">
        <f>'F_Input Override'!C71</f>
        <v>EA/NRW environmental programme wastewater (WINEP/NEP) - Continuous river water quality monitoring (WINEP/NEP) wastewater opex - Total</v>
      </c>
      <c r="D71" s="170" t="str">
        <f>'F_Input Override'!D71</f>
        <v>£m</v>
      </c>
      <c r="E71" s="171" t="str">
        <f>'F_Input Override'!E71</f>
        <v>Price Review 2024</v>
      </c>
      <c r="F71" s="172">
        <f ca="1">IF('F_Input Override'!F71="",'Consolidated Input'!F71,('F_Input Override'!F71))</f>
        <v>0</v>
      </c>
      <c r="G71" s="172">
        <f ca="1">IF('F_Input Override'!G71="",'Consolidated Input'!G71,('F_Input Override'!G71))</f>
        <v>0</v>
      </c>
      <c r="H71" s="172">
        <f ca="1">IF('F_Input Override'!H71="",'Consolidated Input'!H71,('F_Input Override'!H71))</f>
        <v>0.17641498513490539</v>
      </c>
      <c r="I71" s="172">
        <f ca="1">IF('F_Input Override'!I71="",'Consolidated Input'!I71,('F_Input Override'!I71))</f>
        <v>1.4727795452934</v>
      </c>
      <c r="J71" s="172">
        <f ca="1">IF('F_Input Override'!J71="",'Consolidated Input'!J71,('F_Input Override'!J71))</f>
        <v>4.4063431072326198</v>
      </c>
      <c r="K71" s="172">
        <f ca="1">IF('F_Input Override'!K71="",'Consolidated Input'!K71,('F_Input Override'!K71))</f>
        <v>7.2175380334214703</v>
      </c>
      <c r="L71" s="172">
        <f ca="1">IF('F_Input Override'!L71="",'Consolidated Input'!L71,('F_Input Override'!L71))</f>
        <v>9.7805257958183969</v>
      </c>
      <c r="M71" s="172">
        <f ca="1">IF('F_Input Override'!M71="",'Consolidated Input'!M71,('F_Input Override'!M71))</f>
        <v>0</v>
      </c>
      <c r="N71" s="173">
        <f t="shared" ca="1" si="1"/>
        <v>23.053601466900794</v>
      </c>
    </row>
    <row r="72" spans="1:14">
      <c r="A72" s="155" t="str">
        <f>'F_Input Override'!A71</f>
        <v>SVE</v>
      </c>
      <c r="B72" s="155" t="str">
        <f ca="1">Table1[[#This Row],[BON code]]</f>
        <v>CWW3_009TOT_PR24</v>
      </c>
      <c r="C72" s="170" t="str">
        <f>'F_Input Override'!C72</f>
        <v>EA/NRW environmental programme wastewater (WINEP/NEP) - Continuous river water quality monitoring (WINEP/NEP) wastewater totex - Total</v>
      </c>
      <c r="D72" s="170" t="str">
        <f>'F_Input Override'!D72</f>
        <v>£m</v>
      </c>
      <c r="E72" s="171" t="str">
        <f>'F_Input Override'!E72</f>
        <v>Price Review 2024</v>
      </c>
      <c r="F72" s="172">
        <f ca="1">IF('F_Input Override'!F72="",'Consolidated Input'!F72,('F_Input Override'!F72))</f>
        <v>0</v>
      </c>
      <c r="G72" s="172">
        <f ca="1">IF('F_Input Override'!G72="",'Consolidated Input'!G72,('F_Input Override'!G72))</f>
        <v>0</v>
      </c>
      <c r="H72" s="172">
        <f ca="1">IF('F_Input Override'!H72="",'Consolidated Input'!H72,('F_Input Override'!H72))</f>
        <v>9.5366632622977665</v>
      </c>
      <c r="I72" s="172">
        <f ca="1">IF('F_Input Override'!I72="",'Consolidated Input'!I72,('F_Input Override'!I72))</f>
        <v>26.538144298272439</v>
      </c>
      <c r="J72" s="172">
        <f ca="1">IF('F_Input Override'!J72="",'Consolidated Input'!J72,('F_Input Override'!J72))</f>
        <v>29.62432710420288</v>
      </c>
      <c r="K72" s="172">
        <f ca="1">IF('F_Input Override'!K72="",'Consolidated Input'!K72,('F_Input Override'!K72))</f>
        <v>32.589070209772828</v>
      </c>
      <c r="L72" s="172">
        <f ca="1">IF('F_Input Override'!L72="",'Consolidated Input'!L72,('F_Input Override'!L72))</f>
        <v>35.306541762076343</v>
      </c>
      <c r="M72" s="172">
        <f ca="1">IF('F_Input Override'!M72="",'Consolidated Input'!M72,('F_Input Override'!M72))</f>
        <v>0</v>
      </c>
      <c r="N72" s="173">
        <f t="shared" ca="1" si="1"/>
        <v>133.59474663662226</v>
      </c>
    </row>
    <row r="73" spans="1:14">
      <c r="A73" s="155" t="str">
        <f>'F_Input Override'!A72</f>
        <v>SVE</v>
      </c>
      <c r="B73" s="155" t="str">
        <f ca="1">Table1[[#This Row],[BON code]]</f>
        <v>CWW20_049_PR24</v>
      </c>
      <c r="C73" s="170" t="str">
        <f>'F_Input Override'!C73</f>
        <v>Network / Storm overflow data - Number of continuous water quality monitor installations</v>
      </c>
      <c r="D73" s="170" t="str">
        <f>'F_Input Override'!D73</f>
        <v>nr</v>
      </c>
      <c r="E73" s="171" t="str">
        <f>'F_Input Override'!E73</f>
        <v>Price Review 2024</v>
      </c>
      <c r="F73" s="172">
        <f ca="1">IF('F_Input Override'!F73="",'Consolidated Input'!F73,('F_Input Override'!F73))</f>
        <v>0</v>
      </c>
      <c r="G73" s="172">
        <f ca="1">IF('F_Input Override'!G73="",'Consolidated Input'!G73,('F_Input Override'!G73))</f>
        <v>0</v>
      </c>
      <c r="H73" s="172">
        <f ca="1">IF('F_Input Override'!H73="",'Consolidated Input'!H73,('F_Input Override'!H73))</f>
        <v>0</v>
      </c>
      <c r="I73" s="172">
        <f ca="1">IF('F_Input Override'!I73="",'Consolidated Input'!I73,('F_Input Override'!I73))</f>
        <v>250</v>
      </c>
      <c r="J73" s="172">
        <f ca="1">IF('F_Input Override'!J73="",'Consolidated Input'!J73,('F_Input Override'!J73))</f>
        <v>250</v>
      </c>
      <c r="K73" s="172">
        <f ca="1">IF('F_Input Override'!K73="",'Consolidated Input'!K73,('F_Input Override'!K73))</f>
        <v>250</v>
      </c>
      <c r="L73" s="172">
        <f ca="1">IF('F_Input Override'!L73="",'Consolidated Input'!L73,('F_Input Override'!L73))</f>
        <v>250</v>
      </c>
      <c r="M73" s="172">
        <f ca="1">IF('F_Input Override'!M73="",'Consolidated Input'!M73,('F_Input Override'!M73))</f>
        <v>0</v>
      </c>
      <c r="N73" s="173">
        <f t="shared" ca="1" si="1"/>
        <v>1000</v>
      </c>
    </row>
    <row r="74" spans="1:14">
      <c r="A74" s="155" t="str">
        <f>'F_Input Override'!A73</f>
        <v>SVE</v>
      </c>
      <c r="B74" s="155" t="str">
        <f ca="1">Table1[[#This Row],[BON code]]</f>
        <v>CWW1A_015TOT_PR24</v>
      </c>
      <c r="C74" s="170" t="str">
        <f>'F_Input Override'!C74</f>
        <v>Net totex - Total</v>
      </c>
      <c r="D74" s="170" t="str">
        <f>'F_Input Override'!D74</f>
        <v>£m</v>
      </c>
      <c r="E74" s="171" t="str">
        <f>'F_Input Override'!E74</f>
        <v>Price Review 2024</v>
      </c>
      <c r="F74" s="172">
        <f ca="1">IF('F_Input Override'!F74="",'Consolidated Input'!F74,('F_Input Override'!F74))</f>
        <v>0</v>
      </c>
      <c r="G74" s="172">
        <f ca="1">IF('F_Input Override'!G74="",'Consolidated Input'!G74,('F_Input Override'!G74))</f>
        <v>0</v>
      </c>
      <c r="H74" s="172">
        <f ca="1">IF('F_Input Override'!H74="",'Consolidated Input'!H74,('F_Input Override'!H74))</f>
        <v>1627.130482039277</v>
      </c>
      <c r="I74" s="172">
        <f ca="1">IF('F_Input Override'!I74="",'Consolidated Input'!I74,('F_Input Override'!I74))</f>
        <v>1799.6345533549929</v>
      </c>
      <c r="J74" s="172">
        <f ca="1">IF('F_Input Override'!J74="",'Consolidated Input'!J74,('F_Input Override'!J74))</f>
        <v>1751.178437326055</v>
      </c>
      <c r="K74" s="172">
        <f ca="1">IF('F_Input Override'!K74="",'Consolidated Input'!K74,('F_Input Override'!K74))</f>
        <v>1716.7333477224111</v>
      </c>
      <c r="L74" s="172">
        <f ca="1">IF('F_Input Override'!L74="",'Consolidated Input'!L74,('F_Input Override'!L74))</f>
        <v>1480.0957061431859</v>
      </c>
      <c r="M74" s="172">
        <f ca="1">IF('F_Input Override'!M74="",'Consolidated Input'!M74,('F_Input Override'!M74))</f>
        <v>0</v>
      </c>
      <c r="N74" s="173">
        <f t="shared" ca="1" si="1"/>
        <v>8374.7725265859226</v>
      </c>
    </row>
    <row r="75" spans="1:14">
      <c r="A75" s="155" t="str">
        <f>'F_Input Override'!A74</f>
        <v>SVE</v>
      </c>
      <c r="B75" s="155" t="str">
        <f ca="1">Table1[[#This Row],[BON code]]</f>
        <v>PR24_NETTOTEX_WASTE</v>
      </c>
      <c r="C75" s="170" t="str">
        <f>'F_Input Override'!C75</f>
        <v>PR24 BP Net totex - Total inc. accelerated &amp; transition costs</v>
      </c>
      <c r="D75" s="170" t="str">
        <f>'F_Input Override'!D75</f>
        <v>£m</v>
      </c>
      <c r="E75" s="171" t="str">
        <f>'F_Input Override'!E75</f>
        <v>Price Review 2024</v>
      </c>
      <c r="F75" s="172">
        <f ca="1">IF('F_Input Override'!F75="",'Consolidated Input'!F75,('F_Input Override'!F75))</f>
        <v>0</v>
      </c>
      <c r="G75" s="172">
        <f ca="1">IF('F_Input Override'!G75="",'Consolidated Input'!G75,('F_Input Override'!G75))</f>
        <v>0</v>
      </c>
      <c r="H75" s="172">
        <f ca="1">IF('F_Input Override'!H75="",'Consolidated Input'!H75,('F_Input Override'!H75))</f>
        <v>0</v>
      </c>
      <c r="I75" s="172">
        <f ca="1">IF('F_Input Override'!I75="",'Consolidated Input'!I75,('F_Input Override'!I75))</f>
        <v>0</v>
      </c>
      <c r="J75" s="172">
        <f ca="1">IF('F_Input Override'!J75="",'Consolidated Input'!J75,('F_Input Override'!J75))</f>
        <v>0</v>
      </c>
      <c r="K75" s="172">
        <f ca="1">IF('F_Input Override'!K75="",'Consolidated Input'!K75,('F_Input Override'!K75))</f>
        <v>0</v>
      </c>
      <c r="L75" s="172">
        <f ca="1">IF('F_Input Override'!L75="",'Consolidated Input'!L75,('F_Input Override'!L75))</f>
        <v>0</v>
      </c>
      <c r="M75" s="172">
        <f ca="1">IF('F_Input Override'!M75="",'Consolidated Input'!M75,('F_Input Override'!M75))</f>
        <v>8618.71199666149</v>
      </c>
      <c r="N75" s="173">
        <f t="shared" ca="1" si="1"/>
        <v>0</v>
      </c>
    </row>
    <row r="76" spans="1:14">
      <c r="A76" s="155" t="str">
        <f>'F_Input Override'!A75</f>
        <v>SVE</v>
      </c>
      <c r="B76" s="155" t="str">
        <f ca="1">Table1[[#This Row],[BON code]]</f>
        <v>CWW12_007TOT_PR24</v>
      </c>
      <c r="C76" s="170" t="str">
        <f>'F_Input Override'!C76</f>
        <v>EA/NRW environmental programme wastewater (WINEP/NEP) - Continuous river water quality monitoring (WINEP/NEP) wastewater capex - Total</v>
      </c>
      <c r="D76" s="170" t="str">
        <f>'F_Input Override'!D76</f>
        <v>£m</v>
      </c>
      <c r="E76" s="171" t="str">
        <f>'F_Input Override'!E76</f>
        <v>Price Review 2024</v>
      </c>
      <c r="F76" s="172">
        <f ca="1">IF('F_Input Override'!F76="",'Consolidated Input'!F76,('F_Input Override'!F76))</f>
        <v>0</v>
      </c>
      <c r="G76" s="172">
        <f ca="1">IF('F_Input Override'!G76="",'Consolidated Input'!G76,('F_Input Override'!G76))</f>
        <v>0.7524168125794064</v>
      </c>
      <c r="H76" s="172">
        <f ca="1">IF('F_Input Override'!H76="",'Consolidated Input'!H76,('F_Input Override'!H76))</f>
        <v>0</v>
      </c>
      <c r="I76" s="172">
        <f ca="1">IF('F_Input Override'!I76="",'Consolidated Input'!I76,('F_Input Override'!I76))</f>
        <v>0</v>
      </c>
      <c r="J76" s="172">
        <f ca="1">IF('F_Input Override'!J76="",'Consolidated Input'!J76,('F_Input Override'!J76))</f>
        <v>0</v>
      </c>
      <c r="K76" s="172">
        <f ca="1">IF('F_Input Override'!K76="",'Consolidated Input'!K76,('F_Input Override'!K76))</f>
        <v>0</v>
      </c>
      <c r="L76" s="172">
        <f ca="1">IF('F_Input Override'!L76="",'Consolidated Input'!L76,('F_Input Override'!L76))</f>
        <v>0</v>
      </c>
      <c r="M76" s="172">
        <f ca="1">IF('F_Input Override'!M76="",'Consolidated Input'!M76,('F_Input Override'!M76))</f>
        <v>0</v>
      </c>
      <c r="N76" s="173">
        <f t="shared" ca="1" si="1"/>
        <v>0.7524168125794064</v>
      </c>
    </row>
    <row r="77" spans="1:14">
      <c r="A77" s="155" t="str">
        <f>'F_Input Override'!A76</f>
        <v>SVE</v>
      </c>
      <c r="B77" s="155" t="str">
        <f ca="1">Table1[[#This Row],[BON code]]</f>
        <v>CWW12_008TOT_PR24</v>
      </c>
      <c r="C77" s="170" t="str">
        <f>'F_Input Override'!C77</f>
        <v>EA/NRW environmental programme wastewater (WINEP/NEP) - Continuous river water quality monitoring (WINEP/NEP) wastewater opex - Total</v>
      </c>
      <c r="D77" s="170" t="str">
        <f>'F_Input Override'!D77</f>
        <v>£m</v>
      </c>
      <c r="E77" s="171" t="str">
        <f>'F_Input Override'!E77</f>
        <v>Price Review 2024</v>
      </c>
      <c r="F77" s="172">
        <f ca="1">IF('F_Input Override'!F77="",'Consolidated Input'!F77,('F_Input Override'!F77))</f>
        <v>0</v>
      </c>
      <c r="G77" s="172">
        <f ca="1">IF('F_Input Override'!G77="",'Consolidated Input'!G77,('F_Input Override'!G77))</f>
        <v>0</v>
      </c>
      <c r="H77" s="172">
        <f ca="1">IF('F_Input Override'!H77="",'Consolidated Input'!H77,('F_Input Override'!H77))</f>
        <v>0</v>
      </c>
      <c r="I77" s="172">
        <f ca="1">IF('F_Input Override'!I77="",'Consolidated Input'!I77,('F_Input Override'!I77))</f>
        <v>0</v>
      </c>
      <c r="J77" s="172">
        <f ca="1">IF('F_Input Override'!J77="",'Consolidated Input'!J77,('F_Input Override'!J77))</f>
        <v>0</v>
      </c>
      <c r="K77" s="172">
        <f ca="1">IF('F_Input Override'!K77="",'Consolidated Input'!K77,('F_Input Override'!K77))</f>
        <v>0</v>
      </c>
      <c r="L77" s="172">
        <f ca="1">IF('F_Input Override'!L77="",'Consolidated Input'!L77,('F_Input Override'!L77))</f>
        <v>0</v>
      </c>
      <c r="M77" s="172">
        <f ca="1">IF('F_Input Override'!M77="",'Consolidated Input'!M77,('F_Input Override'!M77))</f>
        <v>0</v>
      </c>
      <c r="N77" s="173">
        <f t="shared" ca="1" si="1"/>
        <v>0</v>
      </c>
    </row>
    <row r="78" spans="1:14">
      <c r="A78" s="155" t="str">
        <f>'F_Input Override'!A77</f>
        <v>SVE</v>
      </c>
      <c r="B78" s="155" t="str">
        <f ca="1">Table1[[#This Row],[BON code]]</f>
        <v>CWW12_009TOT_PR24</v>
      </c>
      <c r="C78" s="170" t="str">
        <f>'F_Input Override'!C78</f>
        <v>EA/NRW environmental programme wastewater (WINEP/NEP) - Continuous river water quality monitoring (WINEP/NEP) wastewater totex - Total</v>
      </c>
      <c r="D78" s="170" t="str">
        <f>'F_Input Override'!D78</f>
        <v>£m</v>
      </c>
      <c r="E78" s="171" t="str">
        <f>'F_Input Override'!E78</f>
        <v>Price Review 2024</v>
      </c>
      <c r="F78" s="172">
        <f ca="1">IF('F_Input Override'!F78="",'Consolidated Input'!F78,('F_Input Override'!F78))</f>
        <v>0</v>
      </c>
      <c r="G78" s="172">
        <f ca="1">IF('F_Input Override'!G78="",'Consolidated Input'!G78,('F_Input Override'!G78))</f>
        <v>0.7524168125794064</v>
      </c>
      <c r="H78" s="172">
        <f ca="1">IF('F_Input Override'!H78="",'Consolidated Input'!H78,('F_Input Override'!H78))</f>
        <v>0</v>
      </c>
      <c r="I78" s="172">
        <f ca="1">IF('F_Input Override'!I78="",'Consolidated Input'!I78,('F_Input Override'!I78))</f>
        <v>0</v>
      </c>
      <c r="J78" s="172">
        <f ca="1">IF('F_Input Override'!J78="",'Consolidated Input'!J78,('F_Input Override'!J78))</f>
        <v>0</v>
      </c>
      <c r="K78" s="172">
        <f ca="1">IF('F_Input Override'!K78="",'Consolidated Input'!K78,('F_Input Override'!K78))</f>
        <v>0</v>
      </c>
      <c r="L78" s="172">
        <f ca="1">IF('F_Input Override'!L78="",'Consolidated Input'!L78,('F_Input Override'!L78))</f>
        <v>0</v>
      </c>
      <c r="M78" s="172">
        <f ca="1">IF('F_Input Override'!M78="",'Consolidated Input'!M78,('F_Input Override'!M78))</f>
        <v>0</v>
      </c>
      <c r="N78" s="173">
        <f t="shared" ca="1" si="1"/>
        <v>0.7524168125794064</v>
      </c>
    </row>
    <row r="79" spans="1:14">
      <c r="A79" s="155" t="str">
        <f>'F_Input Override'!A78</f>
        <v>SVE</v>
      </c>
      <c r="B79" s="155" t="str">
        <f ca="1">Table1[[#This Row],[BON code]]</f>
        <v>CWW17_007TOT_PR24</v>
      </c>
      <c r="C79" s="170" t="str">
        <f>'F_Input Override'!C79</f>
        <v>EA/NRW environmental programme wastewater (WINEP/NEP) - Continuous river water quality monitoring (WINEP/NEP) wastewater capex - Total</v>
      </c>
      <c r="D79" s="170" t="str">
        <f>'F_Input Override'!D79</f>
        <v>£m</v>
      </c>
      <c r="E79" s="171" t="str">
        <f>'F_Input Override'!E79</f>
        <v>Price Review 2024</v>
      </c>
      <c r="F79" s="172">
        <f ca="1">IF('F_Input Override'!F79="",'Consolidated Input'!F79,('F_Input Override'!F79))</f>
        <v>0</v>
      </c>
      <c r="G79" s="172">
        <f ca="1">IF('F_Input Override'!G79="",'Consolidated Input'!G79,('F_Input Override'!G79))</f>
        <v>0</v>
      </c>
      <c r="H79" s="172">
        <f ca="1">IF('F_Input Override'!H79="",'Consolidated Input'!H79,('F_Input Override'!H79))</f>
        <v>0</v>
      </c>
      <c r="I79" s="172">
        <f ca="1">IF('F_Input Override'!I79="",'Consolidated Input'!I79,('F_Input Override'!I79))</f>
        <v>0</v>
      </c>
      <c r="J79" s="172">
        <f ca="1">IF('F_Input Override'!J79="",'Consolidated Input'!J79,('F_Input Override'!J79))</f>
        <v>0</v>
      </c>
      <c r="K79" s="172">
        <f ca="1">IF('F_Input Override'!K79="",'Consolidated Input'!K79,('F_Input Override'!K79))</f>
        <v>0</v>
      </c>
      <c r="L79" s="172">
        <f ca="1">IF('F_Input Override'!L79="",'Consolidated Input'!L79,('F_Input Override'!L79))</f>
        <v>0</v>
      </c>
      <c r="M79" s="172">
        <f ca="1">IF('F_Input Override'!M79="",'Consolidated Input'!M79,('F_Input Override'!M79))</f>
        <v>0</v>
      </c>
      <c r="N79" s="173">
        <f t="shared" ca="1" si="1"/>
        <v>0</v>
      </c>
    </row>
    <row r="80" spans="1:14">
      <c r="A80" s="155" t="str">
        <f>'F_Input Override'!A79</f>
        <v>SVE</v>
      </c>
      <c r="B80" s="155" t="str">
        <f ca="1">Table1[[#This Row],[BON code]]</f>
        <v>CWW17_008TOT_PR24</v>
      </c>
      <c r="C80" s="170" t="str">
        <f>'F_Input Override'!C80</f>
        <v>EA/NRW environmental programme wastewater (WINEP/NEP) - Continuous river water quality monitoring (WINEP/NEP) wastewater opex - Total</v>
      </c>
      <c r="D80" s="170" t="str">
        <f>'F_Input Override'!D80</f>
        <v>£m</v>
      </c>
      <c r="E80" s="171" t="str">
        <f>'F_Input Override'!E80</f>
        <v>Price Review 2024</v>
      </c>
      <c r="F80" s="172">
        <f ca="1">IF('F_Input Override'!F80="",'Consolidated Input'!F80,('F_Input Override'!F80))</f>
        <v>0</v>
      </c>
      <c r="G80" s="172">
        <f ca="1">IF('F_Input Override'!G80="",'Consolidated Input'!G80,('F_Input Override'!G80))</f>
        <v>0</v>
      </c>
      <c r="H80" s="172">
        <f ca="1">IF('F_Input Override'!H80="",'Consolidated Input'!H80,('F_Input Override'!H80))</f>
        <v>0</v>
      </c>
      <c r="I80" s="172">
        <f ca="1">IF('F_Input Override'!I80="",'Consolidated Input'!I80,('F_Input Override'!I80))</f>
        <v>0</v>
      </c>
      <c r="J80" s="172">
        <f ca="1">IF('F_Input Override'!J80="",'Consolidated Input'!J80,('F_Input Override'!J80))</f>
        <v>0</v>
      </c>
      <c r="K80" s="172">
        <f ca="1">IF('F_Input Override'!K80="",'Consolidated Input'!K80,('F_Input Override'!K80))</f>
        <v>0</v>
      </c>
      <c r="L80" s="172">
        <f ca="1">IF('F_Input Override'!L80="",'Consolidated Input'!L80,('F_Input Override'!L80))</f>
        <v>0</v>
      </c>
      <c r="M80" s="172">
        <f ca="1">IF('F_Input Override'!M80="",'Consolidated Input'!M80,('F_Input Override'!M80))</f>
        <v>0</v>
      </c>
      <c r="N80" s="173">
        <f t="shared" ca="1" si="1"/>
        <v>0</v>
      </c>
    </row>
    <row r="81" spans="1:14">
      <c r="A81" s="155" t="str">
        <f>'F_Input Override'!A80</f>
        <v>SVE</v>
      </c>
      <c r="B81" s="155" t="str">
        <f ca="1">Table1[[#This Row],[BON code]]</f>
        <v>CWW17_009TOT_PR24</v>
      </c>
      <c r="C81" s="170" t="str">
        <f>'F_Input Override'!C81</f>
        <v>EA/NRW environmental programme wastewater (WINEP/NEP) - Continuous river water quality monitoring (WINEP/NEP) wastewater totex - Total</v>
      </c>
      <c r="D81" s="170" t="str">
        <f>'F_Input Override'!D81</f>
        <v>£m</v>
      </c>
      <c r="E81" s="171" t="str">
        <f>'F_Input Override'!E81</f>
        <v>Price Review 2024</v>
      </c>
      <c r="F81" s="172">
        <f ca="1">IF('F_Input Override'!F81="",'Consolidated Input'!F81,('F_Input Override'!F81))</f>
        <v>0</v>
      </c>
      <c r="G81" s="172">
        <f ca="1">IF('F_Input Override'!G81="",'Consolidated Input'!G81,('F_Input Override'!G81))</f>
        <v>0</v>
      </c>
      <c r="H81" s="172">
        <f ca="1">IF('F_Input Override'!H81="",'Consolidated Input'!H81,('F_Input Override'!H81))</f>
        <v>0</v>
      </c>
      <c r="I81" s="172">
        <f ca="1">IF('F_Input Override'!I81="",'Consolidated Input'!I81,('F_Input Override'!I81))</f>
        <v>0</v>
      </c>
      <c r="J81" s="172">
        <f ca="1">IF('F_Input Override'!J81="",'Consolidated Input'!J81,('F_Input Override'!J81))</f>
        <v>0</v>
      </c>
      <c r="K81" s="172">
        <f ca="1">IF('F_Input Override'!K81="",'Consolidated Input'!K81,('F_Input Override'!K81))</f>
        <v>0</v>
      </c>
      <c r="L81" s="172">
        <f ca="1">IF('F_Input Override'!L81="",'Consolidated Input'!L81,('F_Input Override'!L81))</f>
        <v>0</v>
      </c>
      <c r="M81" s="172">
        <f ca="1">IF('F_Input Override'!M81="",'Consolidated Input'!M81,('F_Input Override'!M81))</f>
        <v>0</v>
      </c>
      <c r="N81" s="173">
        <f t="shared" ca="1" si="1"/>
        <v>0</v>
      </c>
    </row>
    <row r="82" spans="1:14">
      <c r="A82" s="155" t="str">
        <f>'F_Input Override'!A81</f>
        <v>SVE</v>
      </c>
      <c r="B82" s="155" t="str">
        <f ca="1">Table1[[#This Row],[BON code]]</f>
        <v>CWW20A_049_PR24</v>
      </c>
      <c r="C82" s="170" t="str">
        <f>'F_Input Override'!C82</f>
        <v>Network / Storm overflow data - Number of continuous water quality monitor installations</v>
      </c>
      <c r="D82" s="170" t="str">
        <f>'F_Input Override'!D82</f>
        <v>nr</v>
      </c>
      <c r="E82" s="171" t="str">
        <f>'F_Input Override'!E82</f>
        <v>Price Review 2024</v>
      </c>
      <c r="F82" s="172">
        <f ca="1">IF('F_Input Override'!F82="",'Consolidated Input'!F82,('F_Input Override'!F82))</f>
        <v>0</v>
      </c>
      <c r="G82" s="172">
        <f ca="1">IF('F_Input Override'!G82="",'Consolidated Input'!G82,('F_Input Override'!G82))</f>
        <v>0</v>
      </c>
      <c r="H82" s="172">
        <f ca="1">IF('F_Input Override'!H82="",'Consolidated Input'!H82,('F_Input Override'!H82))</f>
        <v>0</v>
      </c>
      <c r="I82" s="172">
        <f ca="1">IF('F_Input Override'!I82="",'Consolidated Input'!I82,('F_Input Override'!I82))</f>
        <v>0</v>
      </c>
      <c r="J82" s="172">
        <f ca="1">IF('F_Input Override'!J82="",'Consolidated Input'!J82,('F_Input Override'!J82))</f>
        <v>0</v>
      </c>
      <c r="K82" s="172">
        <f ca="1">IF('F_Input Override'!K82="",'Consolidated Input'!K82,('F_Input Override'!K82))</f>
        <v>0</v>
      </c>
      <c r="L82" s="172">
        <f ca="1">IF('F_Input Override'!L82="",'Consolidated Input'!L82,('F_Input Override'!L82))</f>
        <v>0</v>
      </c>
      <c r="M82" s="172">
        <f ca="1">IF('F_Input Override'!M82="",'Consolidated Input'!M82,('F_Input Override'!M82))</f>
        <v>0</v>
      </c>
      <c r="N82" s="173">
        <f t="shared" ca="1" si="1"/>
        <v>0</v>
      </c>
    </row>
    <row r="83" spans="1:14">
      <c r="A83" s="155" t="str">
        <f>'F_Input Override'!A82</f>
        <v>SVE</v>
      </c>
      <c r="B83" s="155" t="str">
        <f ca="1">Table1[[#This Row],[BON code]]</f>
        <v>CWW3_007TOT_PR24</v>
      </c>
      <c r="C83" s="170" t="str">
        <f>'F_Input Override'!C83</f>
        <v>EA/NRW environmental programme wastewater (WINEP/NEP) - Continuous river water quality monitoring (WINEP/NEP) wastewater capex - Total</v>
      </c>
      <c r="D83" s="170" t="str">
        <f>'F_Input Override'!D83</f>
        <v>£m</v>
      </c>
      <c r="E83" s="171" t="str">
        <f>'F_Input Override'!E83</f>
        <v>Price Review 2024</v>
      </c>
      <c r="F83" s="172">
        <f ca="1">IF('F_Input Override'!F83="",'Consolidated Input'!F83,('F_Input Override'!F83))</f>
        <v>0</v>
      </c>
      <c r="G83" s="172">
        <f ca="1">IF('F_Input Override'!G83="",'Consolidated Input'!G83,('F_Input Override'!G83))</f>
        <v>0</v>
      </c>
      <c r="H83" s="172">
        <f ca="1">IF('F_Input Override'!H83="",'Consolidated Input'!H83,('F_Input Override'!H83))</f>
        <v>8.5990000000000002</v>
      </c>
      <c r="I83" s="172">
        <f ca="1">IF('F_Input Override'!I83="",'Consolidated Input'!I83,('F_Input Override'!I83))</f>
        <v>9.8889999999999993</v>
      </c>
      <c r="J83" s="172">
        <f ca="1">IF('F_Input Override'!J83="",'Consolidated Input'!J83,('F_Input Override'!J83))</f>
        <v>9.8889999999999993</v>
      </c>
      <c r="K83" s="172">
        <f ca="1">IF('F_Input Override'!K83="",'Consolidated Input'!K83,('F_Input Override'!K83))</f>
        <v>10.321</v>
      </c>
      <c r="L83" s="172">
        <f ca="1">IF('F_Input Override'!L83="",'Consolidated Input'!L83,('F_Input Override'!L83))</f>
        <v>4.3010000000000002</v>
      </c>
      <c r="M83" s="172">
        <f ca="1">IF('F_Input Override'!M83="",'Consolidated Input'!M83,('F_Input Override'!M83))</f>
        <v>0</v>
      </c>
      <c r="N83" s="173">
        <f t="shared" ca="1" si="1"/>
        <v>42.999000000000002</v>
      </c>
    </row>
    <row r="84" spans="1:14">
      <c r="A84" s="155" t="str">
        <f>'F_Input Override'!A83</f>
        <v>SRN</v>
      </c>
      <c r="B84" s="155" t="str">
        <f ca="1">Table1[[#This Row],[BON code]]</f>
        <v>CWW3_008TOT_PR24</v>
      </c>
      <c r="C84" s="170" t="str">
        <f>'F_Input Override'!C84</f>
        <v>EA/NRW environmental programme wastewater (WINEP/NEP) - Continuous river water quality monitoring (WINEP/NEP) wastewater opex - Total</v>
      </c>
      <c r="D84" s="170" t="str">
        <f>'F_Input Override'!D84</f>
        <v>£m</v>
      </c>
      <c r="E84" s="171" t="str">
        <f>'F_Input Override'!E84</f>
        <v>Price Review 2024</v>
      </c>
      <c r="F84" s="172">
        <f ca="1">IF('F_Input Override'!F84="",'Consolidated Input'!F84,('F_Input Override'!F84))</f>
        <v>0</v>
      </c>
      <c r="G84" s="172">
        <f ca="1">IF('F_Input Override'!G84="",'Consolidated Input'!G84,('F_Input Override'!G84))</f>
        <v>0</v>
      </c>
      <c r="H84" s="172">
        <f ca="1">IF('F_Input Override'!H84="",'Consolidated Input'!H84,('F_Input Override'!H84))</f>
        <v>7.3999999999999996E-2</v>
      </c>
      <c r="I84" s="172">
        <f ca="1">IF('F_Input Override'!I84="",'Consolidated Input'!I84,('F_Input Override'!I84))</f>
        <v>7.3999999999999996E-2</v>
      </c>
      <c r="J84" s="172">
        <f ca="1">IF('F_Input Override'!J84="",'Consolidated Input'!J84,('F_Input Override'!J84))</f>
        <v>0</v>
      </c>
      <c r="K84" s="172">
        <f ca="1">IF('F_Input Override'!K84="",'Consolidated Input'!K84,('F_Input Override'!K84))</f>
        <v>0</v>
      </c>
      <c r="L84" s="172">
        <f ca="1">IF('F_Input Override'!L84="",'Consolidated Input'!L84,('F_Input Override'!L84))</f>
        <v>0</v>
      </c>
      <c r="M84" s="172">
        <f ca="1">IF('F_Input Override'!M84="",'Consolidated Input'!M84,('F_Input Override'!M84))</f>
        <v>0</v>
      </c>
      <c r="N84" s="173">
        <f t="shared" ca="1" si="1"/>
        <v>0.14799999999999999</v>
      </c>
    </row>
    <row r="85" spans="1:14">
      <c r="A85" s="155" t="str">
        <f>'F_Input Override'!A84</f>
        <v>SRN</v>
      </c>
      <c r="B85" s="155" t="str">
        <f ca="1">Table1[[#This Row],[BON code]]</f>
        <v>CWW3_009TOT_PR24</v>
      </c>
      <c r="C85" s="170" t="str">
        <f>'F_Input Override'!C85</f>
        <v>EA/NRW environmental programme wastewater (WINEP/NEP) - Continuous river water quality monitoring (WINEP/NEP) wastewater totex - Total</v>
      </c>
      <c r="D85" s="170" t="str">
        <f>'F_Input Override'!D85</f>
        <v>£m</v>
      </c>
      <c r="E85" s="171" t="str">
        <f>'F_Input Override'!E85</f>
        <v>Price Review 2024</v>
      </c>
      <c r="F85" s="172">
        <f ca="1">IF('F_Input Override'!F85="",'Consolidated Input'!F85,('F_Input Override'!F85))</f>
        <v>0</v>
      </c>
      <c r="G85" s="172">
        <f ca="1">IF('F_Input Override'!G85="",'Consolidated Input'!G85,('F_Input Override'!G85))</f>
        <v>0</v>
      </c>
      <c r="H85" s="172">
        <f ca="1">IF('F_Input Override'!H85="",'Consolidated Input'!H85,('F_Input Override'!H85))</f>
        <v>8.6729999999999983</v>
      </c>
      <c r="I85" s="172">
        <f ca="1">IF('F_Input Override'!I85="",'Consolidated Input'!I85,('F_Input Override'!I85))</f>
        <v>9.9629999999999992</v>
      </c>
      <c r="J85" s="172">
        <f ca="1">IF('F_Input Override'!J85="",'Consolidated Input'!J85,('F_Input Override'!J85))</f>
        <v>9.8889999999999993</v>
      </c>
      <c r="K85" s="172">
        <f ca="1">IF('F_Input Override'!K85="",'Consolidated Input'!K85,('F_Input Override'!K85))</f>
        <v>10.321</v>
      </c>
      <c r="L85" s="172">
        <f ca="1">IF('F_Input Override'!L85="",'Consolidated Input'!L85,('F_Input Override'!L85))</f>
        <v>4.3010000000000002</v>
      </c>
      <c r="M85" s="172">
        <f ca="1">IF('F_Input Override'!M85="",'Consolidated Input'!M85,('F_Input Override'!M85))</f>
        <v>0</v>
      </c>
      <c r="N85" s="173">
        <f t="shared" ca="1" si="1"/>
        <v>43.146999999999998</v>
      </c>
    </row>
    <row r="86" spans="1:14">
      <c r="A86" s="155" t="str">
        <f>'F_Input Override'!A85</f>
        <v>SRN</v>
      </c>
      <c r="B86" s="155" t="str">
        <f ca="1">Table1[[#This Row],[BON code]]</f>
        <v>CWW20_049_PR24</v>
      </c>
      <c r="C86" s="170" t="str">
        <f>'F_Input Override'!C86</f>
        <v>Network / Storm overflow data - Number of continuous water quality monitor installations</v>
      </c>
      <c r="D86" s="170" t="str">
        <f>'F_Input Override'!D86</f>
        <v>nr</v>
      </c>
      <c r="E86" s="171" t="str">
        <f>'F_Input Override'!E86</f>
        <v>Price Review 2024</v>
      </c>
      <c r="F86" s="172">
        <f ca="1">IF('F_Input Override'!F86="",'Consolidated Input'!F86,('F_Input Override'!F86))</f>
        <v>0</v>
      </c>
      <c r="G86" s="172">
        <f ca="1">IF('F_Input Override'!G86="",'Consolidated Input'!G86,('F_Input Override'!G86))</f>
        <v>0</v>
      </c>
      <c r="H86" s="172">
        <f ca="1">IF('F_Input Override'!H86="",'Consolidated Input'!H86,('F_Input Override'!H86))</f>
        <v>0</v>
      </c>
      <c r="I86" s="172">
        <f ca="1">IF('F_Input Override'!I86="",'Consolidated Input'!I86,('F_Input Override'!I86))</f>
        <v>0</v>
      </c>
      <c r="J86" s="172">
        <f ca="1">IF('F_Input Override'!J86="",'Consolidated Input'!J86,('F_Input Override'!J86))</f>
        <v>0</v>
      </c>
      <c r="K86" s="172">
        <f ca="1">IF('F_Input Override'!K86="",'Consolidated Input'!K86,('F_Input Override'!K86))</f>
        <v>0</v>
      </c>
      <c r="L86" s="172">
        <f ca="1">IF('F_Input Override'!L86="",'Consolidated Input'!L86,('F_Input Override'!L86))</f>
        <v>304</v>
      </c>
      <c r="M86" s="172">
        <f ca="1">IF('F_Input Override'!M86="",'Consolidated Input'!M86,('F_Input Override'!M86))</f>
        <v>0</v>
      </c>
      <c r="N86" s="173">
        <f t="shared" ca="1" si="1"/>
        <v>304</v>
      </c>
    </row>
    <row r="87" spans="1:14">
      <c r="A87" s="155" t="str">
        <f>'F_Input Override'!A86</f>
        <v>SRN</v>
      </c>
      <c r="B87" s="155" t="str">
        <f ca="1">Table1[[#This Row],[BON code]]</f>
        <v>CWW1A_015TOT_PR24</v>
      </c>
      <c r="C87" s="170" t="str">
        <f>'F_Input Override'!C87</f>
        <v>Net totex - Total</v>
      </c>
      <c r="D87" s="170" t="str">
        <f>'F_Input Override'!D87</f>
        <v>£m</v>
      </c>
      <c r="E87" s="171" t="str">
        <f>'F_Input Override'!E87</f>
        <v>Price Review 2024</v>
      </c>
      <c r="F87" s="172">
        <f ca="1">IF('F_Input Override'!F87="",'Consolidated Input'!F87,('F_Input Override'!F87))</f>
        <v>0</v>
      </c>
      <c r="G87" s="172">
        <f ca="1">IF('F_Input Override'!G87="",'Consolidated Input'!G87,('F_Input Override'!G87))</f>
        <v>0</v>
      </c>
      <c r="H87" s="172">
        <f ca="1">IF('F_Input Override'!H87="",'Consolidated Input'!H87,('F_Input Override'!H87))</f>
        <v>919.95056665257835</v>
      </c>
      <c r="I87" s="172">
        <f ca="1">IF('F_Input Override'!I87="",'Consolidated Input'!I87,('F_Input Override'!I87))</f>
        <v>1259.3054253890721</v>
      </c>
      <c r="J87" s="172">
        <f ca="1">IF('F_Input Override'!J87="",'Consolidated Input'!J87,('F_Input Override'!J87))</f>
        <v>1000.932312638522</v>
      </c>
      <c r="K87" s="172">
        <f ca="1">IF('F_Input Override'!K87="",'Consolidated Input'!K87,('F_Input Override'!K87))</f>
        <v>1075.9677056653011</v>
      </c>
      <c r="L87" s="172">
        <f ca="1">IF('F_Input Override'!L87="",'Consolidated Input'!L87,('F_Input Override'!L87))</f>
        <v>779.11368189552627</v>
      </c>
      <c r="M87" s="172">
        <f ca="1">IF('F_Input Override'!M87="",'Consolidated Input'!M87,('F_Input Override'!M87))</f>
        <v>0</v>
      </c>
      <c r="N87" s="173">
        <f t="shared" ca="1" si="1"/>
        <v>5035.2696922410005</v>
      </c>
    </row>
    <row r="88" spans="1:14">
      <c r="A88" s="155" t="str">
        <f>'F_Input Override'!A87</f>
        <v>SRN</v>
      </c>
      <c r="B88" s="155" t="str">
        <f ca="1">Table1[[#This Row],[BON code]]</f>
        <v>PR24_NETTOTEX_WASTE</v>
      </c>
      <c r="C88" s="170" t="str">
        <f>'F_Input Override'!C88</f>
        <v>PR24 BP Net totex - Total inc. accelerated &amp; transition costs</v>
      </c>
      <c r="D88" s="170" t="str">
        <f>'F_Input Override'!D88</f>
        <v>£m</v>
      </c>
      <c r="E88" s="171" t="str">
        <f>'F_Input Override'!E88</f>
        <v>Price Review 2024</v>
      </c>
      <c r="F88" s="172">
        <f ca="1">IF('F_Input Override'!F88="",'Consolidated Input'!F88,('F_Input Override'!F88))</f>
        <v>0</v>
      </c>
      <c r="G88" s="172">
        <f ca="1">IF('F_Input Override'!G88="",'Consolidated Input'!G88,('F_Input Override'!G88))</f>
        <v>0</v>
      </c>
      <c r="H88" s="172">
        <f ca="1">IF('F_Input Override'!H88="",'Consolidated Input'!H88,('F_Input Override'!H88))</f>
        <v>0</v>
      </c>
      <c r="I88" s="172">
        <f ca="1">IF('F_Input Override'!I88="",'Consolidated Input'!I88,('F_Input Override'!I88))</f>
        <v>0</v>
      </c>
      <c r="J88" s="172">
        <f ca="1">IF('F_Input Override'!J88="",'Consolidated Input'!J88,('F_Input Override'!J88))</f>
        <v>0</v>
      </c>
      <c r="K88" s="172">
        <f ca="1">IF('F_Input Override'!K88="",'Consolidated Input'!K88,('F_Input Override'!K88))</f>
        <v>0</v>
      </c>
      <c r="L88" s="172">
        <f ca="1">IF('F_Input Override'!L88="",'Consolidated Input'!L88,('F_Input Override'!L88))</f>
        <v>0</v>
      </c>
      <c r="M88" s="172">
        <f ca="1">IF('F_Input Override'!M88="",'Consolidated Input'!M88,('F_Input Override'!M88))</f>
        <v>5114.195692241</v>
      </c>
      <c r="N88" s="173">
        <f t="shared" ca="1" si="1"/>
        <v>0</v>
      </c>
    </row>
    <row r="89" spans="1:14">
      <c r="A89" s="155" t="str">
        <f>'F_Input Override'!A88</f>
        <v>SRN</v>
      </c>
      <c r="B89" s="155" t="str">
        <f ca="1">Table1[[#This Row],[BON code]]</f>
        <v>CWW12_007TOT_PR24</v>
      </c>
      <c r="C89" s="170" t="str">
        <f>'F_Input Override'!C89</f>
        <v>EA/NRW environmental programme wastewater (WINEP/NEP) - Continuous river water quality monitoring (WINEP/NEP) wastewater capex - Total</v>
      </c>
      <c r="D89" s="170" t="str">
        <f>'F_Input Override'!D89</f>
        <v>£m</v>
      </c>
      <c r="E89" s="171" t="str">
        <f>'F_Input Override'!E89</f>
        <v>Price Review 2024</v>
      </c>
      <c r="F89" s="172">
        <f ca="1">IF('F_Input Override'!F89="",'Consolidated Input'!F89,('F_Input Override'!F89))</f>
        <v>0</v>
      </c>
      <c r="G89" s="172">
        <f ca="1">IF('F_Input Override'!G89="",'Consolidated Input'!G89,('F_Input Override'!G89))</f>
        <v>0</v>
      </c>
      <c r="H89" s="172">
        <f ca="1">IF('F_Input Override'!H89="",'Consolidated Input'!H89,('F_Input Override'!H89))</f>
        <v>0</v>
      </c>
      <c r="I89" s="172">
        <f ca="1">IF('F_Input Override'!I89="",'Consolidated Input'!I89,('F_Input Override'!I89))</f>
        <v>0</v>
      </c>
      <c r="J89" s="172">
        <f ca="1">IF('F_Input Override'!J89="",'Consolidated Input'!J89,('F_Input Override'!J89))</f>
        <v>0</v>
      </c>
      <c r="K89" s="172">
        <f ca="1">IF('F_Input Override'!K89="",'Consolidated Input'!K89,('F_Input Override'!K89))</f>
        <v>0</v>
      </c>
      <c r="L89" s="172">
        <f ca="1">IF('F_Input Override'!L89="",'Consolidated Input'!L89,('F_Input Override'!L89))</f>
        <v>0</v>
      </c>
      <c r="M89" s="172">
        <f ca="1">IF('F_Input Override'!M89="",'Consolidated Input'!M89,('F_Input Override'!M89))</f>
        <v>0</v>
      </c>
      <c r="N89" s="173">
        <f t="shared" ca="1" si="1"/>
        <v>0</v>
      </c>
    </row>
    <row r="90" spans="1:14">
      <c r="A90" s="155" t="str">
        <f>'F_Input Override'!A89</f>
        <v>SRN</v>
      </c>
      <c r="B90" s="155" t="str">
        <f ca="1">Table1[[#This Row],[BON code]]</f>
        <v>CWW12_008TOT_PR24</v>
      </c>
      <c r="C90" s="170" t="str">
        <f>'F_Input Override'!C90</f>
        <v>EA/NRW environmental programme wastewater (WINEP/NEP) - Continuous river water quality monitoring (WINEP/NEP) wastewater opex - Total</v>
      </c>
      <c r="D90" s="170" t="str">
        <f>'F_Input Override'!D90</f>
        <v>£m</v>
      </c>
      <c r="E90" s="171" t="str">
        <f>'F_Input Override'!E90</f>
        <v>Price Review 2024</v>
      </c>
      <c r="F90" s="172">
        <f ca="1">IF('F_Input Override'!F90="",'Consolidated Input'!F90,('F_Input Override'!F90))</f>
        <v>0</v>
      </c>
      <c r="G90" s="172">
        <f ca="1">IF('F_Input Override'!G90="",'Consolidated Input'!G90,('F_Input Override'!G90))</f>
        <v>0</v>
      </c>
      <c r="H90" s="172">
        <f ca="1">IF('F_Input Override'!H90="",'Consolidated Input'!H90,('F_Input Override'!H90))</f>
        <v>0</v>
      </c>
      <c r="I90" s="172">
        <f ca="1">IF('F_Input Override'!I90="",'Consolidated Input'!I90,('F_Input Override'!I90))</f>
        <v>0</v>
      </c>
      <c r="J90" s="172">
        <f ca="1">IF('F_Input Override'!J90="",'Consolidated Input'!J90,('F_Input Override'!J90))</f>
        <v>0</v>
      </c>
      <c r="K90" s="172">
        <f ca="1">IF('F_Input Override'!K90="",'Consolidated Input'!K90,('F_Input Override'!K90))</f>
        <v>0</v>
      </c>
      <c r="L90" s="172">
        <f ca="1">IF('F_Input Override'!L90="",'Consolidated Input'!L90,('F_Input Override'!L90))</f>
        <v>0</v>
      </c>
      <c r="M90" s="172">
        <f ca="1">IF('F_Input Override'!M90="",'Consolidated Input'!M90,('F_Input Override'!M90))</f>
        <v>0</v>
      </c>
      <c r="N90" s="173">
        <f t="shared" ca="1" si="1"/>
        <v>0</v>
      </c>
    </row>
    <row r="91" spans="1:14">
      <c r="A91" s="155" t="str">
        <f>'F_Input Override'!A90</f>
        <v>SRN</v>
      </c>
      <c r="B91" s="155" t="str">
        <f ca="1">Table1[[#This Row],[BON code]]</f>
        <v>CWW12_009TOT_PR24</v>
      </c>
      <c r="C91" s="170" t="str">
        <f>'F_Input Override'!C91</f>
        <v>EA/NRW environmental programme wastewater (WINEP/NEP) - Continuous river water quality monitoring (WINEP/NEP) wastewater totex - Total</v>
      </c>
      <c r="D91" s="170" t="str">
        <f>'F_Input Override'!D91</f>
        <v>£m</v>
      </c>
      <c r="E91" s="171" t="str">
        <f>'F_Input Override'!E91</f>
        <v>Price Review 2024</v>
      </c>
      <c r="F91" s="172">
        <f ca="1">IF('F_Input Override'!F91="",'Consolidated Input'!F91,('F_Input Override'!F91))</f>
        <v>0</v>
      </c>
      <c r="G91" s="172">
        <f ca="1">IF('F_Input Override'!G91="",'Consolidated Input'!G91,('F_Input Override'!G91))</f>
        <v>0</v>
      </c>
      <c r="H91" s="172">
        <f ca="1">IF('F_Input Override'!H91="",'Consolidated Input'!H91,('F_Input Override'!H91))</f>
        <v>0</v>
      </c>
      <c r="I91" s="172">
        <f ca="1">IF('F_Input Override'!I91="",'Consolidated Input'!I91,('F_Input Override'!I91))</f>
        <v>0</v>
      </c>
      <c r="J91" s="172">
        <f ca="1">IF('F_Input Override'!J91="",'Consolidated Input'!J91,('F_Input Override'!J91))</f>
        <v>0</v>
      </c>
      <c r="K91" s="172">
        <f ca="1">IF('F_Input Override'!K91="",'Consolidated Input'!K91,('F_Input Override'!K91))</f>
        <v>0</v>
      </c>
      <c r="L91" s="172">
        <f ca="1">IF('F_Input Override'!L91="",'Consolidated Input'!L91,('F_Input Override'!L91))</f>
        <v>0</v>
      </c>
      <c r="M91" s="172">
        <f ca="1">IF('F_Input Override'!M91="",'Consolidated Input'!M91,('F_Input Override'!M91))</f>
        <v>0</v>
      </c>
      <c r="N91" s="173">
        <f t="shared" ca="1" si="1"/>
        <v>0</v>
      </c>
    </row>
    <row r="92" spans="1:14">
      <c r="A92" s="155" t="str">
        <f>'F_Input Override'!A91</f>
        <v>SRN</v>
      </c>
      <c r="B92" s="155" t="str">
        <f ca="1">Table1[[#This Row],[BON code]]</f>
        <v>CWW17_007TOT_PR24</v>
      </c>
      <c r="C92" s="170" t="str">
        <f>'F_Input Override'!C92</f>
        <v>EA/NRW environmental programme wastewater (WINEP/NEP) - Continuous river water quality monitoring (WINEP/NEP) wastewater capex - Total</v>
      </c>
      <c r="D92" s="170" t="str">
        <f>'F_Input Override'!D92</f>
        <v>£m</v>
      </c>
      <c r="E92" s="171" t="str">
        <f>'F_Input Override'!E92</f>
        <v>Price Review 2024</v>
      </c>
      <c r="F92" s="172">
        <f ca="1">IF('F_Input Override'!F92="",'Consolidated Input'!F92,('F_Input Override'!F92))</f>
        <v>0</v>
      </c>
      <c r="G92" s="172">
        <f ca="1">IF('F_Input Override'!G92="",'Consolidated Input'!G92,('F_Input Override'!G92))</f>
        <v>0</v>
      </c>
      <c r="H92" s="172">
        <f ca="1">IF('F_Input Override'!H92="",'Consolidated Input'!H92,('F_Input Override'!H92))</f>
        <v>0</v>
      </c>
      <c r="I92" s="172">
        <f ca="1">IF('F_Input Override'!I92="",'Consolidated Input'!I92,('F_Input Override'!I92))</f>
        <v>0</v>
      </c>
      <c r="J92" s="172">
        <f ca="1">IF('F_Input Override'!J92="",'Consolidated Input'!J92,('F_Input Override'!J92))</f>
        <v>0</v>
      </c>
      <c r="K92" s="172">
        <f ca="1">IF('F_Input Override'!K92="",'Consolidated Input'!K92,('F_Input Override'!K92))</f>
        <v>0</v>
      </c>
      <c r="L92" s="172">
        <f ca="1">IF('F_Input Override'!L92="",'Consolidated Input'!L92,('F_Input Override'!L92))</f>
        <v>0</v>
      </c>
      <c r="M92" s="172">
        <f ca="1">IF('F_Input Override'!M92="",'Consolidated Input'!M92,('F_Input Override'!M92))</f>
        <v>0</v>
      </c>
      <c r="N92" s="173">
        <f t="shared" ca="1" si="1"/>
        <v>0</v>
      </c>
    </row>
    <row r="93" spans="1:14">
      <c r="A93" s="155" t="str">
        <f>'F_Input Override'!A92</f>
        <v>SRN</v>
      </c>
      <c r="B93" s="155" t="str">
        <f ca="1">Table1[[#This Row],[BON code]]</f>
        <v>CWW17_008TOT_PR24</v>
      </c>
      <c r="C93" s="170" t="str">
        <f>'F_Input Override'!C93</f>
        <v>EA/NRW environmental programme wastewater (WINEP/NEP) - Continuous river water quality monitoring (WINEP/NEP) wastewater opex - Total</v>
      </c>
      <c r="D93" s="170" t="str">
        <f>'F_Input Override'!D93</f>
        <v>£m</v>
      </c>
      <c r="E93" s="171" t="str">
        <f>'F_Input Override'!E93</f>
        <v>Price Review 2024</v>
      </c>
      <c r="F93" s="172">
        <f ca="1">IF('F_Input Override'!F93="",'Consolidated Input'!F93,('F_Input Override'!F93))</f>
        <v>0</v>
      </c>
      <c r="G93" s="172">
        <f ca="1">IF('F_Input Override'!G93="",'Consolidated Input'!G93,('F_Input Override'!G93))</f>
        <v>0</v>
      </c>
      <c r="H93" s="172">
        <f ca="1">IF('F_Input Override'!H93="",'Consolidated Input'!H93,('F_Input Override'!H93))</f>
        <v>0</v>
      </c>
      <c r="I93" s="172">
        <f ca="1">IF('F_Input Override'!I93="",'Consolidated Input'!I93,('F_Input Override'!I93))</f>
        <v>0</v>
      </c>
      <c r="J93" s="172">
        <f ca="1">IF('F_Input Override'!J93="",'Consolidated Input'!J93,('F_Input Override'!J93))</f>
        <v>0</v>
      </c>
      <c r="K93" s="172">
        <f ca="1">IF('F_Input Override'!K93="",'Consolidated Input'!K93,('F_Input Override'!K93))</f>
        <v>0</v>
      </c>
      <c r="L93" s="172">
        <f ca="1">IF('F_Input Override'!L93="",'Consolidated Input'!L93,('F_Input Override'!L93))</f>
        <v>0</v>
      </c>
      <c r="M93" s="172">
        <f ca="1">IF('F_Input Override'!M93="",'Consolidated Input'!M93,('F_Input Override'!M93))</f>
        <v>0</v>
      </c>
      <c r="N93" s="173">
        <f t="shared" ca="1" si="1"/>
        <v>0</v>
      </c>
    </row>
    <row r="94" spans="1:14">
      <c r="A94" s="155" t="str">
        <f>'F_Input Override'!A93</f>
        <v>SRN</v>
      </c>
      <c r="B94" s="155" t="str">
        <f ca="1">Table1[[#This Row],[BON code]]</f>
        <v>CWW17_009TOT_PR24</v>
      </c>
      <c r="C94" s="170" t="str">
        <f>'F_Input Override'!C94</f>
        <v>EA/NRW environmental programme wastewater (WINEP/NEP) - Continuous river water quality monitoring (WINEP/NEP) wastewater totex - Total</v>
      </c>
      <c r="D94" s="170" t="str">
        <f>'F_Input Override'!D94</f>
        <v>£m</v>
      </c>
      <c r="E94" s="171" t="str">
        <f>'F_Input Override'!E94</f>
        <v>Price Review 2024</v>
      </c>
      <c r="F94" s="172">
        <f ca="1">IF('F_Input Override'!F94="",'Consolidated Input'!F94,('F_Input Override'!F94))</f>
        <v>0</v>
      </c>
      <c r="G94" s="172">
        <f ca="1">IF('F_Input Override'!G94="",'Consolidated Input'!G94,('F_Input Override'!G94))</f>
        <v>0</v>
      </c>
      <c r="H94" s="172">
        <f ca="1">IF('F_Input Override'!H94="",'Consolidated Input'!H94,('F_Input Override'!H94))</f>
        <v>0</v>
      </c>
      <c r="I94" s="172">
        <f ca="1">IF('F_Input Override'!I94="",'Consolidated Input'!I94,('F_Input Override'!I94))</f>
        <v>0</v>
      </c>
      <c r="J94" s="172">
        <f ca="1">IF('F_Input Override'!J94="",'Consolidated Input'!J94,('F_Input Override'!J94))</f>
        <v>0</v>
      </c>
      <c r="K94" s="172">
        <f ca="1">IF('F_Input Override'!K94="",'Consolidated Input'!K94,('F_Input Override'!K94))</f>
        <v>0</v>
      </c>
      <c r="L94" s="172">
        <f ca="1">IF('F_Input Override'!L94="",'Consolidated Input'!L94,('F_Input Override'!L94))</f>
        <v>0</v>
      </c>
      <c r="M94" s="172">
        <f ca="1">IF('F_Input Override'!M94="",'Consolidated Input'!M94,('F_Input Override'!M94))</f>
        <v>0</v>
      </c>
      <c r="N94" s="173">
        <f t="shared" ca="1" si="1"/>
        <v>0</v>
      </c>
    </row>
    <row r="95" spans="1:14">
      <c r="A95" s="155" t="str">
        <f>'F_Input Override'!A94</f>
        <v>SRN</v>
      </c>
      <c r="B95" s="155" t="str">
        <f ca="1">Table1[[#This Row],[BON code]]</f>
        <v>CWW20A_049_PR24</v>
      </c>
      <c r="C95" s="170" t="str">
        <f>'F_Input Override'!C95</f>
        <v>Network / Storm overflow data - Number of continuous water quality monitor installations</v>
      </c>
      <c r="D95" s="170" t="str">
        <f>'F_Input Override'!D95</f>
        <v>nr</v>
      </c>
      <c r="E95" s="171" t="str">
        <f>'F_Input Override'!E95</f>
        <v>Price Review 2024</v>
      </c>
      <c r="F95" s="172">
        <f ca="1">IF('F_Input Override'!F95="",'Consolidated Input'!F95,('F_Input Override'!F95))</f>
        <v>0</v>
      </c>
      <c r="G95" s="172">
        <f ca="1">IF('F_Input Override'!G95="",'Consolidated Input'!G95,('F_Input Override'!G95))</f>
        <v>0</v>
      </c>
      <c r="H95" s="172">
        <f ca="1">IF('F_Input Override'!H95="",'Consolidated Input'!H95,('F_Input Override'!H95))</f>
        <v>0</v>
      </c>
      <c r="I95" s="172">
        <f ca="1">IF('F_Input Override'!I95="",'Consolidated Input'!I95,('F_Input Override'!I95))</f>
        <v>0</v>
      </c>
      <c r="J95" s="172">
        <f ca="1">IF('F_Input Override'!J95="",'Consolidated Input'!J95,('F_Input Override'!J95))</f>
        <v>0</v>
      </c>
      <c r="K95" s="172">
        <f ca="1">IF('F_Input Override'!K95="",'Consolidated Input'!K95,('F_Input Override'!K95))</f>
        <v>0</v>
      </c>
      <c r="L95" s="172">
        <f ca="1">IF('F_Input Override'!L95="",'Consolidated Input'!L95,('F_Input Override'!L95))</f>
        <v>0</v>
      </c>
      <c r="M95" s="172">
        <f ca="1">IF('F_Input Override'!M95="",'Consolidated Input'!M95,('F_Input Override'!M95))</f>
        <v>0</v>
      </c>
      <c r="N95" s="173">
        <f t="shared" ca="1" si="1"/>
        <v>0</v>
      </c>
    </row>
    <row r="96" spans="1:14">
      <c r="A96" s="155" t="str">
        <f>'F_Input Override'!A95</f>
        <v>SRN</v>
      </c>
      <c r="B96" s="155" t="str">
        <f ca="1">Table1[[#This Row],[BON code]]</f>
        <v>CWW3_007TOT_PR24</v>
      </c>
      <c r="C96" s="170" t="str">
        <f>'F_Input Override'!C96</f>
        <v>EA/NRW environmental programme wastewater (WINEP/NEP) - Continuous river water quality monitoring (WINEP/NEP) wastewater capex - Total</v>
      </c>
      <c r="D96" s="170" t="str">
        <f>'F_Input Override'!D96</f>
        <v>£m</v>
      </c>
      <c r="E96" s="171" t="str">
        <f>'F_Input Override'!E96</f>
        <v>Price Review 2024</v>
      </c>
      <c r="F96" s="172">
        <f ca="1">IF('F_Input Override'!F96="",'Consolidated Input'!F96,('F_Input Override'!F96))</f>
        <v>0</v>
      </c>
      <c r="G96" s="172">
        <f ca="1">IF('F_Input Override'!G96="",'Consolidated Input'!G96,('F_Input Override'!G96))</f>
        <v>0</v>
      </c>
      <c r="H96" s="172">
        <f ca="1">IF('F_Input Override'!H96="",'Consolidated Input'!H96,('F_Input Override'!H96))</f>
        <v>16.802</v>
      </c>
      <c r="I96" s="172">
        <f ca="1">IF('F_Input Override'!I96="",'Consolidated Input'!I96,('F_Input Override'!I96))</f>
        <v>18.073</v>
      </c>
      <c r="J96" s="172">
        <f ca="1">IF('F_Input Override'!J96="",'Consolidated Input'!J96,('F_Input Override'!J96))</f>
        <v>4.2389999999999999</v>
      </c>
      <c r="K96" s="172">
        <f ca="1">IF('F_Input Override'!K96="",'Consolidated Input'!K96,('F_Input Override'!K96))</f>
        <v>2.129</v>
      </c>
      <c r="L96" s="172">
        <f ca="1">IF('F_Input Override'!L96="",'Consolidated Input'!L96,('F_Input Override'!L96))</f>
        <v>2.1379999999999999</v>
      </c>
      <c r="M96" s="172">
        <f ca="1">IF('F_Input Override'!M96="",'Consolidated Input'!M96,('F_Input Override'!M96))</f>
        <v>0</v>
      </c>
      <c r="N96" s="173">
        <f t="shared" ca="1" si="1"/>
        <v>43.380999999999993</v>
      </c>
    </row>
    <row r="97" spans="1:14">
      <c r="A97" s="155" t="str">
        <f>'F_Input Override'!A96</f>
        <v>TMS</v>
      </c>
      <c r="B97" s="155" t="str">
        <f ca="1">Table1[[#This Row],[BON code]]</f>
        <v>CWW3_008TOT_PR24</v>
      </c>
      <c r="C97" s="170" t="str">
        <f>'F_Input Override'!C97</f>
        <v>EA/NRW environmental programme wastewater (WINEP/NEP) - Continuous river water quality monitoring (WINEP/NEP) wastewater opex - Total</v>
      </c>
      <c r="D97" s="170" t="str">
        <f>'F_Input Override'!D97</f>
        <v>£m</v>
      </c>
      <c r="E97" s="171" t="str">
        <f>'F_Input Override'!E97</f>
        <v>Price Review 2024</v>
      </c>
      <c r="F97" s="172">
        <f ca="1">IF('F_Input Override'!F97="",'Consolidated Input'!F97,('F_Input Override'!F97))</f>
        <v>0</v>
      </c>
      <c r="G97" s="172">
        <f ca="1">IF('F_Input Override'!G97="",'Consolidated Input'!G97,('F_Input Override'!G97))</f>
        <v>0</v>
      </c>
      <c r="H97" s="172">
        <f ca="1">IF('F_Input Override'!H97="",'Consolidated Input'!H97,('F_Input Override'!H97))</f>
        <v>0</v>
      </c>
      <c r="I97" s="172">
        <f ca="1">IF('F_Input Override'!I97="",'Consolidated Input'!I97,('F_Input Override'!I97))</f>
        <v>1.6E-2</v>
      </c>
      <c r="J97" s="172">
        <f ca="1">IF('F_Input Override'!J97="",'Consolidated Input'!J97,('F_Input Override'!J97))</f>
        <v>1.829</v>
      </c>
      <c r="K97" s="172">
        <f ca="1">IF('F_Input Override'!K97="",'Consolidated Input'!K97,('F_Input Override'!K97))</f>
        <v>3.641</v>
      </c>
      <c r="L97" s="172">
        <f ca="1">IF('F_Input Override'!L97="",'Consolidated Input'!L97,('F_Input Override'!L97))</f>
        <v>4.1189999999999998</v>
      </c>
      <c r="M97" s="172">
        <f ca="1">IF('F_Input Override'!M97="",'Consolidated Input'!M97,('F_Input Override'!M97))</f>
        <v>0</v>
      </c>
      <c r="N97" s="173">
        <f t="shared" ca="1" si="1"/>
        <v>9.6050000000000004</v>
      </c>
    </row>
    <row r="98" spans="1:14">
      <c r="A98" s="155" t="str">
        <f>'F_Input Override'!A97</f>
        <v>TMS</v>
      </c>
      <c r="B98" s="155" t="str">
        <f ca="1">Table1[[#This Row],[BON code]]</f>
        <v>CWW3_009TOT_PR24</v>
      </c>
      <c r="C98" s="170" t="str">
        <f>'F_Input Override'!C98</f>
        <v>EA/NRW environmental programme wastewater (WINEP/NEP) - Continuous river water quality monitoring (WINEP/NEP) wastewater totex - Total</v>
      </c>
      <c r="D98" s="170" t="str">
        <f>'F_Input Override'!D98</f>
        <v>£m</v>
      </c>
      <c r="E98" s="171" t="str">
        <f>'F_Input Override'!E98</f>
        <v>Price Review 2024</v>
      </c>
      <c r="F98" s="172">
        <f ca="1">IF('F_Input Override'!F98="",'Consolidated Input'!F98,('F_Input Override'!F98))</f>
        <v>0</v>
      </c>
      <c r="G98" s="172">
        <f ca="1">IF('F_Input Override'!G98="",'Consolidated Input'!G98,('F_Input Override'!G98))</f>
        <v>0</v>
      </c>
      <c r="H98" s="172">
        <f ca="1">IF('F_Input Override'!H98="",'Consolidated Input'!H98,('F_Input Override'!H98))</f>
        <v>16.802</v>
      </c>
      <c r="I98" s="172">
        <f ca="1">IF('F_Input Override'!I98="",'Consolidated Input'!I98,('F_Input Override'!I98))</f>
        <v>18.088999999999999</v>
      </c>
      <c r="J98" s="172">
        <f ca="1">IF('F_Input Override'!J98="",'Consolidated Input'!J98,('F_Input Override'!J98))</f>
        <v>6.0679999999999996</v>
      </c>
      <c r="K98" s="172">
        <f ca="1">IF('F_Input Override'!K98="",'Consolidated Input'!K98,('F_Input Override'!K98))</f>
        <v>5.77</v>
      </c>
      <c r="L98" s="172">
        <f ca="1">IF('F_Input Override'!L98="",'Consolidated Input'!L98,('F_Input Override'!L98))</f>
        <v>6.2569999999999997</v>
      </c>
      <c r="M98" s="172">
        <f ca="1">IF('F_Input Override'!M98="",'Consolidated Input'!M98,('F_Input Override'!M98))</f>
        <v>0</v>
      </c>
      <c r="N98" s="173">
        <f t="shared" ca="1" si="1"/>
        <v>52.985999999999997</v>
      </c>
    </row>
    <row r="99" spans="1:14">
      <c r="A99" s="155" t="str">
        <f>'F_Input Override'!A98</f>
        <v>TMS</v>
      </c>
      <c r="B99" s="155" t="str">
        <f ca="1">Table1[[#This Row],[BON code]]</f>
        <v>CWW20_049_PR24</v>
      </c>
      <c r="C99" s="170" t="str">
        <f>'F_Input Override'!C99</f>
        <v>Network / Storm overflow data - Number of continuous water quality monitor installations</v>
      </c>
      <c r="D99" s="170" t="str">
        <f>'F_Input Override'!D99</f>
        <v>nr</v>
      </c>
      <c r="E99" s="171" t="str">
        <f>'F_Input Override'!E99</f>
        <v>Price Review 2024</v>
      </c>
      <c r="F99" s="172">
        <f ca="1">IF('F_Input Override'!F99="",'Consolidated Input'!F99,('F_Input Override'!F99))</f>
        <v>0</v>
      </c>
      <c r="G99" s="172">
        <f ca="1">IF('F_Input Override'!G99="",'Consolidated Input'!G99,('F_Input Override'!G99))</f>
        <v>0</v>
      </c>
      <c r="H99" s="172">
        <f ca="1">IF('F_Input Override'!H99="",'Consolidated Input'!H99,('F_Input Override'!H99))</f>
        <v>63</v>
      </c>
      <c r="I99" s="172">
        <f ca="1">IF('F_Input Override'!I99="",'Consolidated Input'!I99,('F_Input Override'!I99))</f>
        <v>63</v>
      </c>
      <c r="J99" s="172">
        <f ca="1">IF('F_Input Override'!J99="",'Consolidated Input'!J99,('F_Input Override'!J99))</f>
        <v>63</v>
      </c>
      <c r="K99" s="172">
        <f ca="1">IF('F_Input Override'!K99="",'Consolidated Input'!K99,('F_Input Override'!K99))</f>
        <v>63</v>
      </c>
      <c r="L99" s="172">
        <f ca="1">IF('F_Input Override'!L99="",'Consolidated Input'!L99,('F_Input Override'!L99))</f>
        <v>62</v>
      </c>
      <c r="M99" s="172">
        <f ca="1">IF('F_Input Override'!M99="",'Consolidated Input'!M99,('F_Input Override'!M99))</f>
        <v>0</v>
      </c>
      <c r="N99" s="173">
        <f t="shared" ca="1" si="1"/>
        <v>314</v>
      </c>
    </row>
    <row r="100" spans="1:14">
      <c r="A100" s="155" t="str">
        <f>'F_Input Override'!A99</f>
        <v>TMS</v>
      </c>
      <c r="B100" s="155" t="str">
        <f ca="1">Table1[[#This Row],[BON code]]</f>
        <v>CWW1A_015TOT_PR24</v>
      </c>
      <c r="C100" s="170" t="str">
        <f>'F_Input Override'!C100</f>
        <v>Net totex - Total</v>
      </c>
      <c r="D100" s="170" t="str">
        <f>'F_Input Override'!D100</f>
        <v>£m</v>
      </c>
      <c r="E100" s="171" t="str">
        <f>'F_Input Override'!E100</f>
        <v>Price Review 2024</v>
      </c>
      <c r="F100" s="172">
        <f ca="1">IF('F_Input Override'!F100="",'Consolidated Input'!F100,('F_Input Override'!F100))</f>
        <v>0</v>
      </c>
      <c r="G100" s="172">
        <f ca="1">IF('F_Input Override'!G100="",'Consolidated Input'!G100,('F_Input Override'!G100))</f>
        <v>0</v>
      </c>
      <c r="H100" s="172">
        <f ca="1">IF('F_Input Override'!H100="",'Consolidated Input'!H100,('F_Input Override'!H100))</f>
        <v>2156.088348550431</v>
      </c>
      <c r="I100" s="172">
        <f ca="1">IF('F_Input Override'!I100="",'Consolidated Input'!I100,('F_Input Override'!I100))</f>
        <v>2269.5018217217062</v>
      </c>
      <c r="J100" s="172">
        <f ca="1">IF('F_Input Override'!J100="",'Consolidated Input'!J100,('F_Input Override'!J100))</f>
        <v>2162.2729400750991</v>
      </c>
      <c r="K100" s="172">
        <f ca="1">IF('F_Input Override'!K100="",'Consolidated Input'!K100,('F_Input Override'!K100))</f>
        <v>2632.1222877084529</v>
      </c>
      <c r="L100" s="172">
        <f ca="1">IF('F_Input Override'!L100="",'Consolidated Input'!L100,('F_Input Override'!L100))</f>
        <v>3555.488399766793</v>
      </c>
      <c r="M100" s="172">
        <f ca="1">IF('F_Input Override'!M100="",'Consolidated Input'!M100,('F_Input Override'!M100))</f>
        <v>0</v>
      </c>
      <c r="N100" s="173">
        <f t="shared" ca="1" si="1"/>
        <v>12775.473797822482</v>
      </c>
    </row>
    <row r="101" spans="1:14">
      <c r="A101" s="155" t="str">
        <f>'F_Input Override'!A100</f>
        <v>TMS</v>
      </c>
      <c r="B101" s="155" t="str">
        <f ca="1">Table1[[#This Row],[BON code]]</f>
        <v>PR24_NETTOTEX_WASTE</v>
      </c>
      <c r="C101" s="170" t="str">
        <f>'F_Input Override'!C101</f>
        <v>PR24 BP Net totex - Total inc. accelerated &amp; transition costs</v>
      </c>
      <c r="D101" s="170" t="str">
        <f>'F_Input Override'!D101</f>
        <v>£m</v>
      </c>
      <c r="E101" s="171" t="str">
        <f>'F_Input Override'!E101</f>
        <v>Price Review 2024</v>
      </c>
      <c r="F101" s="172">
        <f ca="1">IF('F_Input Override'!F101="",'Consolidated Input'!F101,('F_Input Override'!F101))</f>
        <v>0</v>
      </c>
      <c r="G101" s="172">
        <f ca="1">IF('F_Input Override'!G101="",'Consolidated Input'!G101,('F_Input Override'!G101))</f>
        <v>0</v>
      </c>
      <c r="H101" s="172">
        <f ca="1">IF('F_Input Override'!H101="",'Consolidated Input'!H101,('F_Input Override'!H101))</f>
        <v>0</v>
      </c>
      <c r="I101" s="172">
        <f ca="1">IF('F_Input Override'!I101="",'Consolidated Input'!I101,('F_Input Override'!I101))</f>
        <v>0</v>
      </c>
      <c r="J101" s="172">
        <f ca="1">IF('F_Input Override'!J101="",'Consolidated Input'!J101,('F_Input Override'!J101))</f>
        <v>0</v>
      </c>
      <c r="K101" s="172">
        <f ca="1">IF('F_Input Override'!K101="",'Consolidated Input'!K101,('F_Input Override'!K101))</f>
        <v>0</v>
      </c>
      <c r="L101" s="172">
        <f ca="1">IF('F_Input Override'!L101="",'Consolidated Input'!L101,('F_Input Override'!L101))</f>
        <v>0</v>
      </c>
      <c r="M101" s="172">
        <f ca="1">IF('F_Input Override'!M101="",'Consolidated Input'!M101,('F_Input Override'!M101))</f>
        <v>12775.473797822482</v>
      </c>
      <c r="N101" s="173">
        <f t="shared" ca="1" si="1"/>
        <v>0</v>
      </c>
    </row>
    <row r="102" spans="1:14">
      <c r="A102" s="155" t="str">
        <f>'F_Input Override'!A101</f>
        <v>TMS</v>
      </c>
      <c r="B102" s="155" t="str">
        <f ca="1">Table1[[#This Row],[BON code]]</f>
        <v>CWW12_007TOT_PR24</v>
      </c>
      <c r="C102" s="170" t="str">
        <f>'F_Input Override'!C102</f>
        <v>EA/NRW environmental programme wastewater (WINEP/NEP) - Continuous river water quality monitoring (WINEP/NEP) wastewater capex - Total</v>
      </c>
      <c r="D102" s="170" t="str">
        <f>'F_Input Override'!D102</f>
        <v>£m</v>
      </c>
      <c r="E102" s="171" t="str">
        <f>'F_Input Override'!E102</f>
        <v>Price Review 2024</v>
      </c>
      <c r="F102" s="172">
        <f ca="1">IF('F_Input Override'!F102="",'Consolidated Input'!F102,('F_Input Override'!F102))</f>
        <v>0</v>
      </c>
      <c r="G102" s="172">
        <f ca="1">IF('F_Input Override'!G102="",'Consolidated Input'!G102,('F_Input Override'!G102))</f>
        <v>0</v>
      </c>
      <c r="H102" s="172">
        <f ca="1">IF('F_Input Override'!H102="",'Consolidated Input'!H102,('F_Input Override'!H102))</f>
        <v>0</v>
      </c>
      <c r="I102" s="172">
        <f ca="1">IF('F_Input Override'!I102="",'Consolidated Input'!I102,('F_Input Override'!I102))</f>
        <v>0</v>
      </c>
      <c r="J102" s="172">
        <f ca="1">IF('F_Input Override'!J102="",'Consolidated Input'!J102,('F_Input Override'!J102))</f>
        <v>0</v>
      </c>
      <c r="K102" s="172">
        <f ca="1">IF('F_Input Override'!K102="",'Consolidated Input'!K102,('F_Input Override'!K102))</f>
        <v>0</v>
      </c>
      <c r="L102" s="172">
        <f ca="1">IF('F_Input Override'!L102="",'Consolidated Input'!L102,('F_Input Override'!L102))</f>
        <v>0</v>
      </c>
      <c r="M102" s="172">
        <f ca="1">IF('F_Input Override'!M102="",'Consolidated Input'!M102,('F_Input Override'!M102))</f>
        <v>0</v>
      </c>
      <c r="N102" s="173">
        <f t="shared" ca="1" si="1"/>
        <v>0</v>
      </c>
    </row>
    <row r="103" spans="1:14">
      <c r="A103" s="155" t="str">
        <f>'F_Input Override'!A102</f>
        <v>TMS</v>
      </c>
      <c r="B103" s="155" t="str">
        <f ca="1">Table1[[#This Row],[BON code]]</f>
        <v>CWW12_008TOT_PR24</v>
      </c>
      <c r="C103" s="170" t="str">
        <f>'F_Input Override'!C103</f>
        <v>EA/NRW environmental programme wastewater (WINEP/NEP) - Continuous river water quality monitoring (WINEP/NEP) wastewater opex - Total</v>
      </c>
      <c r="D103" s="170" t="str">
        <f>'F_Input Override'!D103</f>
        <v>£m</v>
      </c>
      <c r="E103" s="171" t="str">
        <f>'F_Input Override'!E103</f>
        <v>Price Review 2024</v>
      </c>
      <c r="F103" s="172">
        <f ca="1">IF('F_Input Override'!F103="",'Consolidated Input'!F103,('F_Input Override'!F103))</f>
        <v>0</v>
      </c>
      <c r="G103" s="172">
        <f ca="1">IF('F_Input Override'!G103="",'Consolidated Input'!G103,('F_Input Override'!G103))</f>
        <v>0</v>
      </c>
      <c r="H103" s="172">
        <f ca="1">IF('F_Input Override'!H103="",'Consolidated Input'!H103,('F_Input Override'!H103))</f>
        <v>0</v>
      </c>
      <c r="I103" s="172">
        <f ca="1">IF('F_Input Override'!I103="",'Consolidated Input'!I103,('F_Input Override'!I103))</f>
        <v>0</v>
      </c>
      <c r="J103" s="172">
        <f ca="1">IF('F_Input Override'!J103="",'Consolidated Input'!J103,('F_Input Override'!J103))</f>
        <v>0</v>
      </c>
      <c r="K103" s="172">
        <f ca="1">IF('F_Input Override'!K103="",'Consolidated Input'!K103,('F_Input Override'!K103))</f>
        <v>0</v>
      </c>
      <c r="L103" s="172">
        <f ca="1">IF('F_Input Override'!L103="",'Consolidated Input'!L103,('F_Input Override'!L103))</f>
        <v>0</v>
      </c>
      <c r="M103" s="172">
        <f ca="1">IF('F_Input Override'!M103="",'Consolidated Input'!M103,('F_Input Override'!M103))</f>
        <v>0</v>
      </c>
      <c r="N103" s="173">
        <f t="shared" ca="1" si="1"/>
        <v>0</v>
      </c>
    </row>
    <row r="104" spans="1:14">
      <c r="A104" s="155" t="str">
        <f>'F_Input Override'!A103</f>
        <v>TMS</v>
      </c>
      <c r="B104" s="155" t="str">
        <f ca="1">Table1[[#This Row],[BON code]]</f>
        <v>CWW12_009TOT_PR24</v>
      </c>
      <c r="C104" s="170" t="str">
        <f>'F_Input Override'!C104</f>
        <v>EA/NRW environmental programme wastewater (WINEP/NEP) - Continuous river water quality monitoring (WINEP/NEP) wastewater totex - Total</v>
      </c>
      <c r="D104" s="170" t="str">
        <f>'F_Input Override'!D104</f>
        <v>£m</v>
      </c>
      <c r="E104" s="171" t="str">
        <f>'F_Input Override'!E104</f>
        <v>Price Review 2024</v>
      </c>
      <c r="F104" s="172">
        <f ca="1">IF('F_Input Override'!F104="",'Consolidated Input'!F104,('F_Input Override'!F104))</f>
        <v>0</v>
      </c>
      <c r="G104" s="172">
        <f ca="1">IF('F_Input Override'!G104="",'Consolidated Input'!G104,('F_Input Override'!G104))</f>
        <v>0</v>
      </c>
      <c r="H104" s="172">
        <f ca="1">IF('F_Input Override'!H104="",'Consolidated Input'!H104,('F_Input Override'!H104))</f>
        <v>0</v>
      </c>
      <c r="I104" s="172">
        <f ca="1">IF('F_Input Override'!I104="",'Consolidated Input'!I104,('F_Input Override'!I104))</f>
        <v>0</v>
      </c>
      <c r="J104" s="172">
        <f ca="1">IF('F_Input Override'!J104="",'Consolidated Input'!J104,('F_Input Override'!J104))</f>
        <v>0</v>
      </c>
      <c r="K104" s="172">
        <f ca="1">IF('F_Input Override'!K104="",'Consolidated Input'!K104,('F_Input Override'!K104))</f>
        <v>0</v>
      </c>
      <c r="L104" s="172">
        <f ca="1">IF('F_Input Override'!L104="",'Consolidated Input'!L104,('F_Input Override'!L104))</f>
        <v>0</v>
      </c>
      <c r="M104" s="172">
        <f ca="1">IF('F_Input Override'!M104="",'Consolidated Input'!M104,('F_Input Override'!M104))</f>
        <v>0</v>
      </c>
      <c r="N104" s="173">
        <f t="shared" ca="1" si="1"/>
        <v>0</v>
      </c>
    </row>
    <row r="105" spans="1:14">
      <c r="A105" s="155" t="str">
        <f>'F_Input Override'!A104</f>
        <v>TMS</v>
      </c>
      <c r="B105" s="155" t="str">
        <f ca="1">Table1[[#This Row],[BON code]]</f>
        <v>CWW17_007TOT_PR24</v>
      </c>
      <c r="C105" s="170" t="str">
        <f>'F_Input Override'!C105</f>
        <v>EA/NRW environmental programme wastewater (WINEP/NEP) - Continuous river water quality monitoring (WINEP/NEP) wastewater capex - Total</v>
      </c>
      <c r="D105" s="170" t="str">
        <f>'F_Input Override'!D105</f>
        <v>£m</v>
      </c>
      <c r="E105" s="171" t="str">
        <f>'F_Input Override'!E105</f>
        <v>Price Review 2024</v>
      </c>
      <c r="F105" s="172">
        <f ca="1">IF('F_Input Override'!F105="",'Consolidated Input'!F105,('F_Input Override'!F105))</f>
        <v>0</v>
      </c>
      <c r="G105" s="172">
        <f ca="1">IF('F_Input Override'!G105="",'Consolidated Input'!G105,('F_Input Override'!G105))</f>
        <v>0</v>
      </c>
      <c r="H105" s="172">
        <f ca="1">IF('F_Input Override'!H105="",'Consolidated Input'!H105,('F_Input Override'!H105))</f>
        <v>0</v>
      </c>
      <c r="I105" s="172">
        <f ca="1">IF('F_Input Override'!I105="",'Consolidated Input'!I105,('F_Input Override'!I105))</f>
        <v>0</v>
      </c>
      <c r="J105" s="172">
        <f ca="1">IF('F_Input Override'!J105="",'Consolidated Input'!J105,('F_Input Override'!J105))</f>
        <v>0</v>
      </c>
      <c r="K105" s="172">
        <f ca="1">IF('F_Input Override'!K105="",'Consolidated Input'!K105,('F_Input Override'!K105))</f>
        <v>0</v>
      </c>
      <c r="L105" s="172">
        <f ca="1">IF('F_Input Override'!L105="",'Consolidated Input'!L105,('F_Input Override'!L105))</f>
        <v>0</v>
      </c>
      <c r="M105" s="172">
        <f ca="1">IF('F_Input Override'!M105="",'Consolidated Input'!M105,('F_Input Override'!M105))</f>
        <v>0</v>
      </c>
      <c r="N105" s="173">
        <f t="shared" ca="1" si="1"/>
        <v>0</v>
      </c>
    </row>
    <row r="106" spans="1:14">
      <c r="A106" s="155" t="str">
        <f>'F_Input Override'!A105</f>
        <v>TMS</v>
      </c>
      <c r="B106" s="155" t="str">
        <f ca="1">Table1[[#This Row],[BON code]]</f>
        <v>CWW17_008TOT_PR24</v>
      </c>
      <c r="C106" s="170" t="str">
        <f>'F_Input Override'!C106</f>
        <v>EA/NRW environmental programme wastewater (WINEP/NEP) - Continuous river water quality monitoring (WINEP/NEP) wastewater opex - Total</v>
      </c>
      <c r="D106" s="170" t="str">
        <f>'F_Input Override'!D106</f>
        <v>£m</v>
      </c>
      <c r="E106" s="171" t="str">
        <f>'F_Input Override'!E106</f>
        <v>Price Review 2024</v>
      </c>
      <c r="F106" s="172">
        <f ca="1">IF('F_Input Override'!F106="",'Consolidated Input'!F106,('F_Input Override'!F106))</f>
        <v>0</v>
      </c>
      <c r="G106" s="172">
        <f ca="1">IF('F_Input Override'!G106="",'Consolidated Input'!G106,('F_Input Override'!G106))</f>
        <v>0</v>
      </c>
      <c r="H106" s="172">
        <f ca="1">IF('F_Input Override'!H106="",'Consolidated Input'!H106,('F_Input Override'!H106))</f>
        <v>0</v>
      </c>
      <c r="I106" s="172">
        <f ca="1">IF('F_Input Override'!I106="",'Consolidated Input'!I106,('F_Input Override'!I106))</f>
        <v>0</v>
      </c>
      <c r="J106" s="172">
        <f ca="1">IF('F_Input Override'!J106="",'Consolidated Input'!J106,('F_Input Override'!J106))</f>
        <v>0</v>
      </c>
      <c r="K106" s="172">
        <f ca="1">IF('F_Input Override'!K106="",'Consolidated Input'!K106,('F_Input Override'!K106))</f>
        <v>0</v>
      </c>
      <c r="L106" s="172">
        <f ca="1">IF('F_Input Override'!L106="",'Consolidated Input'!L106,('F_Input Override'!L106))</f>
        <v>0</v>
      </c>
      <c r="M106" s="172">
        <f ca="1">IF('F_Input Override'!M106="",'Consolidated Input'!M106,('F_Input Override'!M106))</f>
        <v>0</v>
      </c>
      <c r="N106" s="173">
        <f t="shared" ca="1" si="1"/>
        <v>0</v>
      </c>
    </row>
    <row r="107" spans="1:14">
      <c r="A107" s="155" t="str">
        <f>'F_Input Override'!A106</f>
        <v>TMS</v>
      </c>
      <c r="B107" s="155" t="str">
        <f ca="1">Table1[[#This Row],[BON code]]</f>
        <v>CWW17_009TOT_PR24</v>
      </c>
      <c r="C107" s="170" t="str">
        <f>'F_Input Override'!C107</f>
        <v>EA/NRW environmental programme wastewater (WINEP/NEP) - Continuous river water quality monitoring (WINEP/NEP) wastewater totex - Total</v>
      </c>
      <c r="D107" s="170" t="str">
        <f>'F_Input Override'!D107</f>
        <v>£m</v>
      </c>
      <c r="E107" s="171" t="str">
        <f>'F_Input Override'!E107</f>
        <v>Price Review 2024</v>
      </c>
      <c r="F107" s="172">
        <f ca="1">IF('F_Input Override'!F107="",'Consolidated Input'!F107,('F_Input Override'!F107))</f>
        <v>0</v>
      </c>
      <c r="G107" s="172">
        <f ca="1">IF('F_Input Override'!G107="",'Consolidated Input'!G107,('F_Input Override'!G107))</f>
        <v>0</v>
      </c>
      <c r="H107" s="172">
        <f ca="1">IF('F_Input Override'!H107="",'Consolidated Input'!H107,('F_Input Override'!H107))</f>
        <v>0</v>
      </c>
      <c r="I107" s="172">
        <f ca="1">IF('F_Input Override'!I107="",'Consolidated Input'!I107,('F_Input Override'!I107))</f>
        <v>0</v>
      </c>
      <c r="J107" s="172">
        <f ca="1">IF('F_Input Override'!J107="",'Consolidated Input'!J107,('F_Input Override'!J107))</f>
        <v>0</v>
      </c>
      <c r="K107" s="172">
        <f ca="1">IF('F_Input Override'!K107="",'Consolidated Input'!K107,('F_Input Override'!K107))</f>
        <v>0</v>
      </c>
      <c r="L107" s="172">
        <f ca="1">IF('F_Input Override'!L107="",'Consolidated Input'!L107,('F_Input Override'!L107))</f>
        <v>0</v>
      </c>
      <c r="M107" s="172">
        <f ca="1">IF('F_Input Override'!M107="",'Consolidated Input'!M107,('F_Input Override'!M107))</f>
        <v>0</v>
      </c>
      <c r="N107" s="173">
        <f t="shared" ca="1" si="1"/>
        <v>0</v>
      </c>
    </row>
    <row r="108" spans="1:14">
      <c r="A108" s="155" t="str">
        <f>'F_Input Override'!A107</f>
        <v>TMS</v>
      </c>
      <c r="B108" s="155" t="str">
        <f ca="1">Table1[[#This Row],[BON code]]</f>
        <v>CWW20A_049_PR24</v>
      </c>
      <c r="C108" s="170" t="str">
        <f>'F_Input Override'!C108</f>
        <v>Network / Storm overflow data - Number of continuous water quality monitor installations</v>
      </c>
      <c r="D108" s="170" t="str">
        <f>'F_Input Override'!D108</f>
        <v>nr</v>
      </c>
      <c r="E108" s="171" t="str">
        <f>'F_Input Override'!E108</f>
        <v>Price Review 2024</v>
      </c>
      <c r="F108" s="172">
        <f ca="1">IF('F_Input Override'!F108="",'Consolidated Input'!F108,('F_Input Override'!F108))</f>
        <v>0</v>
      </c>
      <c r="G108" s="172">
        <f ca="1">IF('F_Input Override'!G108="",'Consolidated Input'!G108,('F_Input Override'!G108))</f>
        <v>0</v>
      </c>
      <c r="H108" s="172">
        <f ca="1">IF('F_Input Override'!H108="",'Consolidated Input'!H108,('F_Input Override'!H108))</f>
        <v>0</v>
      </c>
      <c r="I108" s="172">
        <f ca="1">IF('F_Input Override'!I108="",'Consolidated Input'!I108,('F_Input Override'!I108))</f>
        <v>0</v>
      </c>
      <c r="J108" s="172">
        <f ca="1">IF('F_Input Override'!J108="",'Consolidated Input'!J108,('F_Input Override'!J108))</f>
        <v>0</v>
      </c>
      <c r="K108" s="172">
        <f ca="1">IF('F_Input Override'!K108="",'Consolidated Input'!K108,('F_Input Override'!K108))</f>
        <v>0</v>
      </c>
      <c r="L108" s="172">
        <f ca="1">IF('F_Input Override'!L108="",'Consolidated Input'!L108,('F_Input Override'!L108))</f>
        <v>0</v>
      </c>
      <c r="M108" s="172">
        <f ca="1">IF('F_Input Override'!M108="",'Consolidated Input'!M108,('F_Input Override'!M108))</f>
        <v>0</v>
      </c>
      <c r="N108" s="173">
        <f t="shared" ca="1" si="1"/>
        <v>0</v>
      </c>
    </row>
    <row r="109" spans="1:14">
      <c r="A109" s="155" t="str">
        <f>'F_Input Override'!A108</f>
        <v>TMS</v>
      </c>
      <c r="B109" s="155" t="str">
        <f ca="1">Table1[[#This Row],[BON code]]</f>
        <v>CWW3_007TOT_PR24</v>
      </c>
      <c r="C109" s="170" t="str">
        <f>'F_Input Override'!C109</f>
        <v>EA/NRW environmental programme wastewater (WINEP/NEP) - Continuous river water quality monitoring (WINEP/NEP) wastewater capex - Total</v>
      </c>
      <c r="D109" s="170" t="str">
        <f>'F_Input Override'!D109</f>
        <v>£m</v>
      </c>
      <c r="E109" s="171" t="str">
        <f>'F_Input Override'!E109</f>
        <v>Price Review 2024</v>
      </c>
      <c r="F109" s="172">
        <f ca="1">IF('F_Input Override'!F109="",'Consolidated Input'!F109,('F_Input Override'!F109))</f>
        <v>0</v>
      </c>
      <c r="G109" s="172">
        <f ca="1">IF('F_Input Override'!G109="",'Consolidated Input'!G109,('F_Input Override'!G109))</f>
        <v>0</v>
      </c>
      <c r="H109" s="172">
        <f ca="1">IF('F_Input Override'!H109="",'Consolidated Input'!H109,('F_Input Override'!H109))</f>
        <v>15.343173003924152</v>
      </c>
      <c r="I109" s="172">
        <f ca="1">IF('F_Input Override'!I109="",'Consolidated Input'!I109,('F_Input Override'!I109))</f>
        <v>15.607423815545186</v>
      </c>
      <c r="J109" s="172">
        <f ca="1">IF('F_Input Override'!J109="",'Consolidated Input'!J109,('F_Input Override'!J109))</f>
        <v>15.490322112573518</v>
      </c>
      <c r="K109" s="172">
        <f ca="1">IF('F_Input Override'!K109="",'Consolidated Input'!K109,('F_Input Override'!K109))</f>
        <v>15.731764185200259</v>
      </c>
      <c r="L109" s="172">
        <f ca="1">IF('F_Input Override'!L109="",'Consolidated Input'!L109,('F_Input Override'!L109))</f>
        <v>15.683245085821262</v>
      </c>
      <c r="M109" s="172">
        <f ca="1">IF('F_Input Override'!M109="",'Consolidated Input'!M109,('F_Input Override'!M109))</f>
        <v>0</v>
      </c>
      <c r="N109" s="173">
        <f t="shared" ca="1" si="1"/>
        <v>77.855928203064366</v>
      </c>
    </row>
    <row r="110" spans="1:14">
      <c r="A110" s="155" t="str">
        <f>'F_Input Override'!A109</f>
        <v>NWT</v>
      </c>
      <c r="B110" s="155" t="str">
        <f ca="1">Table1[[#This Row],[BON code]]</f>
        <v>CWW3_008TOT_PR24</v>
      </c>
      <c r="C110" s="170" t="str">
        <f>'F_Input Override'!C110</f>
        <v>EA/NRW environmental programme wastewater (WINEP/NEP) - Continuous river water quality monitoring (WINEP/NEP) wastewater opex - Total</v>
      </c>
      <c r="D110" s="170" t="str">
        <f>'F_Input Override'!D110</f>
        <v>£m</v>
      </c>
      <c r="E110" s="171" t="str">
        <f>'F_Input Override'!E110</f>
        <v>Price Review 2024</v>
      </c>
      <c r="F110" s="172">
        <f ca="1">IF('F_Input Override'!F110="",'Consolidated Input'!F110,('F_Input Override'!F110))</f>
        <v>0</v>
      </c>
      <c r="G110" s="172">
        <f ca="1">IF('F_Input Override'!G110="",'Consolidated Input'!G110,('F_Input Override'!G110))</f>
        <v>0</v>
      </c>
      <c r="H110" s="172">
        <f ca="1">IF('F_Input Override'!H110="",'Consolidated Input'!H110,('F_Input Override'!H110))</f>
        <v>0</v>
      </c>
      <c r="I110" s="172">
        <f ca="1">IF('F_Input Override'!I110="",'Consolidated Input'!I110,('F_Input Override'!I110))</f>
        <v>0.64522270826296735</v>
      </c>
      <c r="J110" s="172">
        <f ca="1">IF('F_Input Override'!J110="",'Consolidated Input'!J110,('F_Input Override'!J110))</f>
        <v>1.2807632705386729</v>
      </c>
      <c r="K110" s="172">
        <f ca="1">IF('F_Input Override'!K110="",'Consolidated Input'!K110,('F_Input Override'!K110))</f>
        <v>1.9510890996410151</v>
      </c>
      <c r="L110" s="172">
        <f ca="1">IF('F_Input Override'!L110="",'Consolidated Input'!L110,('F_Input Override'!L110))</f>
        <v>2.5934288677537247</v>
      </c>
      <c r="M110" s="172">
        <f ca="1">IF('F_Input Override'!M110="",'Consolidated Input'!M110,('F_Input Override'!M110))</f>
        <v>0</v>
      </c>
      <c r="N110" s="173">
        <f t="shared" ca="1" si="1"/>
        <v>6.4705039461963807</v>
      </c>
    </row>
    <row r="111" spans="1:14">
      <c r="A111" s="155" t="str">
        <f>'F_Input Override'!A110</f>
        <v>NWT</v>
      </c>
      <c r="B111" s="155" t="str">
        <f ca="1">Table1[[#This Row],[BON code]]</f>
        <v>CWW3_009TOT_PR24</v>
      </c>
      <c r="C111" s="170" t="str">
        <f>'F_Input Override'!C111</f>
        <v>EA/NRW environmental programme wastewater (WINEP/NEP) - Continuous river water quality monitoring (WINEP/NEP) wastewater totex - Total</v>
      </c>
      <c r="D111" s="170" t="str">
        <f>'F_Input Override'!D111</f>
        <v>£m</v>
      </c>
      <c r="E111" s="171" t="str">
        <f>'F_Input Override'!E111</f>
        <v>Price Review 2024</v>
      </c>
      <c r="F111" s="172">
        <f ca="1">IF('F_Input Override'!F111="",'Consolidated Input'!F111,('F_Input Override'!F111))</f>
        <v>0</v>
      </c>
      <c r="G111" s="172">
        <f ca="1">IF('F_Input Override'!G111="",'Consolidated Input'!G111,('F_Input Override'!G111))</f>
        <v>0</v>
      </c>
      <c r="H111" s="172">
        <f ca="1">IF('F_Input Override'!H111="",'Consolidated Input'!H111,('F_Input Override'!H111))</f>
        <v>15.343173003924152</v>
      </c>
      <c r="I111" s="172">
        <f ca="1">IF('F_Input Override'!I111="",'Consolidated Input'!I111,('F_Input Override'!I111))</f>
        <v>16.252646523808153</v>
      </c>
      <c r="J111" s="172">
        <f ca="1">IF('F_Input Override'!J111="",'Consolidated Input'!J111,('F_Input Override'!J111))</f>
        <v>16.77108538311219</v>
      </c>
      <c r="K111" s="172">
        <f ca="1">IF('F_Input Override'!K111="",'Consolidated Input'!K111,('F_Input Override'!K111))</f>
        <v>17.682853284841272</v>
      </c>
      <c r="L111" s="172">
        <f ca="1">IF('F_Input Override'!L111="",'Consolidated Input'!L111,('F_Input Override'!L111))</f>
        <v>18.276673953574988</v>
      </c>
      <c r="M111" s="172">
        <f ca="1">IF('F_Input Override'!M111="",'Consolidated Input'!M111,('F_Input Override'!M111))</f>
        <v>0</v>
      </c>
      <c r="N111" s="173">
        <f t="shared" ca="1" si="1"/>
        <v>84.326432149260754</v>
      </c>
    </row>
    <row r="112" spans="1:14">
      <c r="A112" s="155" t="str">
        <f>'F_Input Override'!A111</f>
        <v>NWT</v>
      </c>
      <c r="B112" s="155" t="str">
        <f ca="1">Table1[[#This Row],[BON code]]</f>
        <v>CWW20_049_PR24</v>
      </c>
      <c r="C112" s="170" t="str">
        <f>'F_Input Override'!C112</f>
        <v>Network / Storm overflow data - Number of continuous water quality monitor installations</v>
      </c>
      <c r="D112" s="170" t="str">
        <f>'F_Input Override'!D112</f>
        <v>nr</v>
      </c>
      <c r="E112" s="171" t="str">
        <f>'F_Input Override'!E112</f>
        <v>Price Review 2024</v>
      </c>
      <c r="F112" s="172">
        <f ca="1">IF('F_Input Override'!F112="",'Consolidated Input'!F112,('F_Input Override'!F112))</f>
        <v>0</v>
      </c>
      <c r="G112" s="172">
        <f ca="1">IF('F_Input Override'!G112="",'Consolidated Input'!G112,('F_Input Override'!G112))</f>
        <v>0</v>
      </c>
      <c r="H112" s="172">
        <f ca="1">IF('F_Input Override'!H112="",'Consolidated Input'!H112,('F_Input Override'!H112))</f>
        <v>120</v>
      </c>
      <c r="I112" s="172">
        <f ca="1">IF('F_Input Override'!I112="",'Consolidated Input'!I112,('F_Input Override'!I112))</f>
        <v>120</v>
      </c>
      <c r="J112" s="172">
        <f ca="1">IF('F_Input Override'!J112="",'Consolidated Input'!J112,('F_Input Override'!J112))</f>
        <v>120</v>
      </c>
      <c r="K112" s="172">
        <f ca="1">IF('F_Input Override'!K112="",'Consolidated Input'!K112,('F_Input Override'!K112))</f>
        <v>120</v>
      </c>
      <c r="L112" s="172">
        <f ca="1">IF('F_Input Override'!L112="",'Consolidated Input'!L112,('F_Input Override'!L112))</f>
        <v>153</v>
      </c>
      <c r="M112" s="172">
        <f ca="1">IF('F_Input Override'!M112="",'Consolidated Input'!M112,('F_Input Override'!M112))</f>
        <v>0</v>
      </c>
      <c r="N112" s="173">
        <f t="shared" ca="1" si="1"/>
        <v>633</v>
      </c>
    </row>
    <row r="113" spans="1:14">
      <c r="A113" s="155" t="str">
        <f>'F_Input Override'!A112</f>
        <v>NWT</v>
      </c>
      <c r="B113" s="155" t="str">
        <f ca="1">Table1[[#This Row],[BON code]]</f>
        <v>CWW1A_015TOT_PR24</v>
      </c>
      <c r="C113" s="170" t="str">
        <f>'F_Input Override'!C113</f>
        <v>Net totex - Total</v>
      </c>
      <c r="D113" s="170" t="str">
        <f>'F_Input Override'!D113</f>
        <v>£m</v>
      </c>
      <c r="E113" s="171" t="str">
        <f>'F_Input Override'!E113</f>
        <v>Price Review 2024</v>
      </c>
      <c r="F113" s="172">
        <f ca="1">IF('F_Input Override'!F113="",'Consolidated Input'!F113,('F_Input Override'!F113))</f>
        <v>0</v>
      </c>
      <c r="G113" s="172">
        <f ca="1">IF('F_Input Override'!G113="",'Consolidated Input'!G113,('F_Input Override'!G113))</f>
        <v>0</v>
      </c>
      <c r="H113" s="172">
        <f ca="1">IF('F_Input Override'!H113="",'Consolidated Input'!H113,('F_Input Override'!H113))</f>
        <v>1569.795902040561</v>
      </c>
      <c r="I113" s="172">
        <f ca="1">IF('F_Input Override'!I113="",'Consolidated Input'!I113,('F_Input Override'!I113))</f>
        <v>1881.302270640045</v>
      </c>
      <c r="J113" s="172">
        <f ca="1">IF('F_Input Override'!J113="",'Consolidated Input'!J113,('F_Input Override'!J113))</f>
        <v>2189.086577264356</v>
      </c>
      <c r="K113" s="172">
        <f ca="1">IF('F_Input Override'!K113="",'Consolidated Input'!K113,('F_Input Override'!K113))</f>
        <v>1888.0217791000509</v>
      </c>
      <c r="L113" s="172">
        <f ca="1">IF('F_Input Override'!L113="",'Consolidated Input'!L113,('F_Input Override'!L113))</f>
        <v>1139.8668159399281</v>
      </c>
      <c r="M113" s="172">
        <f ca="1">IF('F_Input Override'!M113="",'Consolidated Input'!M113,('F_Input Override'!M113))</f>
        <v>0</v>
      </c>
      <c r="N113" s="173">
        <f t="shared" ca="1" si="1"/>
        <v>8668.0733449849395</v>
      </c>
    </row>
    <row r="114" spans="1:14">
      <c r="A114" s="155" t="str">
        <f>'F_Input Override'!A113</f>
        <v>NWT</v>
      </c>
      <c r="B114" s="155" t="str">
        <f ca="1">Table1[[#This Row],[BON code]]</f>
        <v>PR24_NETTOTEX_WASTE</v>
      </c>
      <c r="C114" s="170" t="str">
        <f>'F_Input Override'!C114</f>
        <v>PR24 BP Net totex - Total inc. accelerated &amp; transition costs</v>
      </c>
      <c r="D114" s="170" t="str">
        <f>'F_Input Override'!D114</f>
        <v>£m</v>
      </c>
      <c r="E114" s="171" t="str">
        <f>'F_Input Override'!E114</f>
        <v>Price Review 2024</v>
      </c>
      <c r="F114" s="172">
        <f ca="1">IF('F_Input Override'!F114="",'Consolidated Input'!F114,('F_Input Override'!F114))</f>
        <v>0</v>
      </c>
      <c r="G114" s="172">
        <f ca="1">IF('F_Input Override'!G114="",'Consolidated Input'!G114,('F_Input Override'!G114))</f>
        <v>0</v>
      </c>
      <c r="H114" s="172">
        <f ca="1">IF('F_Input Override'!H114="",'Consolidated Input'!H114,('F_Input Override'!H114))</f>
        <v>0</v>
      </c>
      <c r="I114" s="172">
        <f ca="1">IF('F_Input Override'!I114="",'Consolidated Input'!I114,('F_Input Override'!I114))</f>
        <v>0</v>
      </c>
      <c r="J114" s="172">
        <f ca="1">IF('F_Input Override'!J114="",'Consolidated Input'!J114,('F_Input Override'!J114))</f>
        <v>0</v>
      </c>
      <c r="K114" s="172">
        <f ca="1">IF('F_Input Override'!K114="",'Consolidated Input'!K114,('F_Input Override'!K114))</f>
        <v>0</v>
      </c>
      <c r="L114" s="172">
        <f ca="1">IF('F_Input Override'!L114="",'Consolidated Input'!L114,('F_Input Override'!L114))</f>
        <v>0</v>
      </c>
      <c r="M114" s="172">
        <f ca="1">IF('F_Input Override'!M114="",'Consolidated Input'!M114,('F_Input Override'!M114))</f>
        <v>8993.1795747355063</v>
      </c>
      <c r="N114" s="173">
        <f t="shared" ca="1" si="1"/>
        <v>0</v>
      </c>
    </row>
    <row r="115" spans="1:14">
      <c r="A115" s="155" t="str">
        <f>'F_Input Override'!A114</f>
        <v>NWT</v>
      </c>
      <c r="B115" s="155" t="str">
        <f ca="1">Table1[[#This Row],[BON code]]</f>
        <v>CWW12_007TOT_PR24</v>
      </c>
      <c r="C115" s="170" t="str">
        <f>'F_Input Override'!C115</f>
        <v>EA/NRW environmental programme wastewater (WINEP/NEP) - Continuous river water quality monitoring (WINEP/NEP) wastewater capex - Total</v>
      </c>
      <c r="D115" s="170" t="str">
        <f>'F_Input Override'!D115</f>
        <v>£m</v>
      </c>
      <c r="E115" s="171" t="str">
        <f>'F_Input Override'!E115</f>
        <v>Price Review 2024</v>
      </c>
      <c r="F115" s="172">
        <f ca="1">IF('F_Input Override'!F115="",'Consolidated Input'!F115,('F_Input Override'!F115))</f>
        <v>0</v>
      </c>
      <c r="G115" s="172">
        <f ca="1">IF('F_Input Override'!G115="",'Consolidated Input'!G115,('F_Input Override'!G115))</f>
        <v>0</v>
      </c>
      <c r="H115" s="172">
        <f ca="1">IF('F_Input Override'!H115="",'Consolidated Input'!H115,('F_Input Override'!H115))</f>
        <v>0</v>
      </c>
      <c r="I115" s="172">
        <f ca="1">IF('F_Input Override'!I115="",'Consolidated Input'!I115,('F_Input Override'!I115))</f>
        <v>0</v>
      </c>
      <c r="J115" s="172">
        <f ca="1">IF('F_Input Override'!J115="",'Consolidated Input'!J115,('F_Input Override'!J115))</f>
        <v>0</v>
      </c>
      <c r="K115" s="172">
        <f ca="1">IF('F_Input Override'!K115="",'Consolidated Input'!K115,('F_Input Override'!K115))</f>
        <v>0</v>
      </c>
      <c r="L115" s="172">
        <f ca="1">IF('F_Input Override'!L115="",'Consolidated Input'!L115,('F_Input Override'!L115))</f>
        <v>0</v>
      </c>
      <c r="M115" s="172">
        <f ca="1">IF('F_Input Override'!M115="",'Consolidated Input'!M115,('F_Input Override'!M115))</f>
        <v>0</v>
      </c>
      <c r="N115" s="173">
        <f t="shared" ca="1" si="1"/>
        <v>0</v>
      </c>
    </row>
    <row r="116" spans="1:14">
      <c r="A116" s="155" t="str">
        <f>'F_Input Override'!A115</f>
        <v>NWT</v>
      </c>
      <c r="B116" s="155" t="str">
        <f ca="1">Table1[[#This Row],[BON code]]</f>
        <v>CWW12_008TOT_PR24</v>
      </c>
      <c r="C116" s="170" t="str">
        <f>'F_Input Override'!C116</f>
        <v>EA/NRW environmental programme wastewater (WINEP/NEP) - Continuous river water quality monitoring (WINEP/NEP) wastewater opex - Total</v>
      </c>
      <c r="D116" s="170" t="str">
        <f>'F_Input Override'!D116</f>
        <v>£m</v>
      </c>
      <c r="E116" s="171" t="str">
        <f>'F_Input Override'!E116</f>
        <v>Price Review 2024</v>
      </c>
      <c r="F116" s="172">
        <f ca="1">IF('F_Input Override'!F116="",'Consolidated Input'!F116,('F_Input Override'!F116))</f>
        <v>0</v>
      </c>
      <c r="G116" s="172">
        <f ca="1">IF('F_Input Override'!G116="",'Consolidated Input'!G116,('F_Input Override'!G116))</f>
        <v>0</v>
      </c>
      <c r="H116" s="172">
        <f ca="1">IF('F_Input Override'!H116="",'Consolidated Input'!H116,('F_Input Override'!H116))</f>
        <v>0</v>
      </c>
      <c r="I116" s="172">
        <f ca="1">IF('F_Input Override'!I116="",'Consolidated Input'!I116,('F_Input Override'!I116))</f>
        <v>0</v>
      </c>
      <c r="J116" s="172">
        <f ca="1">IF('F_Input Override'!J116="",'Consolidated Input'!J116,('F_Input Override'!J116))</f>
        <v>0</v>
      </c>
      <c r="K116" s="172">
        <f ca="1">IF('F_Input Override'!K116="",'Consolidated Input'!K116,('F_Input Override'!K116))</f>
        <v>0</v>
      </c>
      <c r="L116" s="172">
        <f ca="1">IF('F_Input Override'!L116="",'Consolidated Input'!L116,('F_Input Override'!L116))</f>
        <v>0</v>
      </c>
      <c r="M116" s="172">
        <f ca="1">IF('F_Input Override'!M116="",'Consolidated Input'!M116,('F_Input Override'!M116))</f>
        <v>0</v>
      </c>
      <c r="N116" s="173">
        <f t="shared" ca="1" si="1"/>
        <v>0</v>
      </c>
    </row>
    <row r="117" spans="1:14">
      <c r="A117" s="155" t="str">
        <f>'F_Input Override'!A116</f>
        <v>NWT</v>
      </c>
      <c r="B117" s="155" t="str">
        <f ca="1">Table1[[#This Row],[BON code]]</f>
        <v>CWW12_009TOT_PR24</v>
      </c>
      <c r="C117" s="170" t="str">
        <f>'F_Input Override'!C117</f>
        <v>EA/NRW environmental programme wastewater (WINEP/NEP) - Continuous river water quality monitoring (WINEP/NEP) wastewater totex - Total</v>
      </c>
      <c r="D117" s="170" t="str">
        <f>'F_Input Override'!D117</f>
        <v>£m</v>
      </c>
      <c r="E117" s="171" t="str">
        <f>'F_Input Override'!E117</f>
        <v>Price Review 2024</v>
      </c>
      <c r="F117" s="172">
        <f ca="1">IF('F_Input Override'!F117="",'Consolidated Input'!F117,('F_Input Override'!F117))</f>
        <v>0</v>
      </c>
      <c r="G117" s="172">
        <f ca="1">IF('F_Input Override'!G117="",'Consolidated Input'!G117,('F_Input Override'!G117))</f>
        <v>0</v>
      </c>
      <c r="H117" s="172">
        <f ca="1">IF('F_Input Override'!H117="",'Consolidated Input'!H117,('F_Input Override'!H117))</f>
        <v>0</v>
      </c>
      <c r="I117" s="172">
        <f ca="1">IF('F_Input Override'!I117="",'Consolidated Input'!I117,('F_Input Override'!I117))</f>
        <v>0</v>
      </c>
      <c r="J117" s="172">
        <f ca="1">IF('F_Input Override'!J117="",'Consolidated Input'!J117,('F_Input Override'!J117))</f>
        <v>0</v>
      </c>
      <c r="K117" s="172">
        <f ca="1">IF('F_Input Override'!K117="",'Consolidated Input'!K117,('F_Input Override'!K117))</f>
        <v>0</v>
      </c>
      <c r="L117" s="172">
        <f ca="1">IF('F_Input Override'!L117="",'Consolidated Input'!L117,('F_Input Override'!L117))</f>
        <v>0</v>
      </c>
      <c r="M117" s="172">
        <f ca="1">IF('F_Input Override'!M117="",'Consolidated Input'!M117,('F_Input Override'!M117))</f>
        <v>0</v>
      </c>
      <c r="N117" s="173">
        <f t="shared" ca="1" si="1"/>
        <v>0</v>
      </c>
    </row>
    <row r="118" spans="1:14">
      <c r="A118" s="155" t="str">
        <f>'F_Input Override'!A117</f>
        <v>NWT</v>
      </c>
      <c r="B118" s="155" t="str">
        <f ca="1">Table1[[#This Row],[BON code]]</f>
        <v>CWW17_007TOT_PR24</v>
      </c>
      <c r="C118" s="170" t="str">
        <f>'F_Input Override'!C118</f>
        <v>EA/NRW environmental programme wastewater (WINEP/NEP) - Continuous river water quality monitoring (WINEP/NEP) wastewater capex - Total</v>
      </c>
      <c r="D118" s="170" t="str">
        <f>'F_Input Override'!D118</f>
        <v>£m</v>
      </c>
      <c r="E118" s="171" t="str">
        <f>'F_Input Override'!E118</f>
        <v>Price Review 2024</v>
      </c>
      <c r="F118" s="172">
        <f ca="1">IF('F_Input Override'!F118="",'Consolidated Input'!F118,('F_Input Override'!F118))</f>
        <v>0</v>
      </c>
      <c r="G118" s="172">
        <f ca="1">IF('F_Input Override'!G118="",'Consolidated Input'!G118,('F_Input Override'!G118))</f>
        <v>0</v>
      </c>
      <c r="H118" s="172">
        <f ca="1">IF('F_Input Override'!H118="",'Consolidated Input'!H118,('F_Input Override'!H118))</f>
        <v>0</v>
      </c>
      <c r="I118" s="172">
        <f ca="1">IF('F_Input Override'!I118="",'Consolidated Input'!I118,('F_Input Override'!I118))</f>
        <v>0</v>
      </c>
      <c r="J118" s="172">
        <f ca="1">IF('F_Input Override'!J118="",'Consolidated Input'!J118,('F_Input Override'!J118))</f>
        <v>0</v>
      </c>
      <c r="K118" s="172">
        <f ca="1">IF('F_Input Override'!K118="",'Consolidated Input'!K118,('F_Input Override'!K118))</f>
        <v>0</v>
      </c>
      <c r="L118" s="172">
        <f ca="1">IF('F_Input Override'!L118="",'Consolidated Input'!L118,('F_Input Override'!L118))</f>
        <v>0</v>
      </c>
      <c r="M118" s="172">
        <f ca="1">IF('F_Input Override'!M118="",'Consolidated Input'!M118,('F_Input Override'!M118))</f>
        <v>0</v>
      </c>
      <c r="N118" s="173">
        <f t="shared" ca="1" si="1"/>
        <v>0</v>
      </c>
    </row>
    <row r="119" spans="1:14">
      <c r="A119" s="155" t="str">
        <f>'F_Input Override'!A118</f>
        <v>NWT</v>
      </c>
      <c r="B119" s="155" t="str">
        <f ca="1">Table1[[#This Row],[BON code]]</f>
        <v>CWW17_008TOT_PR24</v>
      </c>
      <c r="C119" s="170" t="str">
        <f>'F_Input Override'!C119</f>
        <v>EA/NRW environmental programme wastewater (WINEP/NEP) - Continuous river water quality monitoring (WINEP/NEP) wastewater opex - Total</v>
      </c>
      <c r="D119" s="170" t="str">
        <f>'F_Input Override'!D119</f>
        <v>£m</v>
      </c>
      <c r="E119" s="171" t="str">
        <f>'F_Input Override'!E119</f>
        <v>Price Review 2024</v>
      </c>
      <c r="F119" s="172">
        <f ca="1">IF('F_Input Override'!F119="",'Consolidated Input'!F119,('F_Input Override'!F119))</f>
        <v>0</v>
      </c>
      <c r="G119" s="172">
        <f ca="1">IF('F_Input Override'!G119="",'Consolidated Input'!G119,('F_Input Override'!G119))</f>
        <v>0</v>
      </c>
      <c r="H119" s="172">
        <f ca="1">IF('F_Input Override'!H119="",'Consolidated Input'!H119,('F_Input Override'!H119))</f>
        <v>0</v>
      </c>
      <c r="I119" s="172">
        <f ca="1">IF('F_Input Override'!I119="",'Consolidated Input'!I119,('F_Input Override'!I119))</f>
        <v>0</v>
      </c>
      <c r="J119" s="172">
        <f ca="1">IF('F_Input Override'!J119="",'Consolidated Input'!J119,('F_Input Override'!J119))</f>
        <v>0</v>
      </c>
      <c r="K119" s="172">
        <f ca="1">IF('F_Input Override'!K119="",'Consolidated Input'!K119,('F_Input Override'!K119))</f>
        <v>0</v>
      </c>
      <c r="L119" s="172">
        <f ca="1">IF('F_Input Override'!L119="",'Consolidated Input'!L119,('F_Input Override'!L119))</f>
        <v>0</v>
      </c>
      <c r="M119" s="172">
        <f ca="1">IF('F_Input Override'!M119="",'Consolidated Input'!M119,('F_Input Override'!M119))</f>
        <v>0</v>
      </c>
      <c r="N119" s="173">
        <f t="shared" ca="1" si="1"/>
        <v>0</v>
      </c>
    </row>
    <row r="120" spans="1:14">
      <c r="A120" s="155" t="str">
        <f>'F_Input Override'!A119</f>
        <v>NWT</v>
      </c>
      <c r="B120" s="155" t="str">
        <f ca="1">Table1[[#This Row],[BON code]]</f>
        <v>CWW17_009TOT_PR24</v>
      </c>
      <c r="C120" s="170" t="str">
        <f>'F_Input Override'!C120</f>
        <v>EA/NRW environmental programme wastewater (WINEP/NEP) - Continuous river water quality monitoring (WINEP/NEP) wastewater totex - Total</v>
      </c>
      <c r="D120" s="170" t="str">
        <f>'F_Input Override'!D120</f>
        <v>£m</v>
      </c>
      <c r="E120" s="171" t="str">
        <f>'F_Input Override'!E120</f>
        <v>Price Review 2024</v>
      </c>
      <c r="F120" s="172">
        <f ca="1">IF('F_Input Override'!F120="",'Consolidated Input'!F120,('F_Input Override'!F120))</f>
        <v>0</v>
      </c>
      <c r="G120" s="172">
        <f ca="1">IF('F_Input Override'!G120="",'Consolidated Input'!G120,('F_Input Override'!G120))</f>
        <v>0</v>
      </c>
      <c r="H120" s="172">
        <f ca="1">IF('F_Input Override'!H120="",'Consolidated Input'!H120,('F_Input Override'!H120))</f>
        <v>0</v>
      </c>
      <c r="I120" s="172">
        <f ca="1">IF('F_Input Override'!I120="",'Consolidated Input'!I120,('F_Input Override'!I120))</f>
        <v>0</v>
      </c>
      <c r="J120" s="172">
        <f ca="1">IF('F_Input Override'!J120="",'Consolidated Input'!J120,('F_Input Override'!J120))</f>
        <v>0</v>
      </c>
      <c r="K120" s="172">
        <f ca="1">IF('F_Input Override'!K120="",'Consolidated Input'!K120,('F_Input Override'!K120))</f>
        <v>0</v>
      </c>
      <c r="L120" s="172">
        <f ca="1">IF('F_Input Override'!L120="",'Consolidated Input'!L120,('F_Input Override'!L120))</f>
        <v>0</v>
      </c>
      <c r="M120" s="172">
        <f ca="1">IF('F_Input Override'!M120="",'Consolidated Input'!M120,('F_Input Override'!M120))</f>
        <v>0</v>
      </c>
      <c r="N120" s="173">
        <f t="shared" ca="1" si="1"/>
        <v>0</v>
      </c>
    </row>
    <row r="121" spans="1:14">
      <c r="A121" s="155" t="str">
        <f>'F_Input Override'!A120</f>
        <v>NWT</v>
      </c>
      <c r="B121" s="155" t="str">
        <f ca="1">Table1[[#This Row],[BON code]]</f>
        <v>CWW20A_049_PR24</v>
      </c>
      <c r="C121" s="170" t="str">
        <f>'F_Input Override'!C121</f>
        <v>Network / Storm overflow data - Number of continuous water quality monitor installations</v>
      </c>
      <c r="D121" s="170" t="str">
        <f>'F_Input Override'!D121</f>
        <v>nr</v>
      </c>
      <c r="E121" s="171" t="str">
        <f>'F_Input Override'!E121</f>
        <v>Price Review 2024</v>
      </c>
      <c r="F121" s="172">
        <f ca="1">IF('F_Input Override'!F121="",'Consolidated Input'!F121,('F_Input Override'!F121))</f>
        <v>0</v>
      </c>
      <c r="G121" s="172">
        <f ca="1">IF('F_Input Override'!G121="",'Consolidated Input'!G121,('F_Input Override'!G121))</f>
        <v>0</v>
      </c>
      <c r="H121" s="172">
        <f ca="1">IF('F_Input Override'!H121="",'Consolidated Input'!H121,('F_Input Override'!H121))</f>
        <v>0</v>
      </c>
      <c r="I121" s="172">
        <f ca="1">IF('F_Input Override'!I121="",'Consolidated Input'!I121,('F_Input Override'!I121))</f>
        <v>0</v>
      </c>
      <c r="J121" s="172">
        <f ca="1">IF('F_Input Override'!J121="",'Consolidated Input'!J121,('F_Input Override'!J121))</f>
        <v>0</v>
      </c>
      <c r="K121" s="172">
        <f ca="1">IF('F_Input Override'!K121="",'Consolidated Input'!K121,('F_Input Override'!K121))</f>
        <v>0</v>
      </c>
      <c r="L121" s="172">
        <f ca="1">IF('F_Input Override'!L121="",'Consolidated Input'!L121,('F_Input Override'!L121))</f>
        <v>0</v>
      </c>
      <c r="M121" s="172">
        <f ca="1">IF('F_Input Override'!M121="",'Consolidated Input'!M121,('F_Input Override'!M121))</f>
        <v>0</v>
      </c>
      <c r="N121" s="173">
        <f t="shared" ca="1" si="1"/>
        <v>0</v>
      </c>
    </row>
    <row r="122" spans="1:14">
      <c r="A122" s="155" t="str">
        <f>'F_Input Override'!A121</f>
        <v>NWT</v>
      </c>
      <c r="B122" s="155" t="str">
        <f ca="1">Table1[[#This Row],[BON code]]</f>
        <v>CWW3_007TOT_PR24</v>
      </c>
      <c r="C122" s="170" t="str">
        <f>'F_Input Override'!C122</f>
        <v>EA/NRW environmental programme wastewater (WINEP/NEP) - Continuous river water quality monitoring (WINEP/NEP) wastewater capex - Total</v>
      </c>
      <c r="D122" s="170" t="str">
        <f>'F_Input Override'!D122</f>
        <v>£m</v>
      </c>
      <c r="E122" s="171" t="str">
        <f>'F_Input Override'!E122</f>
        <v>Price Review 2024</v>
      </c>
      <c r="F122" s="172">
        <f ca="1">IF('F_Input Override'!F122="",'Consolidated Input'!F122,('F_Input Override'!F122))</f>
        <v>0</v>
      </c>
      <c r="G122" s="172">
        <f ca="1">IF('F_Input Override'!G122="",'Consolidated Input'!G122,('F_Input Override'!G122))</f>
        <v>0</v>
      </c>
      <c r="H122" s="172">
        <f ca="1">IF('F_Input Override'!H122="",'Consolidated Input'!H122,('F_Input Override'!H122))</f>
        <v>9.0309339999999985</v>
      </c>
      <c r="I122" s="172">
        <f ca="1">IF('F_Input Override'!I122="",'Consolidated Input'!I122,('F_Input Override'!I122))</f>
        <v>9.3488150000000001</v>
      </c>
      <c r="J122" s="172">
        <f ca="1">IF('F_Input Override'!J122="",'Consolidated Input'!J122,('F_Input Override'!J122))</f>
        <v>10.235889999999999</v>
      </c>
      <c r="K122" s="172">
        <f ca="1">IF('F_Input Override'!K122="",'Consolidated Input'!K122,('F_Input Override'!K122))</f>
        <v>9.5546430000000004</v>
      </c>
      <c r="L122" s="172">
        <f ca="1">IF('F_Input Override'!L122="",'Consolidated Input'!L122,('F_Input Override'!L122))</f>
        <v>11.518822</v>
      </c>
      <c r="M122" s="172">
        <f ca="1">IF('F_Input Override'!M122="",'Consolidated Input'!M122,('F_Input Override'!M122))</f>
        <v>0</v>
      </c>
      <c r="N122" s="173">
        <f t="shared" ca="1" si="1"/>
        <v>49.689103999999993</v>
      </c>
    </row>
    <row r="123" spans="1:14">
      <c r="A123" s="155" t="str">
        <f>'F_Input Override'!A122</f>
        <v>WSX</v>
      </c>
      <c r="B123" s="155" t="str">
        <f ca="1">Table1[[#This Row],[BON code]]</f>
        <v>CWW3_008TOT_PR24</v>
      </c>
      <c r="C123" s="170" t="str">
        <f>'F_Input Override'!C123</f>
        <v>EA/NRW environmental programme wastewater (WINEP/NEP) - Continuous river water quality monitoring (WINEP/NEP) wastewater opex - Total</v>
      </c>
      <c r="D123" s="170" t="str">
        <f>'F_Input Override'!D123</f>
        <v>£m</v>
      </c>
      <c r="E123" s="171" t="str">
        <f>'F_Input Override'!E123</f>
        <v>Price Review 2024</v>
      </c>
      <c r="F123" s="172">
        <f ca="1">IF('F_Input Override'!F123="",'Consolidated Input'!F123,('F_Input Override'!F123))</f>
        <v>0</v>
      </c>
      <c r="G123" s="172">
        <f ca="1">IF('F_Input Override'!G123="",'Consolidated Input'!G123,('F_Input Override'!G123))</f>
        <v>0</v>
      </c>
      <c r="H123" s="172">
        <f ca="1">IF('F_Input Override'!H123="",'Consolidated Input'!H123,('F_Input Override'!H123))</f>
        <v>0.98157799999999995</v>
      </c>
      <c r="I123" s="172">
        <f ca="1">IF('F_Input Override'!I123="",'Consolidated Input'!I123,('F_Input Override'!I123))</f>
        <v>2.3942929999999998</v>
      </c>
      <c r="J123" s="172">
        <f ca="1">IF('F_Input Override'!J123="",'Consolidated Input'!J123,('F_Input Override'!J123))</f>
        <v>2.3160430000000001</v>
      </c>
      <c r="K123" s="172">
        <f ca="1">IF('F_Input Override'!K123="",'Consolidated Input'!K123,('F_Input Override'!K123))</f>
        <v>2.2070690000000002</v>
      </c>
      <c r="L123" s="172">
        <f ca="1">IF('F_Input Override'!L123="",'Consolidated Input'!L123,('F_Input Override'!L123))</f>
        <v>3.0465270000000002</v>
      </c>
      <c r="M123" s="172">
        <f ca="1">IF('F_Input Override'!M123="",'Consolidated Input'!M123,('F_Input Override'!M123))</f>
        <v>0</v>
      </c>
      <c r="N123" s="173">
        <f t="shared" ca="1" si="1"/>
        <v>10.945509999999999</v>
      </c>
    </row>
    <row r="124" spans="1:14">
      <c r="A124" s="155" t="str">
        <f>'F_Input Override'!A123</f>
        <v>WSX</v>
      </c>
      <c r="B124" s="155" t="str">
        <f ca="1">Table1[[#This Row],[BON code]]</f>
        <v>CWW3_009TOT_PR24</v>
      </c>
      <c r="C124" s="170" t="str">
        <f>'F_Input Override'!C124</f>
        <v>EA/NRW environmental programme wastewater (WINEP/NEP) - Continuous river water quality monitoring (WINEP/NEP) wastewater totex - Total</v>
      </c>
      <c r="D124" s="170" t="str">
        <f>'F_Input Override'!D124</f>
        <v>£m</v>
      </c>
      <c r="E124" s="171" t="str">
        <f>'F_Input Override'!E124</f>
        <v>Price Review 2024</v>
      </c>
      <c r="F124" s="172">
        <f ca="1">IF('F_Input Override'!F124="",'Consolidated Input'!F124,('F_Input Override'!F124))</f>
        <v>0</v>
      </c>
      <c r="G124" s="172">
        <f ca="1">IF('F_Input Override'!G124="",'Consolidated Input'!G124,('F_Input Override'!G124))</f>
        <v>0</v>
      </c>
      <c r="H124" s="172">
        <f ca="1">IF('F_Input Override'!H124="",'Consolidated Input'!H124,('F_Input Override'!H124))</f>
        <v>10.012511999999999</v>
      </c>
      <c r="I124" s="172">
        <f ca="1">IF('F_Input Override'!I124="",'Consolidated Input'!I124,('F_Input Override'!I124))</f>
        <v>11.743107999999999</v>
      </c>
      <c r="J124" s="172">
        <f ca="1">IF('F_Input Override'!J124="",'Consolidated Input'!J124,('F_Input Override'!J124))</f>
        <v>12.551933</v>
      </c>
      <c r="K124" s="172">
        <f ca="1">IF('F_Input Override'!K124="",'Consolidated Input'!K124,('F_Input Override'!K124))</f>
        <v>11.761711999999999</v>
      </c>
      <c r="L124" s="172">
        <f ca="1">IF('F_Input Override'!L124="",'Consolidated Input'!L124,('F_Input Override'!L124))</f>
        <v>14.565348999999999</v>
      </c>
      <c r="M124" s="172">
        <f ca="1">IF('F_Input Override'!M124="",'Consolidated Input'!M124,('F_Input Override'!M124))</f>
        <v>0</v>
      </c>
      <c r="N124" s="173">
        <f t="shared" ca="1" si="1"/>
        <v>60.634613999999999</v>
      </c>
    </row>
    <row r="125" spans="1:14">
      <c r="A125" s="155" t="str">
        <f>'F_Input Override'!A124</f>
        <v>WSX</v>
      </c>
      <c r="B125" s="155" t="str">
        <f ca="1">Table1[[#This Row],[BON code]]</f>
        <v>CWW20_049_PR24</v>
      </c>
      <c r="C125" s="170" t="str">
        <f>'F_Input Override'!C125</f>
        <v>Network / Storm overflow data - Number of continuous water quality monitor installations</v>
      </c>
      <c r="D125" s="170" t="str">
        <f>'F_Input Override'!D125</f>
        <v>nr</v>
      </c>
      <c r="E125" s="171" t="str">
        <f>'F_Input Override'!E125</f>
        <v>Price Review 2024</v>
      </c>
      <c r="F125" s="172">
        <f ca="1">IF('F_Input Override'!F125="",'Consolidated Input'!F125,('F_Input Override'!F125))</f>
        <v>0</v>
      </c>
      <c r="G125" s="172">
        <f ca="1">IF('F_Input Override'!G125="",'Consolidated Input'!G125,('F_Input Override'!G125))</f>
        <v>0</v>
      </c>
      <c r="H125" s="172">
        <f ca="1">IF('F_Input Override'!H125="",'Consolidated Input'!H125,('F_Input Override'!H125))</f>
        <v>10</v>
      </c>
      <c r="I125" s="172">
        <f ca="1">IF('F_Input Override'!I125="",'Consolidated Input'!I125,('F_Input Override'!I125))</f>
        <v>100</v>
      </c>
      <c r="J125" s="172">
        <f ca="1">IF('F_Input Override'!J125="",'Consolidated Input'!J125,('F_Input Override'!J125))</f>
        <v>100</v>
      </c>
      <c r="K125" s="172">
        <f ca="1">IF('F_Input Override'!K125="",'Consolidated Input'!K125,('F_Input Override'!K125))</f>
        <v>120</v>
      </c>
      <c r="L125" s="172">
        <f ca="1">IF('F_Input Override'!L125="",'Consolidated Input'!L125,('F_Input Override'!L125))</f>
        <v>140</v>
      </c>
      <c r="M125" s="172">
        <f ca="1">IF('F_Input Override'!M125="",'Consolidated Input'!M125,('F_Input Override'!M125))</f>
        <v>0</v>
      </c>
      <c r="N125" s="173">
        <f t="shared" ca="1" si="1"/>
        <v>470</v>
      </c>
    </row>
    <row r="126" spans="1:14">
      <c r="A126" s="155" t="str">
        <f>'F_Input Override'!A125</f>
        <v>WSX</v>
      </c>
      <c r="B126" s="155" t="str">
        <f ca="1">Table1[[#This Row],[BON code]]</f>
        <v>CWW1A_015TOT_PR24</v>
      </c>
      <c r="C126" s="170" t="str">
        <f>'F_Input Override'!C126</f>
        <v>Net totex - Total</v>
      </c>
      <c r="D126" s="170" t="str">
        <f>'F_Input Override'!D126</f>
        <v>£m</v>
      </c>
      <c r="E126" s="171" t="str">
        <f>'F_Input Override'!E126</f>
        <v>Price Review 2024</v>
      </c>
      <c r="F126" s="172">
        <f ca="1">IF('F_Input Override'!F126="",'Consolidated Input'!F126,('F_Input Override'!F126))</f>
        <v>0</v>
      </c>
      <c r="G126" s="172">
        <f ca="1">IF('F_Input Override'!G126="",'Consolidated Input'!G126,('F_Input Override'!G126))</f>
        <v>0</v>
      </c>
      <c r="H126" s="172">
        <f ca="1">IF('F_Input Override'!H126="",'Consolidated Input'!H126,('F_Input Override'!H126))</f>
        <v>526.33093822919</v>
      </c>
      <c r="I126" s="172">
        <f ca="1">IF('F_Input Override'!I126="",'Consolidated Input'!I126,('F_Input Override'!I126))</f>
        <v>558.80413455846633</v>
      </c>
      <c r="J126" s="172">
        <f ca="1">IF('F_Input Override'!J126="",'Consolidated Input'!J126,('F_Input Override'!J126))</f>
        <v>575.36301598312627</v>
      </c>
      <c r="K126" s="172">
        <f ca="1">IF('F_Input Override'!K126="",'Consolidated Input'!K126,('F_Input Override'!K126))</f>
        <v>837.08372922394676</v>
      </c>
      <c r="L126" s="172">
        <f ca="1">IF('F_Input Override'!L126="",'Consolidated Input'!L126,('F_Input Override'!L126))</f>
        <v>1152.392571151533</v>
      </c>
      <c r="M126" s="172">
        <f ca="1">IF('F_Input Override'!M126="",'Consolidated Input'!M126,('F_Input Override'!M126))</f>
        <v>0</v>
      </c>
      <c r="N126" s="173">
        <f t="shared" ca="1" si="1"/>
        <v>3649.9743891462622</v>
      </c>
    </row>
    <row r="127" spans="1:14">
      <c r="A127" s="155" t="str">
        <f>'F_Input Override'!A126</f>
        <v>WSX</v>
      </c>
      <c r="B127" s="155" t="str">
        <f ca="1">Table1[[#This Row],[BON code]]</f>
        <v>PR24_NETTOTEX_WASTE</v>
      </c>
      <c r="C127" s="170" t="str">
        <f>'F_Input Override'!C127</f>
        <v>PR24 BP Net totex - Total inc. accelerated &amp; transition costs</v>
      </c>
      <c r="D127" s="170" t="str">
        <f>'F_Input Override'!D127</f>
        <v>£m</v>
      </c>
      <c r="E127" s="171" t="str">
        <f>'F_Input Override'!E127</f>
        <v>Price Review 2024</v>
      </c>
      <c r="F127" s="172">
        <f ca="1">IF('F_Input Override'!F127="",'Consolidated Input'!F127,('F_Input Override'!F127))</f>
        <v>0</v>
      </c>
      <c r="G127" s="172">
        <f ca="1">IF('F_Input Override'!G127="",'Consolidated Input'!G127,('F_Input Override'!G127))</f>
        <v>0</v>
      </c>
      <c r="H127" s="172">
        <f ca="1">IF('F_Input Override'!H127="",'Consolidated Input'!H127,('F_Input Override'!H127))</f>
        <v>0</v>
      </c>
      <c r="I127" s="172">
        <f ca="1">IF('F_Input Override'!I127="",'Consolidated Input'!I127,('F_Input Override'!I127))</f>
        <v>0</v>
      </c>
      <c r="J127" s="172">
        <f ca="1">IF('F_Input Override'!J127="",'Consolidated Input'!J127,('F_Input Override'!J127))</f>
        <v>0</v>
      </c>
      <c r="K127" s="172">
        <f ca="1">IF('F_Input Override'!K127="",'Consolidated Input'!K127,('F_Input Override'!K127))</f>
        <v>0</v>
      </c>
      <c r="L127" s="172">
        <f ca="1">IF('F_Input Override'!L127="",'Consolidated Input'!L127,('F_Input Override'!L127))</f>
        <v>0</v>
      </c>
      <c r="M127" s="172">
        <f ca="1">IF('F_Input Override'!M127="",'Consolidated Input'!M127,('F_Input Override'!M127))</f>
        <v>3717.8809591462623</v>
      </c>
      <c r="N127" s="173">
        <f t="shared" ca="1" si="1"/>
        <v>0</v>
      </c>
    </row>
    <row r="128" spans="1:14">
      <c r="A128" s="155" t="str">
        <f>'F_Input Override'!A127</f>
        <v>WSX</v>
      </c>
      <c r="B128" s="155" t="str">
        <f ca="1">Table1[[#This Row],[BON code]]</f>
        <v>CWW12_007TOT_PR24</v>
      </c>
      <c r="C128" s="170" t="str">
        <f>'F_Input Override'!C128</f>
        <v>EA/NRW environmental programme wastewater (WINEP/NEP) - Continuous river water quality monitoring (WINEP/NEP) wastewater capex - Total</v>
      </c>
      <c r="D128" s="170" t="str">
        <f>'F_Input Override'!D128</f>
        <v>£m</v>
      </c>
      <c r="E128" s="171" t="str">
        <f>'F_Input Override'!E128</f>
        <v>Price Review 2024</v>
      </c>
      <c r="F128" s="172">
        <f ca="1">IF('F_Input Override'!F128="",'Consolidated Input'!F128,('F_Input Override'!F128))</f>
        <v>0.17294799999999999</v>
      </c>
      <c r="G128" s="172">
        <f ca="1">IF('F_Input Override'!G128="",'Consolidated Input'!G128,('F_Input Override'!G128))</f>
        <v>1.662501</v>
      </c>
      <c r="H128" s="172">
        <f ca="1">IF('F_Input Override'!H128="",'Consolidated Input'!H128,('F_Input Override'!H128))</f>
        <v>0</v>
      </c>
      <c r="I128" s="172">
        <f ca="1">IF('F_Input Override'!I128="",'Consolidated Input'!I128,('F_Input Override'!I128))</f>
        <v>0</v>
      </c>
      <c r="J128" s="172">
        <f ca="1">IF('F_Input Override'!J128="",'Consolidated Input'!J128,('F_Input Override'!J128))</f>
        <v>0</v>
      </c>
      <c r="K128" s="172">
        <f ca="1">IF('F_Input Override'!K128="",'Consolidated Input'!K128,('F_Input Override'!K128))</f>
        <v>0</v>
      </c>
      <c r="L128" s="172">
        <f ca="1">IF('F_Input Override'!L128="",'Consolidated Input'!L128,('F_Input Override'!L128))</f>
        <v>0</v>
      </c>
      <c r="M128" s="172">
        <f ca="1">IF('F_Input Override'!M128="",'Consolidated Input'!M128,('F_Input Override'!M128))</f>
        <v>0</v>
      </c>
      <c r="N128" s="173">
        <f t="shared" ca="1" si="1"/>
        <v>1.8354490000000001</v>
      </c>
    </row>
    <row r="129" spans="1:14">
      <c r="A129" s="155" t="str">
        <f>'F_Input Override'!A128</f>
        <v>WSX</v>
      </c>
      <c r="B129" s="155" t="str">
        <f ca="1">Table1[[#This Row],[BON code]]</f>
        <v>CWW12_008TOT_PR24</v>
      </c>
      <c r="C129" s="170" t="str">
        <f>'F_Input Override'!C129</f>
        <v>EA/NRW environmental programme wastewater (WINEP/NEP) - Continuous river water quality monitoring (WINEP/NEP) wastewater opex - Total</v>
      </c>
      <c r="D129" s="170" t="str">
        <f>'F_Input Override'!D129</f>
        <v>£m</v>
      </c>
      <c r="E129" s="171" t="str">
        <f>'F_Input Override'!E129</f>
        <v>Price Review 2024</v>
      </c>
      <c r="F129" s="172">
        <f ca="1">IF('F_Input Override'!F129="",'Consolidated Input'!F129,('F_Input Override'!F129))</f>
        <v>0</v>
      </c>
      <c r="G129" s="172">
        <f ca="1">IF('F_Input Override'!G129="",'Consolidated Input'!G129,('F_Input Override'!G129))</f>
        <v>0.12524299999999999</v>
      </c>
      <c r="H129" s="172">
        <f ca="1">IF('F_Input Override'!H129="",'Consolidated Input'!H129,('F_Input Override'!H129))</f>
        <v>0</v>
      </c>
      <c r="I129" s="172">
        <f ca="1">IF('F_Input Override'!I129="",'Consolidated Input'!I129,('F_Input Override'!I129))</f>
        <v>0</v>
      </c>
      <c r="J129" s="172">
        <f ca="1">IF('F_Input Override'!J129="",'Consolidated Input'!J129,('F_Input Override'!J129))</f>
        <v>0</v>
      </c>
      <c r="K129" s="172">
        <f ca="1">IF('F_Input Override'!K129="",'Consolidated Input'!K129,('F_Input Override'!K129))</f>
        <v>0</v>
      </c>
      <c r="L129" s="172">
        <f ca="1">IF('F_Input Override'!L129="",'Consolidated Input'!L129,('F_Input Override'!L129))</f>
        <v>0</v>
      </c>
      <c r="M129" s="172">
        <f ca="1">IF('F_Input Override'!M129="",'Consolidated Input'!M129,('F_Input Override'!M129))</f>
        <v>0</v>
      </c>
      <c r="N129" s="173">
        <f t="shared" ca="1" si="1"/>
        <v>0.12524299999999999</v>
      </c>
    </row>
    <row r="130" spans="1:14">
      <c r="A130" s="155" t="str">
        <f>'F_Input Override'!A129</f>
        <v>WSX</v>
      </c>
      <c r="B130" s="155" t="str">
        <f ca="1">Table1[[#This Row],[BON code]]</f>
        <v>CWW12_009TOT_PR24</v>
      </c>
      <c r="C130" s="170" t="str">
        <f>'F_Input Override'!C130</f>
        <v>EA/NRW environmental programme wastewater (WINEP/NEP) - Continuous river water quality monitoring (WINEP/NEP) wastewater totex - Total</v>
      </c>
      <c r="D130" s="170" t="str">
        <f>'F_Input Override'!D130</f>
        <v>£m</v>
      </c>
      <c r="E130" s="171" t="str">
        <f>'F_Input Override'!E130</f>
        <v>Price Review 2024</v>
      </c>
      <c r="F130" s="172">
        <f ca="1">IF('F_Input Override'!F130="",'Consolidated Input'!F130,('F_Input Override'!F130))</f>
        <v>0.17294799999999999</v>
      </c>
      <c r="G130" s="172">
        <f ca="1">IF('F_Input Override'!G130="",'Consolidated Input'!G130,('F_Input Override'!G130))</f>
        <v>1.787744</v>
      </c>
      <c r="H130" s="172">
        <f ca="1">IF('F_Input Override'!H130="",'Consolidated Input'!H130,('F_Input Override'!H130))</f>
        <v>0</v>
      </c>
      <c r="I130" s="172">
        <f ca="1">IF('F_Input Override'!I130="",'Consolidated Input'!I130,('F_Input Override'!I130))</f>
        <v>0</v>
      </c>
      <c r="J130" s="172">
        <f ca="1">IF('F_Input Override'!J130="",'Consolidated Input'!J130,('F_Input Override'!J130))</f>
        <v>0</v>
      </c>
      <c r="K130" s="172">
        <f ca="1">IF('F_Input Override'!K130="",'Consolidated Input'!K130,('F_Input Override'!K130))</f>
        <v>0</v>
      </c>
      <c r="L130" s="172">
        <f ca="1">IF('F_Input Override'!L130="",'Consolidated Input'!L130,('F_Input Override'!L130))</f>
        <v>0</v>
      </c>
      <c r="M130" s="172">
        <f ca="1">IF('F_Input Override'!M130="",'Consolidated Input'!M130,('F_Input Override'!M130))</f>
        <v>0</v>
      </c>
      <c r="N130" s="173">
        <f t="shared" ca="1" si="1"/>
        <v>1.9606919999999999</v>
      </c>
    </row>
    <row r="131" spans="1:14">
      <c r="A131" s="155" t="str">
        <f>'F_Input Override'!A130</f>
        <v>WSX</v>
      </c>
      <c r="B131" s="155" t="str">
        <f ca="1">Table1[[#This Row],[BON code]]</f>
        <v>CWW17_007TOT_PR24</v>
      </c>
      <c r="C131" s="170" t="str">
        <f>'F_Input Override'!C131</f>
        <v>EA/NRW environmental programme wastewater (WINEP/NEP) - Continuous river water quality monitoring (WINEP/NEP) wastewater capex - Total</v>
      </c>
      <c r="D131" s="170" t="str">
        <f>'F_Input Override'!D131</f>
        <v>£m</v>
      </c>
      <c r="E131" s="171" t="str">
        <f>'F_Input Override'!E131</f>
        <v>Price Review 2024</v>
      </c>
      <c r="F131" s="172">
        <f ca="1">IF('F_Input Override'!F131="",'Consolidated Input'!F131,('F_Input Override'!F131))</f>
        <v>0</v>
      </c>
      <c r="G131" s="172">
        <f ca="1">IF('F_Input Override'!G131="",'Consolidated Input'!G131,('F_Input Override'!G131))</f>
        <v>0</v>
      </c>
      <c r="H131" s="172">
        <f ca="1">IF('F_Input Override'!H131="",'Consolidated Input'!H131,('F_Input Override'!H131))</f>
        <v>0</v>
      </c>
      <c r="I131" s="172">
        <f ca="1">IF('F_Input Override'!I131="",'Consolidated Input'!I131,('F_Input Override'!I131))</f>
        <v>0</v>
      </c>
      <c r="J131" s="172">
        <f ca="1">IF('F_Input Override'!J131="",'Consolidated Input'!J131,('F_Input Override'!J131))</f>
        <v>0</v>
      </c>
      <c r="K131" s="172">
        <f ca="1">IF('F_Input Override'!K131="",'Consolidated Input'!K131,('F_Input Override'!K131))</f>
        <v>0</v>
      </c>
      <c r="L131" s="172">
        <f ca="1">IF('F_Input Override'!L131="",'Consolidated Input'!L131,('F_Input Override'!L131))</f>
        <v>0</v>
      </c>
      <c r="M131" s="172">
        <f ca="1">IF('F_Input Override'!M131="",'Consolidated Input'!M131,('F_Input Override'!M131))</f>
        <v>0</v>
      </c>
      <c r="N131" s="173">
        <f t="shared" ca="1" si="1"/>
        <v>0</v>
      </c>
    </row>
    <row r="132" spans="1:14">
      <c r="A132" s="155" t="str">
        <f>'F_Input Override'!A131</f>
        <v>WSX</v>
      </c>
      <c r="B132" s="155" t="str">
        <f ca="1">Table1[[#This Row],[BON code]]</f>
        <v>CWW17_008TOT_PR24</v>
      </c>
      <c r="C132" s="170" t="str">
        <f>'F_Input Override'!C132</f>
        <v>EA/NRW environmental programme wastewater (WINEP/NEP) - Continuous river water quality monitoring (WINEP/NEP) wastewater opex - Total</v>
      </c>
      <c r="D132" s="170" t="str">
        <f>'F_Input Override'!D132</f>
        <v>£m</v>
      </c>
      <c r="E132" s="171" t="str">
        <f>'F_Input Override'!E132</f>
        <v>Price Review 2024</v>
      </c>
      <c r="F132" s="172">
        <f ca="1">IF('F_Input Override'!F132="",'Consolidated Input'!F132,('F_Input Override'!F132))</f>
        <v>0</v>
      </c>
      <c r="G132" s="172">
        <f ca="1">IF('F_Input Override'!G132="",'Consolidated Input'!G132,('F_Input Override'!G132))</f>
        <v>0</v>
      </c>
      <c r="H132" s="172">
        <f ca="1">IF('F_Input Override'!H132="",'Consolidated Input'!H132,('F_Input Override'!H132))</f>
        <v>0</v>
      </c>
      <c r="I132" s="172">
        <f ca="1">IF('F_Input Override'!I132="",'Consolidated Input'!I132,('F_Input Override'!I132))</f>
        <v>0</v>
      </c>
      <c r="J132" s="172">
        <f ca="1">IF('F_Input Override'!J132="",'Consolidated Input'!J132,('F_Input Override'!J132))</f>
        <v>0</v>
      </c>
      <c r="K132" s="172">
        <f ca="1">IF('F_Input Override'!K132="",'Consolidated Input'!K132,('F_Input Override'!K132))</f>
        <v>0</v>
      </c>
      <c r="L132" s="172">
        <f ca="1">IF('F_Input Override'!L132="",'Consolidated Input'!L132,('F_Input Override'!L132))</f>
        <v>0</v>
      </c>
      <c r="M132" s="172">
        <f ca="1">IF('F_Input Override'!M132="",'Consolidated Input'!M132,('F_Input Override'!M132))</f>
        <v>0</v>
      </c>
      <c r="N132" s="173">
        <f t="shared" ca="1" si="1"/>
        <v>0</v>
      </c>
    </row>
    <row r="133" spans="1:14">
      <c r="A133" s="155" t="str">
        <f>'F_Input Override'!A132</f>
        <v>WSX</v>
      </c>
      <c r="B133" s="155" t="str">
        <f ca="1">Table1[[#This Row],[BON code]]</f>
        <v>CWW17_009TOT_PR24</v>
      </c>
      <c r="C133" s="170" t="str">
        <f>'F_Input Override'!C133</f>
        <v>EA/NRW environmental programme wastewater (WINEP/NEP) - Continuous river water quality monitoring (WINEP/NEP) wastewater totex - Total</v>
      </c>
      <c r="D133" s="170" t="str">
        <f>'F_Input Override'!D133</f>
        <v>£m</v>
      </c>
      <c r="E133" s="171" t="str">
        <f>'F_Input Override'!E133</f>
        <v>Price Review 2024</v>
      </c>
      <c r="F133" s="172">
        <f ca="1">IF('F_Input Override'!F133="",'Consolidated Input'!F133,('F_Input Override'!F133))</f>
        <v>0</v>
      </c>
      <c r="G133" s="172">
        <f ca="1">IF('F_Input Override'!G133="",'Consolidated Input'!G133,('F_Input Override'!G133))</f>
        <v>0</v>
      </c>
      <c r="H133" s="172">
        <f ca="1">IF('F_Input Override'!H133="",'Consolidated Input'!H133,('F_Input Override'!H133))</f>
        <v>0</v>
      </c>
      <c r="I133" s="172">
        <f ca="1">IF('F_Input Override'!I133="",'Consolidated Input'!I133,('F_Input Override'!I133))</f>
        <v>0</v>
      </c>
      <c r="J133" s="172">
        <f ca="1">IF('F_Input Override'!J133="",'Consolidated Input'!J133,('F_Input Override'!J133))</f>
        <v>0</v>
      </c>
      <c r="K133" s="172">
        <f ca="1">IF('F_Input Override'!K133="",'Consolidated Input'!K133,('F_Input Override'!K133))</f>
        <v>0</v>
      </c>
      <c r="L133" s="172">
        <f ca="1">IF('F_Input Override'!L133="",'Consolidated Input'!L133,('F_Input Override'!L133))</f>
        <v>0</v>
      </c>
      <c r="M133" s="172">
        <f ca="1">IF('F_Input Override'!M133="",'Consolidated Input'!M133,('F_Input Override'!M133))</f>
        <v>0</v>
      </c>
      <c r="N133" s="173">
        <f t="shared" ca="1" si="1"/>
        <v>0</v>
      </c>
    </row>
    <row r="134" spans="1:14">
      <c r="A134" s="155" t="str">
        <f>'F_Input Override'!A133</f>
        <v>WSX</v>
      </c>
      <c r="B134" s="155" t="str">
        <f ca="1">Table1[[#This Row],[BON code]]</f>
        <v>CWW20A_049_PR24</v>
      </c>
      <c r="C134" s="170" t="str">
        <f>'F_Input Override'!C134</f>
        <v>Network / Storm overflow data - Number of continuous water quality monitor installations</v>
      </c>
      <c r="D134" s="170" t="str">
        <f>'F_Input Override'!D134</f>
        <v>nr</v>
      </c>
      <c r="E134" s="171" t="str">
        <f>'F_Input Override'!E134</f>
        <v>Price Review 2024</v>
      </c>
      <c r="F134" s="172">
        <f ca="1">IF('F_Input Override'!F134="",'Consolidated Input'!F134,('F_Input Override'!F134))</f>
        <v>0</v>
      </c>
      <c r="G134" s="172">
        <f ca="1">IF('F_Input Override'!G134="",'Consolidated Input'!G134,('F_Input Override'!G134))</f>
        <v>0</v>
      </c>
      <c r="H134" s="172">
        <f ca="1">IF('F_Input Override'!H134="",'Consolidated Input'!H134,('F_Input Override'!H134))</f>
        <v>0</v>
      </c>
      <c r="I134" s="172">
        <f ca="1">IF('F_Input Override'!I134="",'Consolidated Input'!I134,('F_Input Override'!I134))</f>
        <v>0</v>
      </c>
      <c r="J134" s="172">
        <f ca="1">IF('F_Input Override'!J134="",'Consolidated Input'!J134,('F_Input Override'!J134))</f>
        <v>0</v>
      </c>
      <c r="K134" s="172">
        <f ca="1">IF('F_Input Override'!K134="",'Consolidated Input'!K134,('F_Input Override'!K134))</f>
        <v>0</v>
      </c>
      <c r="L134" s="172">
        <f ca="1">IF('F_Input Override'!L134="",'Consolidated Input'!L134,('F_Input Override'!L134))</f>
        <v>0</v>
      </c>
      <c r="M134" s="172">
        <f ca="1">IF('F_Input Override'!M134="",'Consolidated Input'!M134,('F_Input Override'!M134))</f>
        <v>0</v>
      </c>
      <c r="N134" s="173">
        <f t="shared" ref="N134:N148" ca="1" si="2">SUM(F134:L134)</f>
        <v>0</v>
      </c>
    </row>
    <row r="135" spans="1:14">
      <c r="A135" s="155" t="str">
        <f>'F_Input Override'!A134</f>
        <v>WSX</v>
      </c>
      <c r="B135" s="155" t="str">
        <f ca="1">Table1[[#This Row],[BON code]]</f>
        <v>CWW3_007TOT_PR24</v>
      </c>
      <c r="C135" s="170" t="str">
        <f>'F_Input Override'!C135</f>
        <v>EA/NRW environmental programme wastewater (WINEP/NEP) - Continuous river water quality monitoring (WINEP/NEP) wastewater capex - Total</v>
      </c>
      <c r="D135" s="170" t="str">
        <f>'F_Input Override'!D135</f>
        <v>£m</v>
      </c>
      <c r="E135" s="171" t="str">
        <f>'F_Input Override'!E135</f>
        <v>Price Review 2024</v>
      </c>
      <c r="F135" s="172">
        <f ca="1">IF('F_Input Override'!F135="",'Consolidated Input'!F135,('F_Input Override'!F135))</f>
        <v>0</v>
      </c>
      <c r="G135" s="172">
        <f ca="1">IF('F_Input Override'!G135="",'Consolidated Input'!G135,('F_Input Override'!G135))</f>
        <v>0</v>
      </c>
      <c r="H135" s="172">
        <f ca="1">IF('F_Input Override'!H135="",'Consolidated Input'!H135,('F_Input Override'!H135))</f>
        <v>2.1726719999999999</v>
      </c>
      <c r="I135" s="172">
        <f ca="1">IF('F_Input Override'!I135="",'Consolidated Input'!I135,('F_Input Override'!I135))</f>
        <v>4.050376</v>
      </c>
      <c r="J135" s="172">
        <f ca="1">IF('F_Input Override'!J135="",'Consolidated Input'!J135,('F_Input Override'!J135))</f>
        <v>14.1244672</v>
      </c>
      <c r="K135" s="172">
        <f ca="1">IF('F_Input Override'!K135="",'Consolidated Input'!K135,('F_Input Override'!K135))</f>
        <v>26.174924799999999</v>
      </c>
      <c r="L135" s="172">
        <f ca="1">IF('F_Input Override'!L135="",'Consolidated Input'!L135,('F_Input Override'!L135))</f>
        <v>26.174924799999999</v>
      </c>
      <c r="M135" s="172">
        <f ca="1">IF('F_Input Override'!M135="",'Consolidated Input'!M135,('F_Input Override'!M135))</f>
        <v>0</v>
      </c>
      <c r="N135" s="173">
        <f t="shared" ca="1" si="2"/>
        <v>72.697364800000003</v>
      </c>
    </row>
    <row r="136" spans="1:14">
      <c r="A136" s="155" t="str">
        <f>'F_Input Override'!A135</f>
        <v>YKY</v>
      </c>
      <c r="B136" s="155" t="str">
        <f ca="1">Table1[[#This Row],[BON code]]</f>
        <v>CWW3_008TOT_PR24</v>
      </c>
      <c r="C136" s="170" t="str">
        <f>'F_Input Override'!C136</f>
        <v>EA/NRW environmental programme wastewater (WINEP/NEP) - Continuous river water quality monitoring (WINEP/NEP) wastewater opex - Total</v>
      </c>
      <c r="D136" s="170" t="str">
        <f>'F_Input Override'!D136</f>
        <v>£m</v>
      </c>
      <c r="E136" s="171" t="str">
        <f>'F_Input Override'!E136</f>
        <v>Price Review 2024</v>
      </c>
      <c r="F136" s="172">
        <f ca="1">IF('F_Input Override'!F136="",'Consolidated Input'!F136,('F_Input Override'!F136))</f>
        <v>0</v>
      </c>
      <c r="G136" s="172">
        <f ca="1">IF('F_Input Override'!G136="",'Consolidated Input'!G136,('F_Input Override'!G136))</f>
        <v>0</v>
      </c>
      <c r="H136" s="172">
        <f ca="1">IF('F_Input Override'!H136="",'Consolidated Input'!H136,('F_Input Override'!H136))</f>
        <v>2.624000000000001</v>
      </c>
      <c r="I136" s="172">
        <f ca="1">IF('F_Input Override'!I136="",'Consolidated Input'!I136,('F_Input Override'!I136))</f>
        <v>2.6823055999999998</v>
      </c>
      <c r="J136" s="172">
        <f ca="1">IF('F_Input Override'!J136="",'Consolidated Input'!J136,('F_Input Override'!J136))</f>
        <v>1.6594176</v>
      </c>
      <c r="K136" s="172">
        <f ca="1">IF('F_Input Override'!K136="",'Consolidated Input'!K136,('F_Input Override'!K136))</f>
        <v>5.4253824000000002</v>
      </c>
      <c r="L136" s="172">
        <f ca="1">IF('F_Input Override'!L136="",'Consolidated Input'!L136,('F_Input Override'!L136))</f>
        <v>12.4052224</v>
      </c>
      <c r="M136" s="172">
        <f ca="1">IF('F_Input Override'!M136="",'Consolidated Input'!M136,('F_Input Override'!M136))</f>
        <v>0</v>
      </c>
      <c r="N136" s="173">
        <f t="shared" ca="1" si="2"/>
        <v>24.796328000000003</v>
      </c>
    </row>
    <row r="137" spans="1:14">
      <c r="A137" s="155" t="str">
        <f>'F_Input Override'!A136</f>
        <v>YKY</v>
      </c>
      <c r="B137" s="155" t="str">
        <f ca="1">Table1[[#This Row],[BON code]]</f>
        <v>CWW3_009TOT_PR24</v>
      </c>
      <c r="C137" s="170" t="str">
        <f>'F_Input Override'!C137</f>
        <v>EA/NRW environmental programme wastewater (WINEP/NEP) - Continuous river water quality monitoring (WINEP/NEP) wastewater totex - Total</v>
      </c>
      <c r="D137" s="170" t="str">
        <f>'F_Input Override'!D137</f>
        <v>£m</v>
      </c>
      <c r="E137" s="171" t="str">
        <f>'F_Input Override'!E137</f>
        <v>Price Review 2024</v>
      </c>
      <c r="F137" s="172">
        <f ca="1">IF('F_Input Override'!F137="",'Consolidated Input'!F137,('F_Input Override'!F137))</f>
        <v>0</v>
      </c>
      <c r="G137" s="172">
        <f ca="1">IF('F_Input Override'!G137="",'Consolidated Input'!G137,('F_Input Override'!G137))</f>
        <v>0</v>
      </c>
      <c r="H137" s="172">
        <f ca="1">IF('F_Input Override'!H137="",'Consolidated Input'!H137,('F_Input Override'!H137))</f>
        <v>4.796672</v>
      </c>
      <c r="I137" s="172">
        <f ca="1">IF('F_Input Override'!I137="",'Consolidated Input'!I137,('F_Input Override'!I137))</f>
        <v>6.7326816000000003</v>
      </c>
      <c r="J137" s="172">
        <f ca="1">IF('F_Input Override'!J137="",'Consolidated Input'!J137,('F_Input Override'!J137))</f>
        <v>15.783884799999999</v>
      </c>
      <c r="K137" s="172">
        <f ca="1">IF('F_Input Override'!K137="",'Consolidated Input'!K137,('F_Input Override'!K137))</f>
        <v>31.6003072</v>
      </c>
      <c r="L137" s="172">
        <f ca="1">IF('F_Input Override'!L137="",'Consolidated Input'!L137,('F_Input Override'!L137))</f>
        <v>38.580147199999999</v>
      </c>
      <c r="M137" s="172">
        <f ca="1">IF('F_Input Override'!M137="",'Consolidated Input'!M137,('F_Input Override'!M137))</f>
        <v>0</v>
      </c>
      <c r="N137" s="173">
        <f t="shared" ca="1" si="2"/>
        <v>97.493692799999991</v>
      </c>
    </row>
    <row r="138" spans="1:14">
      <c r="A138" s="155" t="str">
        <f>'F_Input Override'!A137</f>
        <v>YKY</v>
      </c>
      <c r="B138" s="155" t="str">
        <f ca="1">Table1[[#This Row],[BON code]]</f>
        <v>CWW20_049_PR24</v>
      </c>
      <c r="C138" s="170" t="str">
        <f>'F_Input Override'!C138</f>
        <v>Network / Storm overflow data - Number of continuous water quality monitor installations</v>
      </c>
      <c r="D138" s="170" t="str">
        <f>'F_Input Override'!D138</f>
        <v>nr</v>
      </c>
      <c r="E138" s="171" t="str">
        <f>'F_Input Override'!E138</f>
        <v>Price Review 2024</v>
      </c>
      <c r="F138" s="172">
        <f ca="1">IF('F_Input Override'!F138="",'Consolidated Input'!F138,('F_Input Override'!F138))</f>
        <v>0</v>
      </c>
      <c r="G138" s="172">
        <f ca="1">IF('F_Input Override'!G138="",'Consolidated Input'!G138,('F_Input Override'!G138))</f>
        <v>0</v>
      </c>
      <c r="H138" s="172">
        <f ca="1">IF('F_Input Override'!H138="",'Consolidated Input'!H138,('F_Input Override'!H138))</f>
        <v>22</v>
      </c>
      <c r="I138" s="172">
        <f ca="1">IF('F_Input Override'!I138="",'Consolidated Input'!I138,('F_Input Override'!I138))</f>
        <v>41</v>
      </c>
      <c r="J138" s="172">
        <f ca="1">IF('F_Input Override'!J138="",'Consolidated Input'!J138,('F_Input Override'!J138))</f>
        <v>143</v>
      </c>
      <c r="K138" s="172">
        <f ca="1">IF('F_Input Override'!K138="",'Consolidated Input'!K138,('F_Input Override'!K138))</f>
        <v>265</v>
      </c>
      <c r="L138" s="172">
        <f ca="1">IF('F_Input Override'!L138="",'Consolidated Input'!L138,('F_Input Override'!L138))</f>
        <v>265</v>
      </c>
      <c r="M138" s="172">
        <f ca="1">IF('F_Input Override'!M138="",'Consolidated Input'!M138,('F_Input Override'!M138))</f>
        <v>0</v>
      </c>
      <c r="N138" s="173">
        <f t="shared" ca="1" si="2"/>
        <v>736</v>
      </c>
    </row>
    <row r="139" spans="1:14">
      <c r="A139" s="155" t="str">
        <f>'F_Input Override'!A138</f>
        <v>YKY</v>
      </c>
      <c r="B139" s="155" t="str">
        <f ca="1">Table1[[#This Row],[BON code]]</f>
        <v>CWW1A_015TOT_PR24</v>
      </c>
      <c r="C139" s="170" t="str">
        <f>'F_Input Override'!C139</f>
        <v>Net totex - Total</v>
      </c>
      <c r="D139" s="170" t="str">
        <f>'F_Input Override'!D139</f>
        <v>£m</v>
      </c>
      <c r="E139" s="171" t="str">
        <f>'F_Input Override'!E139</f>
        <v>Price Review 2024</v>
      </c>
      <c r="F139" s="172">
        <f ca="1">IF('F_Input Override'!F139="",'Consolidated Input'!F139,('F_Input Override'!F139))</f>
        <v>0</v>
      </c>
      <c r="G139" s="172">
        <f ca="1">IF('F_Input Override'!G139="",'Consolidated Input'!G139,('F_Input Override'!G139))</f>
        <v>0</v>
      </c>
      <c r="H139" s="172">
        <f ca="1">IF('F_Input Override'!H139="",'Consolidated Input'!H139,('F_Input Override'!H139))</f>
        <v>862.90684243736268</v>
      </c>
      <c r="I139" s="172">
        <f ca="1">IF('F_Input Override'!I139="",'Consolidated Input'!I139,('F_Input Override'!I139))</f>
        <v>1023.836972489322</v>
      </c>
      <c r="J139" s="172">
        <f ca="1">IF('F_Input Override'!J139="",'Consolidated Input'!J139,('F_Input Override'!J139))</f>
        <v>974.11492033814147</v>
      </c>
      <c r="K139" s="172">
        <f ca="1">IF('F_Input Override'!K139="",'Consolidated Input'!K139,('F_Input Override'!K139))</f>
        <v>886.57950053133004</v>
      </c>
      <c r="L139" s="172">
        <f ca="1">IF('F_Input Override'!L139="",'Consolidated Input'!L139,('F_Input Override'!L139))</f>
        <v>783.01520971339971</v>
      </c>
      <c r="M139" s="172">
        <f ca="1">IF('F_Input Override'!M139="",'Consolidated Input'!M139,('F_Input Override'!M139))</f>
        <v>0</v>
      </c>
      <c r="N139" s="173">
        <f t="shared" ca="1" si="2"/>
        <v>4530.4534455095554</v>
      </c>
    </row>
    <row r="140" spans="1:14">
      <c r="A140" s="155" t="str">
        <f>'F_Input Override'!A139</f>
        <v>YKY</v>
      </c>
      <c r="B140" s="155" t="str">
        <f ca="1">Table1[[#This Row],[BON code]]</f>
        <v>PR24_NETTOTEX_WASTE</v>
      </c>
      <c r="C140" s="170" t="str">
        <f>'F_Input Override'!C140</f>
        <v>PR24 BP Net totex - Total inc. accelerated &amp; transition costs</v>
      </c>
      <c r="D140" s="170" t="str">
        <f>'F_Input Override'!D140</f>
        <v>£m</v>
      </c>
      <c r="E140" s="171" t="str">
        <f>'F_Input Override'!E140</f>
        <v>Price Review 2024</v>
      </c>
      <c r="F140" s="172">
        <f ca="1">IF('F_Input Override'!F140="",'Consolidated Input'!F140,('F_Input Override'!F140))</f>
        <v>0</v>
      </c>
      <c r="G140" s="172">
        <f ca="1">IF('F_Input Override'!G140="",'Consolidated Input'!G140,('F_Input Override'!G140))</f>
        <v>0</v>
      </c>
      <c r="H140" s="172">
        <f ca="1">IF('F_Input Override'!H140="",'Consolidated Input'!H140,('F_Input Override'!H140))</f>
        <v>0</v>
      </c>
      <c r="I140" s="172">
        <f ca="1">IF('F_Input Override'!I140="",'Consolidated Input'!I140,('F_Input Override'!I140))</f>
        <v>0</v>
      </c>
      <c r="J140" s="172">
        <f ca="1">IF('F_Input Override'!J140="",'Consolidated Input'!J140,('F_Input Override'!J140))</f>
        <v>0</v>
      </c>
      <c r="K140" s="172">
        <f ca="1">IF('F_Input Override'!K140="",'Consolidated Input'!K140,('F_Input Override'!K140))</f>
        <v>0</v>
      </c>
      <c r="L140" s="172">
        <f ca="1">IF('F_Input Override'!L140="",'Consolidated Input'!L140,('F_Input Override'!L140))</f>
        <v>0</v>
      </c>
      <c r="M140" s="172">
        <f ca="1">IF('F_Input Override'!M140="",'Consolidated Input'!M140,('F_Input Override'!M140))</f>
        <v>4605.5684455095561</v>
      </c>
      <c r="N140" s="173">
        <f t="shared" ca="1" si="2"/>
        <v>0</v>
      </c>
    </row>
    <row r="141" spans="1:14">
      <c r="A141" s="155" t="str">
        <f>'F_Input Override'!A140</f>
        <v>YKY</v>
      </c>
      <c r="B141" s="155" t="str">
        <f ca="1">Table1[[#This Row],[BON code]]</f>
        <v>CWW12_007TOT_PR24</v>
      </c>
      <c r="C141" s="170" t="str">
        <f>'F_Input Override'!C141</f>
        <v>EA/NRW environmental programme wastewater (WINEP/NEP) - Continuous river water quality monitoring (WINEP/NEP) wastewater capex - Total</v>
      </c>
      <c r="D141" s="170" t="str">
        <f>'F_Input Override'!D141</f>
        <v>£m</v>
      </c>
      <c r="E141" s="171" t="str">
        <f>'F_Input Override'!E141</f>
        <v>Price Review 2024</v>
      </c>
      <c r="F141" s="172">
        <f ca="1">IF('F_Input Override'!F141="",'Consolidated Input'!F141,('F_Input Override'!F141))</f>
        <v>0</v>
      </c>
      <c r="G141" s="172">
        <f ca="1">IF('F_Input Override'!G141="",'Consolidated Input'!G141,('F_Input Override'!G141))</f>
        <v>0</v>
      </c>
      <c r="H141" s="172">
        <f ca="1">IF('F_Input Override'!H141="",'Consolidated Input'!H141,('F_Input Override'!H141))</f>
        <v>0</v>
      </c>
      <c r="I141" s="172">
        <f ca="1">IF('F_Input Override'!I141="",'Consolidated Input'!I141,('F_Input Override'!I141))</f>
        <v>0</v>
      </c>
      <c r="J141" s="172">
        <f ca="1">IF('F_Input Override'!J141="",'Consolidated Input'!J141,('F_Input Override'!J141))</f>
        <v>0</v>
      </c>
      <c r="K141" s="172">
        <f ca="1">IF('F_Input Override'!K141="",'Consolidated Input'!K141,('F_Input Override'!K141))</f>
        <v>0</v>
      </c>
      <c r="L141" s="172">
        <f ca="1">IF('F_Input Override'!L141="",'Consolidated Input'!L141,('F_Input Override'!L141))</f>
        <v>0</v>
      </c>
      <c r="M141" s="172">
        <f ca="1">IF('F_Input Override'!M141="",'Consolidated Input'!M141,('F_Input Override'!M141))</f>
        <v>0</v>
      </c>
      <c r="N141" s="173">
        <f t="shared" ca="1" si="2"/>
        <v>0</v>
      </c>
    </row>
    <row r="142" spans="1:14">
      <c r="A142" s="155" t="str">
        <f>'F_Input Override'!A141</f>
        <v>YKY</v>
      </c>
      <c r="B142" s="155" t="str">
        <f ca="1">Table1[[#This Row],[BON code]]</f>
        <v>CWW12_008TOT_PR24</v>
      </c>
      <c r="C142" s="170" t="str">
        <f>'F_Input Override'!C142</f>
        <v>EA/NRW environmental programme wastewater (WINEP/NEP) - Continuous river water quality monitoring (WINEP/NEP) wastewater opex - Total</v>
      </c>
      <c r="D142" s="170" t="str">
        <f>'F_Input Override'!D142</f>
        <v>£m</v>
      </c>
      <c r="E142" s="171" t="str">
        <f>'F_Input Override'!E142</f>
        <v>Price Review 2024</v>
      </c>
      <c r="F142" s="172">
        <f ca="1">IF('F_Input Override'!F142="",'Consolidated Input'!F142,('F_Input Override'!F142))</f>
        <v>0</v>
      </c>
      <c r="G142" s="172">
        <f ca="1">IF('F_Input Override'!G142="",'Consolidated Input'!G142,('F_Input Override'!G142))</f>
        <v>0</v>
      </c>
      <c r="H142" s="172">
        <f ca="1">IF('F_Input Override'!H142="",'Consolidated Input'!H142,('F_Input Override'!H142))</f>
        <v>0</v>
      </c>
      <c r="I142" s="172">
        <f ca="1">IF('F_Input Override'!I142="",'Consolidated Input'!I142,('F_Input Override'!I142))</f>
        <v>0</v>
      </c>
      <c r="J142" s="172">
        <f ca="1">IF('F_Input Override'!J142="",'Consolidated Input'!J142,('F_Input Override'!J142))</f>
        <v>0</v>
      </c>
      <c r="K142" s="172">
        <f ca="1">IF('F_Input Override'!K142="",'Consolidated Input'!K142,('F_Input Override'!K142))</f>
        <v>0</v>
      </c>
      <c r="L142" s="172">
        <f ca="1">IF('F_Input Override'!L142="",'Consolidated Input'!L142,('F_Input Override'!L142))</f>
        <v>0</v>
      </c>
      <c r="M142" s="172">
        <f ca="1">IF('F_Input Override'!M142="",'Consolidated Input'!M142,('F_Input Override'!M142))</f>
        <v>0</v>
      </c>
      <c r="N142" s="173">
        <f t="shared" ca="1" si="2"/>
        <v>0</v>
      </c>
    </row>
    <row r="143" spans="1:14">
      <c r="A143" s="155" t="str">
        <f>'F_Input Override'!A142</f>
        <v>YKY</v>
      </c>
      <c r="B143" s="155" t="str">
        <f ca="1">Table1[[#This Row],[BON code]]</f>
        <v>CWW12_009TOT_PR24</v>
      </c>
      <c r="C143" s="170" t="str">
        <f>'F_Input Override'!C143</f>
        <v>EA/NRW environmental programme wastewater (WINEP/NEP) - Continuous river water quality monitoring (WINEP/NEP) wastewater totex - Total</v>
      </c>
      <c r="D143" s="170" t="str">
        <f>'F_Input Override'!D143</f>
        <v>£m</v>
      </c>
      <c r="E143" s="171" t="str">
        <f>'F_Input Override'!E143</f>
        <v>Price Review 2024</v>
      </c>
      <c r="F143" s="172">
        <f ca="1">IF('F_Input Override'!F143="",'Consolidated Input'!F143,('F_Input Override'!F143))</f>
        <v>0</v>
      </c>
      <c r="G143" s="172">
        <f ca="1">IF('F_Input Override'!G143="",'Consolidated Input'!G143,('F_Input Override'!G143))</f>
        <v>0</v>
      </c>
      <c r="H143" s="172">
        <f ca="1">IF('F_Input Override'!H143="",'Consolidated Input'!H143,('F_Input Override'!H143))</f>
        <v>0</v>
      </c>
      <c r="I143" s="172">
        <f ca="1">IF('F_Input Override'!I143="",'Consolidated Input'!I143,('F_Input Override'!I143))</f>
        <v>0</v>
      </c>
      <c r="J143" s="172">
        <f ca="1">IF('F_Input Override'!J143="",'Consolidated Input'!J143,('F_Input Override'!J143))</f>
        <v>0</v>
      </c>
      <c r="K143" s="172">
        <f ca="1">IF('F_Input Override'!K143="",'Consolidated Input'!K143,('F_Input Override'!K143))</f>
        <v>0</v>
      </c>
      <c r="L143" s="172">
        <f ca="1">IF('F_Input Override'!L143="",'Consolidated Input'!L143,('F_Input Override'!L143))</f>
        <v>0</v>
      </c>
      <c r="M143" s="172">
        <f ca="1">IF('F_Input Override'!M143="",'Consolidated Input'!M143,('F_Input Override'!M143))</f>
        <v>0</v>
      </c>
      <c r="N143" s="173">
        <f t="shared" ca="1" si="2"/>
        <v>0</v>
      </c>
    </row>
    <row r="144" spans="1:14">
      <c r="A144" s="155" t="str">
        <f>'F_Input Override'!A143</f>
        <v>YKY</v>
      </c>
      <c r="B144" s="155" t="str">
        <f ca="1">Table1[[#This Row],[BON code]]</f>
        <v>CWW17_007TOT_PR24</v>
      </c>
      <c r="C144" s="170" t="str">
        <f>'F_Input Override'!C144</f>
        <v>EA/NRW environmental programme wastewater (WINEP/NEP) - Continuous river water quality monitoring (WINEP/NEP) wastewater capex - Total</v>
      </c>
      <c r="D144" s="170" t="str">
        <f>'F_Input Override'!D144</f>
        <v>£m</v>
      </c>
      <c r="E144" s="171" t="str">
        <f>'F_Input Override'!E144</f>
        <v>Price Review 2024</v>
      </c>
      <c r="F144" s="172">
        <f ca="1">IF('F_Input Override'!F144="",'Consolidated Input'!F144,('F_Input Override'!F144))</f>
        <v>0</v>
      </c>
      <c r="G144" s="172">
        <f ca="1">IF('F_Input Override'!G144="",'Consolidated Input'!G144,('F_Input Override'!G144))</f>
        <v>0</v>
      </c>
      <c r="H144" s="172">
        <f ca="1">IF('F_Input Override'!H144="",'Consolidated Input'!H144,('F_Input Override'!H144))</f>
        <v>0</v>
      </c>
      <c r="I144" s="172">
        <f ca="1">IF('F_Input Override'!I144="",'Consolidated Input'!I144,('F_Input Override'!I144))</f>
        <v>0</v>
      </c>
      <c r="J144" s="172">
        <f ca="1">IF('F_Input Override'!J144="",'Consolidated Input'!J144,('F_Input Override'!J144))</f>
        <v>0</v>
      </c>
      <c r="K144" s="172">
        <f ca="1">IF('F_Input Override'!K144="",'Consolidated Input'!K144,('F_Input Override'!K144))</f>
        <v>0</v>
      </c>
      <c r="L144" s="172">
        <f ca="1">IF('F_Input Override'!L144="",'Consolidated Input'!L144,('F_Input Override'!L144))</f>
        <v>0</v>
      </c>
      <c r="M144" s="172">
        <f ca="1">IF('F_Input Override'!M144="",'Consolidated Input'!M144,('F_Input Override'!M144))</f>
        <v>0</v>
      </c>
      <c r="N144" s="173">
        <f t="shared" ca="1" si="2"/>
        <v>0</v>
      </c>
    </row>
    <row r="145" spans="1:14">
      <c r="A145" s="155" t="str">
        <f>'F_Input Override'!A144</f>
        <v>YKY</v>
      </c>
      <c r="B145" s="155" t="str">
        <f ca="1">Table1[[#This Row],[BON code]]</f>
        <v>CWW17_008TOT_PR24</v>
      </c>
      <c r="C145" s="170" t="str">
        <f>'F_Input Override'!C145</f>
        <v>EA/NRW environmental programme wastewater (WINEP/NEP) - Continuous river water quality monitoring (WINEP/NEP) wastewater opex - Total</v>
      </c>
      <c r="D145" s="170" t="str">
        <f>'F_Input Override'!D145</f>
        <v>£m</v>
      </c>
      <c r="E145" s="171" t="str">
        <f>'F_Input Override'!E145</f>
        <v>Price Review 2024</v>
      </c>
      <c r="F145" s="172">
        <f ca="1">IF('F_Input Override'!F145="",'Consolidated Input'!F145,('F_Input Override'!F145))</f>
        <v>0</v>
      </c>
      <c r="G145" s="172">
        <f ca="1">IF('F_Input Override'!G145="",'Consolidated Input'!G145,('F_Input Override'!G145))</f>
        <v>0</v>
      </c>
      <c r="H145" s="172">
        <f ca="1">IF('F_Input Override'!H145="",'Consolidated Input'!H145,('F_Input Override'!H145))</f>
        <v>0</v>
      </c>
      <c r="I145" s="172">
        <f ca="1">IF('F_Input Override'!I145="",'Consolidated Input'!I145,('F_Input Override'!I145))</f>
        <v>0</v>
      </c>
      <c r="J145" s="172">
        <f ca="1">IF('F_Input Override'!J145="",'Consolidated Input'!J145,('F_Input Override'!J145))</f>
        <v>0</v>
      </c>
      <c r="K145" s="172">
        <f ca="1">IF('F_Input Override'!K145="",'Consolidated Input'!K145,('F_Input Override'!K145))</f>
        <v>0</v>
      </c>
      <c r="L145" s="172">
        <f ca="1">IF('F_Input Override'!L145="",'Consolidated Input'!L145,('F_Input Override'!L145))</f>
        <v>0</v>
      </c>
      <c r="M145" s="172">
        <f ca="1">IF('F_Input Override'!M145="",'Consolidated Input'!M145,('F_Input Override'!M145))</f>
        <v>0</v>
      </c>
      <c r="N145" s="173">
        <f t="shared" ca="1" si="2"/>
        <v>0</v>
      </c>
    </row>
    <row r="146" spans="1:14">
      <c r="A146" s="155" t="str">
        <f>'F_Input Override'!A145</f>
        <v>YKY</v>
      </c>
      <c r="B146" s="155" t="str">
        <f ca="1">Table1[[#This Row],[BON code]]</f>
        <v>CWW17_009TOT_PR24</v>
      </c>
      <c r="C146" s="170" t="str">
        <f>'F_Input Override'!C146</f>
        <v>EA/NRW environmental programme wastewater (WINEP/NEP) - Continuous river water quality monitoring (WINEP/NEP) wastewater totex - Total</v>
      </c>
      <c r="D146" s="170" t="str">
        <f>'F_Input Override'!D146</f>
        <v>£m</v>
      </c>
      <c r="E146" s="171" t="str">
        <f>'F_Input Override'!E146</f>
        <v>Price Review 2024</v>
      </c>
      <c r="F146" s="172">
        <f ca="1">IF('F_Input Override'!F146="",'Consolidated Input'!F146,('F_Input Override'!F146))</f>
        <v>0</v>
      </c>
      <c r="G146" s="172">
        <f ca="1">IF('F_Input Override'!G146="",'Consolidated Input'!G146,('F_Input Override'!G146))</f>
        <v>0</v>
      </c>
      <c r="H146" s="172">
        <f ca="1">IF('F_Input Override'!H146="",'Consolidated Input'!H146,('F_Input Override'!H146))</f>
        <v>0</v>
      </c>
      <c r="I146" s="172">
        <f ca="1">IF('F_Input Override'!I146="",'Consolidated Input'!I146,('F_Input Override'!I146))</f>
        <v>0</v>
      </c>
      <c r="J146" s="172">
        <f ca="1">IF('F_Input Override'!J146="",'Consolidated Input'!J146,('F_Input Override'!J146))</f>
        <v>0</v>
      </c>
      <c r="K146" s="172">
        <f ca="1">IF('F_Input Override'!K146="",'Consolidated Input'!K146,('F_Input Override'!K146))</f>
        <v>0</v>
      </c>
      <c r="L146" s="172">
        <f ca="1">IF('F_Input Override'!L146="",'Consolidated Input'!L146,('F_Input Override'!L146))</f>
        <v>0</v>
      </c>
      <c r="M146" s="172">
        <f ca="1">IF('F_Input Override'!M146="",'Consolidated Input'!M146,('F_Input Override'!M146))</f>
        <v>0</v>
      </c>
      <c r="N146" s="173">
        <f t="shared" ca="1" si="2"/>
        <v>0</v>
      </c>
    </row>
    <row r="147" spans="1:14">
      <c r="A147" s="155" t="str">
        <f>'F_Input Override'!A146</f>
        <v>YKY</v>
      </c>
      <c r="B147" s="155" t="str">
        <f ca="1">Table1[[#This Row],[BON code]]</f>
        <v>CWW20A_049_PR24</v>
      </c>
      <c r="C147" s="170" t="str">
        <f>'F_Input Override'!C147</f>
        <v>Network / Storm overflow data - Number of continuous water quality monitor installations</v>
      </c>
      <c r="D147" s="170" t="str">
        <f>'F_Input Override'!D147</f>
        <v>nr</v>
      </c>
      <c r="E147" s="171" t="str">
        <f>'F_Input Override'!E147</f>
        <v>Price Review 2024</v>
      </c>
      <c r="F147" s="172">
        <f ca="1">IF('F_Input Override'!F147="",'Consolidated Input'!F147,('F_Input Override'!F147))</f>
        <v>0</v>
      </c>
      <c r="G147" s="172">
        <f ca="1">IF('F_Input Override'!G147="",'Consolidated Input'!G147,('F_Input Override'!G147))</f>
        <v>0</v>
      </c>
      <c r="H147" s="172">
        <f ca="1">IF('F_Input Override'!H147="",'Consolidated Input'!H147,('F_Input Override'!H147))</f>
        <v>0</v>
      </c>
      <c r="I147" s="172">
        <f ca="1">IF('F_Input Override'!I147="",'Consolidated Input'!I147,('F_Input Override'!I147))</f>
        <v>0</v>
      </c>
      <c r="J147" s="172">
        <f ca="1">IF('F_Input Override'!J147="",'Consolidated Input'!J147,('F_Input Override'!J147))</f>
        <v>0</v>
      </c>
      <c r="K147" s="172">
        <f ca="1">IF('F_Input Override'!K147="",'Consolidated Input'!K147,('F_Input Override'!K147))</f>
        <v>0</v>
      </c>
      <c r="L147" s="172">
        <f ca="1">IF('F_Input Override'!L147="",'Consolidated Input'!L147,('F_Input Override'!L147))</f>
        <v>0</v>
      </c>
      <c r="M147" s="172">
        <f ca="1">IF('F_Input Override'!M147="",'Consolidated Input'!M147,('F_Input Override'!M147))</f>
        <v>0</v>
      </c>
      <c r="N147" s="173">
        <f t="shared" ca="1" si="2"/>
        <v>0</v>
      </c>
    </row>
    <row r="148" spans="1:14">
      <c r="A148" s="155" t="str">
        <f>'F_Input Override'!A147</f>
        <v>YKY</v>
      </c>
      <c r="B148" s="155" t="e">
        <f ca="1">Table1[[#This Row],[BON code]]</f>
        <v>#VALUE!</v>
      </c>
      <c r="C148" s="170">
        <f>'F_Input Override'!C148</f>
        <v>0</v>
      </c>
      <c r="D148" s="170">
        <f>'F_Input Override'!D148</f>
        <v>0</v>
      </c>
      <c r="E148" s="171">
        <f>'F_Input Override'!E148</f>
        <v>0</v>
      </c>
      <c r="F148" s="172">
        <f>IF('F_Input Override'!F148="",'Consolidated Input'!F148,('F_Input Override'!F148))</f>
        <v>0</v>
      </c>
      <c r="G148" s="172">
        <f>IF('F_Input Override'!G148="",'Consolidated Input'!G148,('F_Input Override'!G148))</f>
        <v>0</v>
      </c>
      <c r="H148" s="172">
        <f>IF('F_Input Override'!H148="",'Consolidated Input'!H148,('F_Input Override'!H148))</f>
        <v>0</v>
      </c>
      <c r="I148" s="172">
        <f>IF('F_Input Override'!I148="",'Consolidated Input'!I148,('F_Input Override'!I148))</f>
        <v>0</v>
      </c>
      <c r="J148" s="172">
        <f>IF('F_Input Override'!J148="",'Consolidated Input'!J148,('F_Input Override'!J148))</f>
        <v>0</v>
      </c>
      <c r="K148" s="172">
        <f>IF('F_Input Override'!K148="",'Consolidated Input'!K148,('F_Input Override'!K148))</f>
        <v>0</v>
      </c>
      <c r="L148" s="172">
        <f>IF('F_Input Override'!L148="",'Consolidated Input'!L148,('F_Input Override'!L148))</f>
        <v>0</v>
      </c>
      <c r="M148" s="172">
        <f>IF('F_Input Override'!M148="",'Consolidated Input'!M148,('F_Input Override'!M148))</f>
        <v>0</v>
      </c>
      <c r="N148" s="173">
        <f t="shared" si="2"/>
        <v>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36324-51BA-4A25-8A25-08D08D8B5ADD}">
  <sheetPr codeName="Sheet17">
    <tabColor rgb="FFFFDB8E"/>
  </sheetPr>
  <dimension ref="A1:M46"/>
  <sheetViews>
    <sheetView showGridLines="0" zoomScale="80" zoomScaleNormal="80" workbookViewId="0"/>
  </sheetViews>
  <sheetFormatPr defaultRowHeight="12.75"/>
  <cols>
    <col min="2" max="2" width="17" style="22" customWidth="1"/>
    <col min="3" max="4" width="24.7109375" customWidth="1"/>
    <col min="5" max="5" width="15.7109375" customWidth="1"/>
    <col min="6" max="11" width="14.140625" customWidth="1"/>
    <col min="12" max="12" width="15" customWidth="1"/>
    <col min="13" max="13" width="13.7109375" customWidth="1"/>
  </cols>
  <sheetData>
    <row r="1" spans="1:13" ht="31.5">
      <c r="A1" s="1" t="str">
        <f ca="1" xml:space="preserve"> RIGHT(CELL("filename", $B$1), LEN(CELL("filename", $B$1)) - SEARCH("]", CELL("filename", $B$1)))</f>
        <v>Data_final_model_format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B2" s="89"/>
      <c r="C2" s="2"/>
      <c r="D2" s="2" t="s">
        <v>82</v>
      </c>
      <c r="E2" s="2" t="s">
        <v>95</v>
      </c>
      <c r="F2" s="2"/>
      <c r="G2" s="2"/>
      <c r="H2" s="2"/>
      <c r="I2" s="2"/>
      <c r="J2" s="2"/>
      <c r="K2" s="2"/>
      <c r="L2" s="2"/>
      <c r="M2" s="2"/>
    </row>
    <row r="3" spans="1:13">
      <c r="B3" s="89"/>
      <c r="C3" s="2"/>
      <c r="D3" s="2" t="s">
        <v>92</v>
      </c>
      <c r="E3" s="2" t="s">
        <v>92</v>
      </c>
      <c r="F3" s="2"/>
      <c r="G3" s="2"/>
      <c r="H3" s="2"/>
      <c r="I3" s="2"/>
      <c r="J3" s="2"/>
      <c r="K3" s="2"/>
      <c r="L3" s="2"/>
      <c r="M3" s="2"/>
    </row>
    <row r="4" spans="1:13" ht="25.5">
      <c r="B4" s="90"/>
      <c r="C4" s="87" t="str">
        <f>'Final Input'!C10</f>
        <v>PR24 BP Net totex - Total inc. accelerated &amp; transition costs</v>
      </c>
      <c r="D4" s="2" t="s">
        <v>95</v>
      </c>
      <c r="E4" s="2"/>
      <c r="F4" s="2"/>
      <c r="G4" s="39" t="s">
        <v>82</v>
      </c>
      <c r="H4" s="39" t="s">
        <v>82</v>
      </c>
      <c r="I4" s="39" t="s">
        <v>82</v>
      </c>
      <c r="J4" s="39" t="s">
        <v>82</v>
      </c>
      <c r="K4" s="39" t="s">
        <v>82</v>
      </c>
      <c r="L4" s="2"/>
      <c r="M4" s="39" t="s">
        <v>84</v>
      </c>
    </row>
    <row r="5" spans="1:13" ht="115.9" customHeight="1">
      <c r="B5" s="163" t="s">
        <v>52</v>
      </c>
      <c r="C5" s="164" t="s">
        <v>114</v>
      </c>
      <c r="D5" s="88" t="s">
        <v>115</v>
      </c>
      <c r="E5" s="91" t="s">
        <v>64</v>
      </c>
      <c r="F5" s="91" t="s">
        <v>65</v>
      </c>
      <c r="G5" s="92" t="s">
        <v>66</v>
      </c>
      <c r="H5" s="92" t="s">
        <v>67</v>
      </c>
      <c r="I5" s="92" t="s">
        <v>68</v>
      </c>
      <c r="J5" s="92" t="s">
        <v>69</v>
      </c>
      <c r="K5" s="92" t="s">
        <v>70</v>
      </c>
      <c r="L5" s="88" t="s">
        <v>116</v>
      </c>
      <c r="M5" s="88" t="s">
        <v>85</v>
      </c>
    </row>
    <row r="6" spans="1:13" ht="15">
      <c r="B6" s="161" t="s">
        <v>75</v>
      </c>
      <c r="C6" s="162">
        <f>_xlfn.XLOOKUP($B6,PR24_NETTOTEX_WASTE!$B$8:$B$18,PR24_NETTOTEX_WASTE!$G$8:$G$18)</f>
        <v>6050.1790000000001</v>
      </c>
      <c r="D6" s="115">
        <f ca="1">SUMIFS(Table1[Total],Table1[Acronym],Data_final_model_format!$B6,Table1[BON code],Data_final_model_format!$D$2)+SUMIFS(Table1[Total],Table1[Acronym],Data_final_model_format!$B6,Table1[BON code],Data_final_model_format!$D$3)+SUMIFS(Table1[Total],Table1[Acronym],Data_final_model_format!$B6,Table1[BON code],Data_final_model_format!$D$4)</f>
        <v>77.820000000000007</v>
      </c>
      <c r="E6" s="115">
        <f ca="1">SUMIFS('Final Input'!F:F,'Final Input'!$A:$A,$B6,'Final Input'!$B:$B,$E$3)+SUMIFS('Final Input'!F:F,'Final Input'!$A:$A,$B6,'Final Input'!$B:$B,$E$2)</f>
        <v>0</v>
      </c>
      <c r="F6" s="115">
        <f ca="1">SUMIFS('Final Input'!G:G,'Final Input'!$A:$A,$B6,'Final Input'!$B:$B,$E$3)+SUMIFS('Final Input'!G:G,'Final Input'!$A:$A,$B6,'Final Input'!$B:$B,$E$2)</f>
        <v>0</v>
      </c>
      <c r="G6" s="115">
        <f ca="1">SUMIFS('Final Input'!H:H,'Final Input'!$A:$A,$B6,'Final Input'!$B:$B,$G$4)</f>
        <v>0.86799999999999999</v>
      </c>
      <c r="H6" s="115">
        <f ca="1">SUMIFS('Final Input'!I:I,'Final Input'!$A:$A,$B6,'Final Input'!$B:$B,$G$4)</f>
        <v>17.742999999999999</v>
      </c>
      <c r="I6" s="115">
        <f ca="1">SUMIFS('Final Input'!J:J,'Final Input'!$A:$A,$B6,'Final Input'!$B:$B,$G$4)</f>
        <v>19.117999999999999</v>
      </c>
      <c r="J6" s="115">
        <f ca="1">SUMIFS('Final Input'!K:K,'Final Input'!$A:$A,$B6,'Final Input'!$B:$B,$G$4)</f>
        <v>19.623000000000001</v>
      </c>
      <c r="K6" s="115">
        <f ca="1">SUMIFS('Final Input'!L:L,'Final Input'!$A:$A,$B6,'Final Input'!$B:$B,$G$4)</f>
        <v>20.468</v>
      </c>
      <c r="L6" s="113">
        <f ca="1">SUM(E6:K6)</f>
        <v>77.820000000000007</v>
      </c>
      <c r="M6" s="174">
        <f ca="1">SUMIFS('Final Input'!N:N,'Final Input'!$A:$A,$B6,'Final Input'!$B:$B,$M$4)</f>
        <v>584</v>
      </c>
    </row>
    <row r="7" spans="1:13" ht="15">
      <c r="B7" s="161" t="s">
        <v>97</v>
      </c>
      <c r="C7" s="162">
        <f>_xlfn.XLOOKUP($B7,PR24_NETTOTEX_WASTE!$B$8:$B$18,PR24_NETTOTEX_WASTE!$G$8:$G$18)</f>
        <v>3318.1689999999999</v>
      </c>
      <c r="D7" s="115">
        <f ca="1">SUMIFS(Table1[Total],Table1[Acronym],Data_final_model_format!$B7,Table1[BON code],Data_final_model_format!$D$2)+SUMIFS(Table1[Total],Table1[Acronym],Data_final_model_format!$B7,Table1[BON code],Data_final_model_format!$D$3)+SUMIFS(Table1[Total],Table1[Acronym],Data_final_model_format!$B7,Table1[BON code],Data_final_model_format!$D$4)</f>
        <v>6.0719999999999992</v>
      </c>
      <c r="E7" s="115">
        <f ca="1">SUMIFS('Final Input'!F:F,'Final Input'!$A:$A,$B7,'Final Input'!$B:$B,$E$3)+SUMIFS('Final Input'!F:F,'Final Input'!$A:$A,$B7,'Final Input'!$B:$B,$E$2)</f>
        <v>0</v>
      </c>
      <c r="F7" s="115">
        <f ca="1">SUMIFS('Final Input'!G:G,'Final Input'!$A:$A,$B7,'Final Input'!$B:$B,$E$3)+SUMIFS('Final Input'!G:G,'Final Input'!$A:$A,$B7,'Final Input'!$B:$B,$E$2)</f>
        <v>0</v>
      </c>
      <c r="G7" s="115">
        <f ca="1">SUMIFS('Final Input'!H:H,'Final Input'!$A:$A,$B7,'Final Input'!$B:$B,$G$4)</f>
        <v>2.5059999999999998</v>
      </c>
      <c r="H7" s="115">
        <f ca="1">SUMIFS('Final Input'!I:I,'Final Input'!$A:$A,$B7,'Final Input'!$B:$B,$G$4)</f>
        <v>2.6039999999999992</v>
      </c>
      <c r="I7" s="115">
        <f ca="1">SUMIFS('Final Input'!J:J,'Final Input'!$A:$A,$B7,'Final Input'!$B:$B,$G$4)</f>
        <v>0.31900000000000012</v>
      </c>
      <c r="J7" s="115">
        <f ca="1">SUMIFS('Final Input'!K:K,'Final Input'!$A:$A,$B7,'Final Input'!$B:$B,$G$4)</f>
        <v>0.32100000000000012</v>
      </c>
      <c r="K7" s="115">
        <f ca="1">SUMIFS('Final Input'!L:L,'Final Input'!$A:$A,$B7,'Final Input'!$B:$B,$G$4)</f>
        <v>0.32200000000000012</v>
      </c>
      <c r="L7" s="113">
        <f ca="1">SUM(E7:K7)</f>
        <v>6.0719999999999992</v>
      </c>
      <c r="M7" s="174">
        <f ca="1">SUMIFS('Final Input'!N:N,'Final Input'!$A:$A,$B7,'Final Input'!$B:$B,$M$4)</f>
        <v>28</v>
      </c>
    </row>
    <row r="8" spans="1:13" ht="15">
      <c r="B8" s="161" t="s">
        <v>98</v>
      </c>
      <c r="C8" s="162">
        <f>_xlfn.XLOOKUP($B8,PR24_NETTOTEX_WASTE!$B$8:$B$18,PR24_NETTOTEX_WASTE!$G$8:$G$18)</f>
        <v>61.302999999999997</v>
      </c>
      <c r="D8" s="115">
        <f ca="1">SUMIFS(Table1[Total],Table1[Acronym],Data_final_model_format!$B8,Table1[BON code],Data_final_model_format!$D$2)+SUMIFS(Table1[Total],Table1[Acronym],Data_final_model_format!$B8,Table1[BON code],Data_final_model_format!$D$3)+SUMIFS(Table1[Total],Table1[Acronym],Data_final_model_format!$B8,Table1[BON code],Data_final_model_format!$D$4)</f>
        <v>0</v>
      </c>
      <c r="E8" s="115">
        <f ca="1">SUMIFS('Final Input'!F:F,'Final Input'!$A:$A,$B8,'Final Input'!$B:$B,$E$3)+SUMIFS('Final Input'!F:F,'Final Input'!$A:$A,$B8,'Final Input'!$B:$B,$E$2)</f>
        <v>0</v>
      </c>
      <c r="F8" s="115">
        <f ca="1">SUMIFS('Final Input'!G:G,'Final Input'!$A:$A,$B8,'Final Input'!$B:$B,$E$3)+SUMIFS('Final Input'!G:G,'Final Input'!$A:$A,$B8,'Final Input'!$B:$B,$E$2)</f>
        <v>0</v>
      </c>
      <c r="G8" s="115">
        <f ca="1">SUMIFS('Final Input'!H:H,'Final Input'!$A:$A,$B8,'Final Input'!$B:$B,$G$4)</f>
        <v>0</v>
      </c>
      <c r="H8" s="115">
        <f ca="1">SUMIFS('Final Input'!I:I,'Final Input'!$A:$A,$B8,'Final Input'!$B:$B,$G$4)</f>
        <v>0</v>
      </c>
      <c r="I8" s="115">
        <f ca="1">SUMIFS('Final Input'!J:J,'Final Input'!$A:$A,$B8,'Final Input'!$B:$B,$G$4)</f>
        <v>0</v>
      </c>
      <c r="J8" s="115">
        <f ca="1">SUMIFS('Final Input'!K:K,'Final Input'!$A:$A,$B8,'Final Input'!$B:$B,$G$4)</f>
        <v>0</v>
      </c>
      <c r="K8" s="115">
        <f ca="1">SUMIFS('Final Input'!L:L,'Final Input'!$A:$A,$B8,'Final Input'!$B:$B,$G$4)</f>
        <v>0</v>
      </c>
      <c r="L8" s="113">
        <f t="shared" ref="L8:L16" ca="1" si="0">SUM(E8:K8)</f>
        <v>0</v>
      </c>
      <c r="M8" s="174">
        <f ca="1">SUMIFS('Final Input'!N:N,'Final Input'!$A:$A,$B8,'Final Input'!$B:$B,$M$4)</f>
        <v>0</v>
      </c>
    </row>
    <row r="9" spans="1:13" ht="15">
      <c r="B9" s="161" t="s">
        <v>99</v>
      </c>
      <c r="C9" s="162">
        <f>_xlfn.XLOOKUP($B9,PR24_NETTOTEX_WASTE!$B$8:$B$18,PR24_NETTOTEX_WASTE!$G$8:$G$18)</f>
        <v>3207.9270000000001</v>
      </c>
      <c r="D9" s="115">
        <f ca="1">SUMIFS(Table1[Total],Table1[Acronym],Data_final_model_format!$B9,Table1[BON code],Data_final_model_format!$D$2)+SUMIFS(Table1[Total],Table1[Acronym],Data_final_model_format!$B9,Table1[BON code],Data_final_model_format!$D$3)+SUMIFS(Table1[Total],Table1[Acronym],Data_final_model_format!$B9,Table1[BON code],Data_final_model_format!$D$4)</f>
        <v>55.448</v>
      </c>
      <c r="E9" s="115">
        <f ca="1">SUMIFS('Final Input'!F:F,'Final Input'!$A:$A,$B9,'Final Input'!$B:$B,$E$3)+SUMIFS('Final Input'!F:F,'Final Input'!$A:$A,$B9,'Final Input'!$B:$B,$E$2)</f>
        <v>0</v>
      </c>
      <c r="F9" s="115">
        <f ca="1">SUMIFS('Final Input'!G:G,'Final Input'!$A:$A,$B9,'Final Input'!$B:$B,$E$3)+SUMIFS('Final Input'!G:G,'Final Input'!$A:$A,$B9,'Final Input'!$B:$B,$E$2)</f>
        <v>0</v>
      </c>
      <c r="G9" s="115">
        <f ca="1">SUMIFS('Final Input'!H:H,'Final Input'!$A:$A,$B9,'Final Input'!$B:$B,$G$4)</f>
        <v>2.718</v>
      </c>
      <c r="H9" s="115">
        <f ca="1">SUMIFS('Final Input'!I:I,'Final Input'!$A:$A,$B9,'Final Input'!$B:$B,$G$4)</f>
        <v>12.323</v>
      </c>
      <c r="I9" s="115">
        <f ca="1">SUMIFS('Final Input'!J:J,'Final Input'!$A:$A,$B9,'Final Input'!$B:$B,$G$4)</f>
        <v>12.978</v>
      </c>
      <c r="J9" s="115">
        <f ca="1">SUMIFS('Final Input'!K:K,'Final Input'!$A:$A,$B9,'Final Input'!$B:$B,$G$4)</f>
        <v>13.387</v>
      </c>
      <c r="K9" s="115">
        <f ca="1">SUMIFS('Final Input'!L:L,'Final Input'!$A:$A,$B9,'Final Input'!$B:$B,$G$4)</f>
        <v>14.042</v>
      </c>
      <c r="L9" s="113">
        <f t="shared" ca="1" si="0"/>
        <v>55.448</v>
      </c>
      <c r="M9" s="174">
        <f ca="1">SUMIFS('Final Input'!N:N,'Final Input'!$A:$A,$B9,'Final Input'!$B:$B,$M$4)</f>
        <v>390</v>
      </c>
    </row>
    <row r="10" spans="1:13" ht="15">
      <c r="B10" s="161" t="s">
        <v>101</v>
      </c>
      <c r="C10" s="162">
        <f>_xlfn.XLOOKUP($B10,PR24_NETTOTEX_WASTE!$B$8:$B$18,PR24_NETTOTEX_WASTE!$G$8:$G$18)</f>
        <v>8618.7119999999995</v>
      </c>
      <c r="D10" s="115">
        <f ca="1">SUMIFS(Table1[Total],Table1[Acronym],Data_final_model_format!$B10,Table1[BON code],Data_final_model_format!$D$2)+SUMIFS(Table1[Total],Table1[Acronym],Data_final_model_format!$B10,Table1[BON code],Data_final_model_format!$D$3)+SUMIFS(Table1[Total],Table1[Acronym],Data_final_model_format!$B10,Table1[BON code],Data_final_model_format!$D$4)</f>
        <v>134.34716344920167</v>
      </c>
      <c r="E10" s="115">
        <f ca="1">SUMIFS('Final Input'!F:F,'Final Input'!$A:$A,$B10,'Final Input'!$B:$B,$E$3)+SUMIFS('Final Input'!F:F,'Final Input'!$A:$A,$B10,'Final Input'!$B:$B,$E$2)</f>
        <v>0</v>
      </c>
      <c r="F10" s="115">
        <f ca="1">SUMIFS('Final Input'!G:G,'Final Input'!$A:$A,$B10,'Final Input'!$B:$B,$E$3)+SUMIFS('Final Input'!G:G,'Final Input'!$A:$A,$B10,'Final Input'!$B:$B,$E$2)</f>
        <v>0.7524168125794064</v>
      </c>
      <c r="G10" s="115">
        <f ca="1">SUMIFS('Final Input'!H:H,'Final Input'!$A:$A,$B10,'Final Input'!$B:$B,$G$4)</f>
        <v>9.5366632622977665</v>
      </c>
      <c r="H10" s="115">
        <f ca="1">SUMIFS('Final Input'!I:I,'Final Input'!$A:$A,$B10,'Final Input'!$B:$B,$G$4)</f>
        <v>26.538144298272439</v>
      </c>
      <c r="I10" s="115">
        <f ca="1">SUMIFS('Final Input'!J:J,'Final Input'!$A:$A,$B10,'Final Input'!$B:$B,$G$4)</f>
        <v>29.62432710420288</v>
      </c>
      <c r="J10" s="115">
        <f ca="1">SUMIFS('Final Input'!K:K,'Final Input'!$A:$A,$B10,'Final Input'!$B:$B,$G$4)</f>
        <v>32.589070209772828</v>
      </c>
      <c r="K10" s="115">
        <f ca="1">SUMIFS('Final Input'!L:L,'Final Input'!$A:$A,$B10,'Final Input'!$B:$B,$G$4)</f>
        <v>35.306541762076343</v>
      </c>
      <c r="L10" s="113">
        <f t="shared" ca="1" si="0"/>
        <v>134.34716344920167</v>
      </c>
      <c r="M10" s="174">
        <f ca="1">SUMIFS('Final Input'!N:N,'Final Input'!$A:$A,$B10,'Final Input'!$B:$B,$M$4)</f>
        <v>1000</v>
      </c>
    </row>
    <row r="11" spans="1:13" ht="15">
      <c r="B11" s="161" t="s">
        <v>100</v>
      </c>
      <c r="C11" s="162">
        <f>_xlfn.XLOOKUP($B11,PR24_NETTOTEX_WASTE!$B$8:$B$18,PR24_NETTOTEX_WASTE!$G$8:$G$18)</f>
        <v>2220.3789999999999</v>
      </c>
      <c r="D11" s="115">
        <f ca="1">SUMIFS(Table1[Total],Table1[Acronym],Data_final_model_format!$B11,Table1[BON code],Data_final_model_format!$D$2)+SUMIFS(Table1[Total],Table1[Acronym],Data_final_model_format!$B11,Table1[BON code],Data_final_model_format!$D$3)+SUMIFS(Table1[Total],Table1[Acronym],Data_final_model_format!$B11,Table1[BON code],Data_final_model_format!$D$4)</f>
        <v>54.433</v>
      </c>
      <c r="E11" s="115">
        <f ca="1">SUMIFS('Final Input'!F:F,'Final Input'!$A:$A,$B11,'Final Input'!$B:$B,$E$3)+SUMIFS('Final Input'!F:F,'Final Input'!$A:$A,$B11,'Final Input'!$B:$B,$E$2)</f>
        <v>0</v>
      </c>
      <c r="F11" s="115">
        <f ca="1">SUMIFS('Final Input'!G:G,'Final Input'!$A:$A,$B11,'Final Input'!$B:$B,$E$3)+SUMIFS('Final Input'!G:G,'Final Input'!$A:$A,$B11,'Final Input'!$B:$B,$E$2)</f>
        <v>0</v>
      </c>
      <c r="G11" s="115">
        <f ca="1">SUMIFS('Final Input'!H:H,'Final Input'!$A:$A,$B11,'Final Input'!$B:$B,$G$4)</f>
        <v>9.282</v>
      </c>
      <c r="H11" s="115">
        <f ca="1">SUMIFS('Final Input'!I:I,'Final Input'!$A:$A,$B11,'Final Input'!$B:$B,$G$4)</f>
        <v>10.082000000000001</v>
      </c>
      <c r="I11" s="115">
        <f ca="1">SUMIFS('Final Input'!J:J,'Final Input'!$A:$A,$B11,'Final Input'!$B:$B,$G$4)</f>
        <v>10.882</v>
      </c>
      <c r="J11" s="115">
        <f ca="1">SUMIFS('Final Input'!K:K,'Final Input'!$A:$A,$B11,'Final Input'!$B:$B,$G$4)</f>
        <v>11.693</v>
      </c>
      <c r="K11" s="115">
        <f ca="1">SUMIFS('Final Input'!L:L,'Final Input'!$A:$A,$B11,'Final Input'!$B:$B,$G$4)</f>
        <v>12.494</v>
      </c>
      <c r="L11" s="113">
        <f t="shared" ca="1" si="0"/>
        <v>54.433</v>
      </c>
      <c r="M11" s="174">
        <f ca="1">SUMIFS('Final Input'!N:N,'Final Input'!$A:$A,$B11,'Final Input'!$B:$B,$M$4)</f>
        <v>409</v>
      </c>
    </row>
    <row r="12" spans="1:13" ht="15">
      <c r="B12" s="161" t="s">
        <v>102</v>
      </c>
      <c r="C12" s="162">
        <f>_xlfn.XLOOKUP($B12,PR24_NETTOTEX_WASTE!$B$8:$B$18,PR24_NETTOTEX_WASTE!$G$8:$G$18)</f>
        <v>5114.1959999999999</v>
      </c>
      <c r="D12" s="115">
        <f ca="1">SUMIFS(Table1[Total],Table1[Acronym],Data_final_model_format!$B12,Table1[BON code],Data_final_model_format!$D$2)+SUMIFS(Table1[Total],Table1[Acronym],Data_final_model_format!$B12,Table1[BON code],Data_final_model_format!$D$3)+SUMIFS(Table1[Total],Table1[Acronym],Data_final_model_format!$B12,Table1[BON code],Data_final_model_format!$D$4)</f>
        <v>43.146999999999998</v>
      </c>
      <c r="E12" s="115">
        <f ca="1">SUMIFS('Final Input'!F:F,'Final Input'!$A:$A,$B12,'Final Input'!$B:$B,$E$3)+SUMIFS('Final Input'!F:F,'Final Input'!$A:$A,$B12,'Final Input'!$B:$B,$E$2)</f>
        <v>0</v>
      </c>
      <c r="F12" s="115">
        <f ca="1">SUMIFS('Final Input'!G:G,'Final Input'!$A:$A,$B12,'Final Input'!$B:$B,$E$3)+SUMIFS('Final Input'!G:G,'Final Input'!$A:$A,$B12,'Final Input'!$B:$B,$E$2)</f>
        <v>0</v>
      </c>
      <c r="G12" s="115">
        <f ca="1">SUMIFS('Final Input'!H:H,'Final Input'!$A:$A,$B12,'Final Input'!$B:$B,$G$4)</f>
        <v>8.6729999999999983</v>
      </c>
      <c r="H12" s="115">
        <f ca="1">SUMIFS('Final Input'!I:I,'Final Input'!$A:$A,$B12,'Final Input'!$B:$B,$G$4)</f>
        <v>9.9629999999999992</v>
      </c>
      <c r="I12" s="115">
        <f ca="1">SUMIFS('Final Input'!J:J,'Final Input'!$A:$A,$B12,'Final Input'!$B:$B,$G$4)</f>
        <v>9.8889999999999993</v>
      </c>
      <c r="J12" s="115">
        <f ca="1">SUMIFS('Final Input'!K:K,'Final Input'!$A:$A,$B12,'Final Input'!$B:$B,$G$4)</f>
        <v>10.321</v>
      </c>
      <c r="K12" s="115">
        <f ca="1">SUMIFS('Final Input'!L:L,'Final Input'!$A:$A,$B12,'Final Input'!$B:$B,$G$4)</f>
        <v>4.3010000000000002</v>
      </c>
      <c r="L12" s="113">
        <f t="shared" ca="1" si="0"/>
        <v>43.146999999999998</v>
      </c>
      <c r="M12" s="174">
        <f ca="1">SUMIFS('Final Input'!N:N,'Final Input'!$A:$A,$B12,'Final Input'!$B:$B,$M$4)</f>
        <v>304</v>
      </c>
    </row>
    <row r="13" spans="1:13" ht="15">
      <c r="B13" s="161" t="s">
        <v>103</v>
      </c>
      <c r="C13" s="162">
        <f>_xlfn.XLOOKUP($B13,PR24_NETTOTEX_WASTE!$B$8:$B$18,PR24_NETTOTEX_WASTE!$G$8:$G$18)</f>
        <v>12775.474</v>
      </c>
      <c r="D13" s="115">
        <f ca="1">SUMIFS(Table1[Total],Table1[Acronym],Data_final_model_format!$B13,Table1[BON code],Data_final_model_format!$D$2)+SUMIFS(Table1[Total],Table1[Acronym],Data_final_model_format!$B13,Table1[BON code],Data_final_model_format!$D$3)+SUMIFS(Table1[Total],Table1[Acronym],Data_final_model_format!$B13,Table1[BON code],Data_final_model_format!$D$4)</f>
        <v>52.985999999999997</v>
      </c>
      <c r="E13" s="115">
        <f ca="1">SUMIFS('Final Input'!F:F,'Final Input'!$A:$A,$B13,'Final Input'!$B:$B,$E$3)+SUMIFS('Final Input'!F:F,'Final Input'!$A:$A,$B13,'Final Input'!$B:$B,$E$2)</f>
        <v>0</v>
      </c>
      <c r="F13" s="115">
        <f ca="1">SUMIFS('Final Input'!G:G,'Final Input'!$A:$A,$B13,'Final Input'!$B:$B,$E$3)+SUMIFS('Final Input'!G:G,'Final Input'!$A:$A,$B13,'Final Input'!$B:$B,$E$2)</f>
        <v>0</v>
      </c>
      <c r="G13" s="115">
        <f ca="1">SUMIFS('Final Input'!H:H,'Final Input'!$A:$A,$B13,'Final Input'!$B:$B,$G$4)</f>
        <v>16.802</v>
      </c>
      <c r="H13" s="115">
        <f ca="1">SUMIFS('Final Input'!I:I,'Final Input'!$A:$A,$B13,'Final Input'!$B:$B,$G$4)</f>
        <v>18.088999999999999</v>
      </c>
      <c r="I13" s="115">
        <f ca="1">SUMIFS('Final Input'!J:J,'Final Input'!$A:$A,$B13,'Final Input'!$B:$B,$G$4)</f>
        <v>6.0679999999999996</v>
      </c>
      <c r="J13" s="115">
        <f ca="1">SUMIFS('Final Input'!K:K,'Final Input'!$A:$A,$B13,'Final Input'!$B:$B,$G$4)</f>
        <v>5.77</v>
      </c>
      <c r="K13" s="115">
        <f ca="1">SUMIFS('Final Input'!L:L,'Final Input'!$A:$A,$B13,'Final Input'!$B:$B,$G$4)</f>
        <v>6.2569999999999997</v>
      </c>
      <c r="L13" s="113">
        <f t="shared" ca="1" si="0"/>
        <v>52.985999999999997</v>
      </c>
      <c r="M13" s="174">
        <f ca="1">SUMIFS('Final Input'!N:N,'Final Input'!$A:$A,$B13,'Final Input'!$B:$B,$M$4)</f>
        <v>314</v>
      </c>
    </row>
    <row r="14" spans="1:13" ht="15">
      <c r="B14" s="161" t="s">
        <v>104</v>
      </c>
      <c r="C14" s="162">
        <f>_xlfn.XLOOKUP($B14,PR24_NETTOTEX_WASTE!$B$8:$B$18,PR24_NETTOTEX_WASTE!$G$8:$G$18)</f>
        <v>8993.18</v>
      </c>
      <c r="D14" s="115">
        <f ca="1">SUMIFS(Table1[Total],Table1[Acronym],Data_final_model_format!$B14,Table1[BON code],Data_final_model_format!$D$2)+SUMIFS(Table1[Total],Table1[Acronym],Data_final_model_format!$B14,Table1[BON code],Data_final_model_format!$D$3)+SUMIFS(Table1[Total],Table1[Acronym],Data_final_model_format!$B14,Table1[BON code],Data_final_model_format!$D$4)</f>
        <v>84.834619803113227</v>
      </c>
      <c r="E14" s="115">
        <f ca="1">SUMIFS('Final Input'!F:F,'Final Input'!$A:$A,$B14,'Final Input'!$B:$B,$E$3)+SUMIFS('Final Input'!F:F,'Final Input'!$A:$A,$B14,'Final Input'!$B:$B,$E$2)</f>
        <v>0</v>
      </c>
      <c r="F14" s="115">
        <f ca="1">SUMIFS('Final Input'!G:G,'Final Input'!$A:$A,$B14,'Final Input'!$B:$B,$E$3)+SUMIFS('Final Input'!G:G,'Final Input'!$A:$A,$B14,'Final Input'!$B:$B,$E$2)</f>
        <v>0</v>
      </c>
      <c r="G14" s="115">
        <f ca="1">SUMIFS('Final Input'!H:H,'Final Input'!$A:$A,$B14,'Final Input'!$B:$B,$G$4)</f>
        <v>15.343173003924152</v>
      </c>
      <c r="H14" s="115">
        <f ca="1">SUMIFS('Final Input'!I:I,'Final Input'!$A:$A,$B14,'Final Input'!$B:$B,$G$4)</f>
        <v>16.252646523808153</v>
      </c>
      <c r="I14" s="115">
        <f ca="1">SUMIFS('Final Input'!J:J,'Final Input'!$A:$A,$B14,'Final Input'!$B:$B,$G$4)</f>
        <v>16.77108538311219</v>
      </c>
      <c r="J14" s="115">
        <f ca="1">SUMIFS('Final Input'!K:K,'Final Input'!$A:$A,$B14,'Final Input'!$B:$B,$G$4)</f>
        <v>17.682853284841272</v>
      </c>
      <c r="K14" s="115">
        <f ca="1">SUMIFS('Final Input'!L:L,'Final Input'!$A:$A,$B14,'Final Input'!$B:$B,$G$4)</f>
        <v>18.276673953574988</v>
      </c>
      <c r="L14" s="113">
        <f t="shared" ca="1" si="0"/>
        <v>84.326432149260754</v>
      </c>
      <c r="M14" s="174">
        <f ca="1">SUMIFS('Final Input'!N:N,'Final Input'!$A:$A,$B14,'Final Input'!$B:$B,$M$4)</f>
        <v>633</v>
      </c>
    </row>
    <row r="15" spans="1:13" ht="15">
      <c r="B15" s="161" t="s">
        <v>105</v>
      </c>
      <c r="C15" s="162">
        <f>_xlfn.XLOOKUP($B15,PR24_NETTOTEX_WASTE!$B$8:$B$18,PR24_NETTOTEX_WASTE!$G$8:$G$18)</f>
        <v>3717.8809999999999</v>
      </c>
      <c r="D15" s="115">
        <f ca="1">SUMIFS(Table1[Total],Table1[Acronym],Data_final_model_format!$B15,Table1[BON code],Data_final_model_format!$D$2)+SUMIFS(Table1[Total],Table1[Acronym],Data_final_model_format!$B15,Table1[BON code],Data_final_model_format!$D$3)+SUMIFS(Table1[Total],Table1[Acronym],Data_final_model_format!$B15,Table1[BON code],Data_final_model_format!$D$4)</f>
        <v>62.595306000000001</v>
      </c>
      <c r="E15" s="115">
        <f ca="1">SUMIFS('Final Input'!F:F,'Final Input'!$A:$A,$B15,'Final Input'!$B:$B,$E$3)+SUMIFS('Final Input'!F:F,'Final Input'!$A:$A,$B15,'Final Input'!$B:$B,$E$2)</f>
        <v>0.17294799999999999</v>
      </c>
      <c r="F15" s="115">
        <f ca="1">SUMIFS('Final Input'!G:G,'Final Input'!$A:$A,$B15,'Final Input'!$B:$B,$E$3)+SUMIFS('Final Input'!G:G,'Final Input'!$A:$A,$B15,'Final Input'!$B:$B,$E$2)</f>
        <v>1.787744</v>
      </c>
      <c r="G15" s="115">
        <f ca="1">SUMIFS('Final Input'!H:H,'Final Input'!$A:$A,$B15,'Final Input'!$B:$B,$G$4)</f>
        <v>10.012511999999999</v>
      </c>
      <c r="H15" s="115">
        <f ca="1">SUMIFS('Final Input'!I:I,'Final Input'!$A:$A,$B15,'Final Input'!$B:$B,$G$4)</f>
        <v>11.743107999999999</v>
      </c>
      <c r="I15" s="115">
        <f ca="1">SUMIFS('Final Input'!J:J,'Final Input'!$A:$A,$B15,'Final Input'!$B:$B,$G$4)</f>
        <v>12.551933</v>
      </c>
      <c r="J15" s="115">
        <f ca="1">SUMIFS('Final Input'!K:K,'Final Input'!$A:$A,$B15,'Final Input'!$B:$B,$G$4)</f>
        <v>11.761711999999999</v>
      </c>
      <c r="K15" s="115">
        <f ca="1">SUMIFS('Final Input'!L:L,'Final Input'!$A:$A,$B15,'Final Input'!$B:$B,$G$4)</f>
        <v>14.565348999999999</v>
      </c>
      <c r="L15" s="113">
        <f ca="1">SUM(E15:K15)</f>
        <v>62.595305999999994</v>
      </c>
      <c r="M15" s="174">
        <f ca="1">SUMIFS('Final Input'!N:N,'Final Input'!$A:$A,$B15,'Final Input'!$B:$B,$M$4)</f>
        <v>470</v>
      </c>
    </row>
    <row r="16" spans="1:13" ht="15">
      <c r="B16" s="161" t="s">
        <v>106</v>
      </c>
      <c r="C16" s="162">
        <f>_xlfn.XLOOKUP($B16,PR24_NETTOTEX_WASTE!$B$8:$B$18,PR24_NETTOTEX_WASTE!$G$8:$G$18)</f>
        <v>4605.5680000000002</v>
      </c>
      <c r="D16" s="115">
        <f ca="1">SUMIFS(Table1[Total],Table1[Acronym],Data_final_model_format!$B16,Table1[BON code],Data_final_model_format!$D$2)+SUMIFS(Table1[Total],Table1[Acronym],Data_final_model_format!$B16,Table1[BON code],Data_final_model_format!$D$3)+SUMIFS(Table1[Total],Table1[Acronym],Data_final_model_format!$B16,Table1[BON code],Data_final_model_format!$D$4)</f>
        <v>97.493692799999991</v>
      </c>
      <c r="E16" s="115">
        <f ca="1">SUMIFS('Final Input'!F:F,'Final Input'!$A:$A,$B16,'Final Input'!$B:$B,$E$3)+SUMIFS('Final Input'!F:F,'Final Input'!$A:$A,$B16,'Final Input'!$B:$B,$E$2)</f>
        <v>0</v>
      </c>
      <c r="F16" s="115">
        <f ca="1">SUMIFS('Final Input'!G:G,'Final Input'!$A:$A,$B16,'Final Input'!$B:$B,$E$3)+SUMIFS('Final Input'!G:G,'Final Input'!$A:$A,$B16,'Final Input'!$B:$B,$E$2)</f>
        <v>0</v>
      </c>
      <c r="G16" s="115">
        <f ca="1">SUMIFS('Final Input'!H:H,'Final Input'!$A:$A,$B16,'Final Input'!$B:$B,$G$4)</f>
        <v>4.796672</v>
      </c>
      <c r="H16" s="115">
        <f ca="1">SUMIFS('Final Input'!I:I,'Final Input'!$A:$A,$B16,'Final Input'!$B:$B,$G$4)</f>
        <v>6.7326816000000003</v>
      </c>
      <c r="I16" s="115">
        <f ca="1">SUMIFS('Final Input'!J:J,'Final Input'!$A:$A,$B16,'Final Input'!$B:$B,$G$4)</f>
        <v>15.783884799999999</v>
      </c>
      <c r="J16" s="115">
        <f ca="1">SUMIFS('Final Input'!K:K,'Final Input'!$A:$A,$B16,'Final Input'!$B:$B,$G$4)</f>
        <v>31.6003072</v>
      </c>
      <c r="K16" s="115">
        <f ca="1">SUMIFS('Final Input'!L:L,'Final Input'!$A:$A,$B16,'Final Input'!$B:$B,$G$4)</f>
        <v>38.580147199999999</v>
      </c>
      <c r="L16" s="116">
        <f t="shared" ca="1" si="0"/>
        <v>97.493692799999991</v>
      </c>
      <c r="M16" s="174">
        <f ca="1">SUMIFS('Final Input'!N:N,'Final Input'!$A:$A,$B16,'Final Input'!$B:$B,$M$4)</f>
        <v>736</v>
      </c>
    </row>
    <row r="17" spans="2:13">
      <c r="B17" s="192" t="s">
        <v>111</v>
      </c>
      <c r="C17" s="193">
        <f>SUM(C6:C16)</f>
        <v>58682.968000000001</v>
      </c>
      <c r="D17" s="193">
        <f ca="1">SUM(D6:D16)</f>
        <v>669.17678205231482</v>
      </c>
      <c r="E17" s="194">
        <f ca="1">SUM(E6:E16)</f>
        <v>0.17294799999999999</v>
      </c>
      <c r="F17" s="194">
        <f t="shared" ref="F17" ca="1" si="1">SUM(F6:F16)</f>
        <v>2.5401608125794066</v>
      </c>
      <c r="G17" s="195">
        <f ca="1">SUM(G6:G16)</f>
        <v>80.53802026622192</v>
      </c>
      <c r="H17" s="194">
        <f t="shared" ref="H17:L17" ca="1" si="2">SUM(H6:H16)</f>
        <v>132.07058042208061</v>
      </c>
      <c r="I17" s="194">
        <f t="shared" ca="1" si="2"/>
        <v>133.98523028731509</v>
      </c>
      <c r="J17" s="194">
        <f t="shared" ca="1" si="2"/>
        <v>154.7489426946141</v>
      </c>
      <c r="K17" s="194">
        <f t="shared" ca="1" si="2"/>
        <v>164.61271191565135</v>
      </c>
      <c r="L17" s="194">
        <f t="shared" ca="1" si="2"/>
        <v>668.66859439846235</v>
      </c>
      <c r="M17" s="196">
        <f ca="1">SUM(M6:M16)</f>
        <v>4868</v>
      </c>
    </row>
    <row r="18" spans="2:13">
      <c r="C18" s="28"/>
      <c r="D18" s="28"/>
      <c r="E18" s="28"/>
      <c r="F18" s="28"/>
      <c r="G18" s="28"/>
      <c r="H18" s="28"/>
    </row>
    <row r="19" spans="2:13">
      <c r="C19" s="28"/>
      <c r="D19" s="28"/>
      <c r="E19" s="28"/>
      <c r="F19" s="28"/>
      <c r="G19" s="28"/>
      <c r="H19" s="28"/>
    </row>
    <row r="20" spans="2:13">
      <c r="C20" s="28"/>
      <c r="D20" s="28"/>
      <c r="E20" s="28"/>
      <c r="F20" s="28"/>
      <c r="G20" s="28"/>
      <c r="H20" s="28"/>
    </row>
    <row r="21" spans="2:13">
      <c r="C21" s="28"/>
      <c r="D21" s="28"/>
      <c r="E21" s="28"/>
      <c r="F21" s="28"/>
      <c r="G21" s="28"/>
      <c r="H21" s="28"/>
    </row>
    <row r="22" spans="2:13">
      <c r="C22" s="28"/>
      <c r="D22" s="28"/>
      <c r="E22" s="28"/>
      <c r="F22" s="28"/>
      <c r="G22" s="28"/>
      <c r="H22" s="28"/>
    </row>
    <row r="23" spans="2:13">
      <c r="C23" s="28"/>
      <c r="D23" s="28"/>
      <c r="E23" s="28"/>
      <c r="F23" s="28"/>
      <c r="G23" s="28"/>
      <c r="H23" s="28"/>
    </row>
    <row r="24" spans="2:13">
      <c r="C24" s="28"/>
      <c r="D24" s="28"/>
      <c r="E24" s="28"/>
      <c r="F24" s="28"/>
      <c r="G24" s="28"/>
      <c r="H24" s="28"/>
    </row>
    <row r="25" spans="2:13">
      <c r="C25" s="28"/>
      <c r="D25" s="28"/>
      <c r="E25" s="28"/>
      <c r="F25" s="28"/>
      <c r="G25" s="28"/>
      <c r="H25" s="28"/>
    </row>
    <row r="26" spans="2:13">
      <c r="C26" s="28"/>
      <c r="D26" s="28"/>
      <c r="E26" s="28"/>
      <c r="F26" s="28"/>
      <c r="G26" s="28"/>
      <c r="H26" s="28"/>
    </row>
    <row r="27" spans="2:13">
      <c r="C27" s="28"/>
      <c r="D27" s="28"/>
      <c r="E27" s="28"/>
      <c r="F27" s="28"/>
      <c r="G27" s="28"/>
      <c r="H27" s="28"/>
    </row>
    <row r="28" spans="2:13">
      <c r="C28" s="28"/>
      <c r="D28" s="28"/>
      <c r="E28" s="28"/>
      <c r="F28" s="28"/>
      <c r="G28" s="28"/>
      <c r="H28" s="28"/>
    </row>
    <row r="29" spans="2:13">
      <c r="C29" s="28"/>
      <c r="D29" s="28"/>
      <c r="E29" s="28"/>
      <c r="F29" s="28"/>
      <c r="G29" s="28"/>
      <c r="H29" s="28"/>
    </row>
    <row r="30" spans="2:13">
      <c r="C30" s="28"/>
      <c r="D30" s="28"/>
      <c r="E30" s="28"/>
      <c r="F30" s="28"/>
      <c r="G30" s="28"/>
      <c r="H30" s="28"/>
    </row>
    <row r="31" spans="2:13">
      <c r="C31" s="28"/>
      <c r="D31" s="28"/>
      <c r="E31" s="28"/>
      <c r="F31" s="28"/>
      <c r="G31" s="28"/>
      <c r="H31" s="28"/>
    </row>
    <row r="32" spans="2:13">
      <c r="C32" s="28"/>
      <c r="D32" s="28"/>
      <c r="E32" s="28"/>
      <c r="F32" s="28"/>
      <c r="G32" s="28"/>
      <c r="H32" s="28"/>
    </row>
    <row r="33" spans="3:8">
      <c r="C33" s="28"/>
      <c r="D33" s="28"/>
      <c r="E33" s="28"/>
      <c r="F33" s="28"/>
      <c r="G33" s="28"/>
      <c r="H33" s="28"/>
    </row>
    <row r="34" spans="3:8">
      <c r="C34" s="28"/>
      <c r="D34" s="28"/>
      <c r="E34" s="28"/>
      <c r="F34" s="28"/>
      <c r="G34" s="28"/>
      <c r="H34" s="28"/>
    </row>
    <row r="35" spans="3:8">
      <c r="C35" s="28"/>
      <c r="D35" s="28"/>
      <c r="E35" s="28"/>
      <c r="F35" s="28"/>
      <c r="G35" s="28"/>
      <c r="H35" s="28"/>
    </row>
    <row r="36" spans="3:8">
      <c r="C36" s="28"/>
      <c r="D36" s="28"/>
      <c r="E36" s="28"/>
      <c r="F36" s="28"/>
      <c r="G36" s="28"/>
      <c r="H36" s="28"/>
    </row>
    <row r="37" spans="3:8">
      <c r="C37" s="28"/>
      <c r="D37" s="28"/>
      <c r="E37" s="28"/>
      <c r="F37" s="28"/>
      <c r="G37" s="28"/>
      <c r="H37" s="28"/>
    </row>
    <row r="38" spans="3:8">
      <c r="C38" s="28"/>
      <c r="D38" s="28"/>
      <c r="E38" s="28"/>
      <c r="F38" s="28"/>
      <c r="G38" s="28"/>
      <c r="H38" s="28"/>
    </row>
    <row r="39" spans="3:8">
      <c r="C39" s="28"/>
      <c r="D39" s="28"/>
      <c r="E39" s="28"/>
      <c r="F39" s="28"/>
      <c r="G39" s="28"/>
      <c r="H39" s="28"/>
    </row>
    <row r="40" spans="3:8">
      <c r="C40" s="28"/>
      <c r="D40" s="28"/>
      <c r="E40" s="28"/>
      <c r="F40" s="28"/>
      <c r="G40" s="28"/>
      <c r="H40" s="28"/>
    </row>
    <row r="41" spans="3:8">
      <c r="C41" s="28"/>
      <c r="D41" s="28"/>
      <c r="E41" s="28"/>
      <c r="F41" s="28"/>
      <c r="G41" s="28"/>
      <c r="H41" s="28"/>
    </row>
    <row r="42" spans="3:8">
      <c r="C42" s="28"/>
      <c r="D42" s="28"/>
      <c r="E42" s="28"/>
      <c r="F42" s="28"/>
      <c r="G42" s="28"/>
      <c r="H42" s="28"/>
    </row>
    <row r="43" spans="3:8">
      <c r="C43" s="28"/>
      <c r="D43" s="28"/>
      <c r="E43" s="28"/>
      <c r="F43" s="28"/>
      <c r="G43" s="28"/>
      <c r="H43" s="28"/>
    </row>
    <row r="44" spans="3:8">
      <c r="C44" s="28"/>
      <c r="D44" s="28"/>
      <c r="E44" s="28"/>
      <c r="F44" s="28"/>
      <c r="G44" s="28"/>
      <c r="H44" s="28"/>
    </row>
    <row r="45" spans="3:8">
      <c r="C45" s="28"/>
      <c r="D45" s="28"/>
      <c r="E45" s="28"/>
      <c r="F45" s="28"/>
      <c r="G45" s="28"/>
      <c r="H45" s="28"/>
    </row>
    <row r="46" spans="3:8">
      <c r="C46" s="28"/>
      <c r="D46" s="28"/>
      <c r="E46" s="28"/>
      <c r="F46" s="28"/>
      <c r="G46" s="28"/>
      <c r="H46" s="28"/>
    </row>
  </sheetData>
  <phoneticPr fontId="4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 xmlns="fadac89a-56fa-4a3d-a427-8ae1dcb95347" xsi:nil="true"/>
    <lcf76f155ced4ddcb4097134ff3c332f xmlns="fadac89a-56fa-4a3d-a427-8ae1dcb95347">
      <Terms xmlns="http://schemas.microsoft.com/office/infopath/2007/PartnerControls"/>
    </lcf76f155ced4ddcb4097134ff3c332f>
    <TaxCatchAll xmlns="71c95305-930c-4d63-9794-2d644343057c" xsi:nil="true"/>
  </documentManagement>
</p:properties>
</file>

<file path=customXml/itemProps1.xml><?xml version="1.0" encoding="utf-8"?>
<ds:datastoreItem xmlns:ds="http://schemas.openxmlformats.org/officeDocument/2006/customXml" ds:itemID="{08D71FB2-D26A-44D5-BC93-A21B67F612FB}"/>
</file>

<file path=customXml/itemProps2.xml><?xml version="1.0" encoding="utf-8"?>
<ds:datastoreItem xmlns:ds="http://schemas.openxmlformats.org/officeDocument/2006/customXml" ds:itemID="{09FADC1D-8900-45D0-B408-4B62FE7E0A1B}"/>
</file>

<file path=customXml/itemProps3.xml><?xml version="1.0" encoding="utf-8"?>
<ds:datastoreItem xmlns:ds="http://schemas.openxmlformats.org/officeDocument/2006/customXml" ds:itemID="{5F5DA02B-8C11-46D1-BCB3-B57EC10786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Jennie Seymour</cp:lastModifiedBy>
  <cp:revision>1</cp:revision>
  <dcterms:created xsi:type="dcterms:W3CDTF">2024-12-13T11:36:12Z</dcterms:created>
  <dcterms:modified xsi:type="dcterms:W3CDTF">2024-12-16T11:05:59Z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Order">
    <vt:r8>8700</vt:r8>
  </property>
  <property fmtid="{D5CDD505-2E9C-101B-9397-08002B2CF9AE}" pid="4" name="j014a7bd3fd34d828fc493e84f684b49">
    <vt:lpwstr/>
  </property>
  <property fmtid="{D5CDD505-2E9C-101B-9397-08002B2CF9AE}" pid="5" name="Meeting">
    <vt:lpwstr/>
  </property>
  <property fmtid="{D5CDD505-2E9C-101B-9397-08002B2CF9AE}" pid="6" name="b2faa34e97554b63aaaf45270201a270">
    <vt:lpwstr/>
  </property>
  <property fmtid="{D5CDD505-2E9C-101B-9397-08002B2CF9AE}" pid="7" name="PageName">
    <vt:lpwstr/>
  </property>
  <property fmtid="{D5CDD505-2E9C-101B-9397-08002B2CF9AE}" pid="8" name="xd_ProgID">
    <vt:lpwstr/>
  </property>
  <property fmtid="{D5CDD505-2E9C-101B-9397-08002B2CF9AE}" pid="9" name="MediaServiceImageTags">
    <vt:lpwstr/>
  </property>
  <property fmtid="{D5CDD505-2E9C-101B-9397-08002B2CF9AE}" pid="10" name="Stakeholder 2">
    <vt:lpwstr/>
  </property>
  <property fmtid="{D5CDD505-2E9C-101B-9397-08002B2CF9AE}" pid="11" name="ContentTypeId">
    <vt:lpwstr>0x0101004010F36128E44943B1120CACFDAE9F7B</vt:lpwstr>
  </property>
  <property fmtid="{D5CDD505-2E9C-101B-9397-08002B2CF9AE}" pid="12" name="Hierarchy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Collection">
    <vt:lpwstr/>
  </property>
  <property fmtid="{D5CDD505-2E9C-101B-9397-08002B2CF9AE}" pid="16" name="m279c8e365374608a4eb2bb657f838c2">
    <vt:lpwstr/>
  </property>
  <property fmtid="{D5CDD505-2E9C-101B-9397-08002B2CF9AE}" pid="17" name="Project Code">
    <vt:lpwstr/>
  </property>
  <property fmtid="{D5CDD505-2E9C-101B-9397-08002B2CF9AE}" pid="18" name="OfwatPolicyType">
    <vt:lpwstr>2;#Form|370855c6-d98d-422f-af45-033b01692a3f</vt:lpwstr>
  </property>
  <property fmtid="{D5CDD505-2E9C-101B-9397-08002B2CF9AE}" pid="19" name="j7c77f2a1a924badb0d621542422dc19">
    <vt:lpwstr/>
  </property>
  <property fmtid="{D5CDD505-2E9C-101B-9397-08002B2CF9AE}" pid="20" name="OfwatPolicyCategory">
    <vt:lpwstr>3;#All Ofwat|818d8686-f149-4d61-afd2-beebc820126a</vt:lpwstr>
  </property>
  <property fmtid="{D5CDD505-2E9C-101B-9397-08002B2CF9AE}" pid="21" name="Stakeholder 3">
    <vt:lpwstr/>
  </property>
  <property fmtid="{D5CDD505-2E9C-101B-9397-08002B2CF9AE}" pid="22" name="Water Companies">
    <vt:lpwstr/>
  </property>
  <property fmtid="{D5CDD505-2E9C-101B-9397-08002B2CF9AE}" pid="23" name="_ExtendedDescription">
    <vt:lpwstr/>
  </property>
  <property fmtid="{D5CDD505-2E9C-101B-9397-08002B2CF9AE}" pid="24" name="e3282ffb8aa84113a2fc01ee206d1f3f">
    <vt:lpwstr>Form|370855c6-d98d-422f-af45-033b01692a3f</vt:lpwstr>
  </property>
  <property fmtid="{D5CDD505-2E9C-101B-9397-08002B2CF9AE}" pid="25" name="a9250910d34f4f6d82af870f608babb6">
    <vt:lpwstr/>
  </property>
  <property fmtid="{D5CDD505-2E9C-101B-9397-08002B2CF9AE}" pid="26" name="oe9d4f963f4c420b8d2b35d038476850">
    <vt:lpwstr/>
  </property>
  <property fmtid="{D5CDD505-2E9C-101B-9397-08002B2CF9AE}" pid="27" name="TriggerFlowInfo">
    <vt:lpwstr/>
  </property>
  <property fmtid="{D5CDD505-2E9C-101B-9397-08002B2CF9AE}" pid="28" name="Stakeholder">
    <vt:lpwstr/>
  </property>
  <property fmtid="{D5CDD505-2E9C-101B-9397-08002B2CF9AE}" pid="29" name="Document Type">
    <vt:lpwstr/>
  </property>
  <property fmtid="{D5CDD505-2E9C-101B-9397-08002B2CF9AE}" pid="30" name="Security Classification">
    <vt:lpwstr/>
  </property>
  <property fmtid="{D5CDD505-2E9C-101B-9397-08002B2CF9AE}" pid="31" name="OfwatPolicyTopic">
    <vt:lpwstr/>
  </property>
  <property fmtid="{D5CDD505-2E9C-101B-9397-08002B2CF9AE}" pid="32" name="b128efbe498d4e38a73555a2e7be12ea">
    <vt:lpwstr/>
  </property>
  <property fmtid="{D5CDD505-2E9C-101B-9397-08002B2CF9AE}" pid="33" name="Stakeholder 4">
    <vt:lpwstr/>
  </property>
  <property fmtid="{D5CDD505-2E9C-101B-9397-08002B2CF9AE}" pid="34" name="xd_Signature">
    <vt:bool>false</vt:bool>
  </property>
  <property fmtid="{D5CDD505-2E9C-101B-9397-08002B2CF9AE}" pid="35" name="GUID">
    <vt:lpwstr>2879a730-d57d-4bee-a1a9-aef614050b47</vt:lpwstr>
  </property>
  <property fmtid="{D5CDD505-2E9C-101B-9397-08002B2CF9AE}" pid="36" name="SharedWithUsers">
    <vt:lpwstr>53;#Tom Boichot</vt:lpwstr>
  </property>
  <property fmtid="{D5CDD505-2E9C-101B-9397-08002B2CF9AE}" pid="37" name="da4e9ae56afa494a84f353054bd212ec">
    <vt:lpwstr/>
  </property>
  <property fmtid="{D5CDD505-2E9C-101B-9397-08002B2CF9AE}" pid="38" name="f8aa492165544285b4c7fe9d1b6ad82c">
    <vt:lpwstr/>
  </property>
  <property fmtid="{D5CDD505-2E9C-101B-9397-08002B2CF9AE}" pid="39" name="Stakeholder 5">
    <vt:lpwstr/>
  </property>
  <property fmtid="{D5CDD505-2E9C-101B-9397-08002B2CF9AE}" pid="40" name="Area">
    <vt:lpwstr>2;#All Ofwat|a2f0c570-ff2d-47bb-b6f0-977a73bf09bf</vt:lpwstr>
  </property>
  <property fmtid="{D5CDD505-2E9C-101B-9397-08002B2CF9AE}" pid="41" name="b20f10deb29d4945907115b7b62c5b70">
    <vt:lpwstr/>
  </property>
  <property fmtid="{D5CDD505-2E9C-101B-9397-08002B2CF9AE}" pid="42" name="DocumentType">
    <vt:lpwstr>4;#Form|0296d661-b298-4bb3-82b3-ac8e6c6047c5</vt:lpwstr>
  </property>
  <property fmtid="{D5CDD505-2E9C-101B-9397-08002B2CF9AE}" pid="43" name="a3e3f1078fb942d09b9b3b0aad8c1e11">
    <vt:lpwstr>All Ofwat|818d8686-f149-4d61-afd2-beebc820126a</vt:lpwstr>
  </property>
</Properties>
</file>