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Tables/pivotTable1.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fileSharing readOnlyRecommended="1"/>
  <workbookPr filterPrivacy="1" codeName="ThisWorkbook" hidePivotFieldList="1"/>
  <xr:revisionPtr revIDLastSave="4850" documentId="8_{3F653D7A-381A-4FA3-8C2E-10119FC7814B}" xr6:coauthVersionLast="47" xr6:coauthVersionMax="47" xr10:uidLastSave="{99C2FF28-A268-4B32-AA82-1CF687A4595E}"/>
  <bookViews>
    <workbookView xWindow="43080" yWindow="-120" windowWidth="29040" windowHeight="15720" tabRatio="727" xr2:uid="{00000000-000D-0000-FFFF-FFFF00000000}"/>
  </bookViews>
  <sheets>
    <sheet name="Cover" sheetId="102" r:id="rId1"/>
    <sheet name="Conceptual model" sheetId="108" r:id="rId2"/>
    <sheet name="INPUTS &gt;&gt;" sheetId="61" r:id="rId3"/>
    <sheet name="PR09 CG Data" sheetId="95" r:id="rId4"/>
    <sheet name="PR24 forecast" sheetId="59" r:id="rId5"/>
    <sheet name="Base_Enh_PR24Query" sheetId="74" r:id="rId6"/>
    <sheet name="WHAT BASE BUYS &gt;&gt;" sheetId="63" r:id="rId7"/>
    <sheet name="Renewal rates" sheetId="75" r:id="rId8"/>
    <sheet name="PR09 vs PR24" sheetId="99" r:id="rId9"/>
    <sheet name="CG uplift" sheetId="100" r:id="rId10"/>
    <sheet name="UNIT COSTS &gt;&gt;" sheetId="85" r:id="rId11"/>
    <sheet name="Unit costs" sheetId="84" r:id="rId12"/>
    <sheet name="CAC ASSESSMENTS &gt;&gt;" sheetId="103" r:id="rId13"/>
    <sheet name="NES" sheetId="104" r:id="rId14"/>
    <sheet name="TMS" sheetId="105" r:id="rId15"/>
    <sheet name="WSX" sheetId="106" r:id="rId16"/>
    <sheet name="YKY" sheetId="107" r:id="rId17"/>
    <sheet name="ANH" sheetId="109" r:id="rId18"/>
    <sheet name="OUTPUTS &gt;&gt;" sheetId="78" r:id="rId19"/>
    <sheet name="Rates summary" sheetId="79" r:id="rId20"/>
    <sheet name="Base adjustment" sheetId="93" r:id="rId21"/>
  </sheets>
  <definedNames>
    <definedName name="____net1" hidden="1">{"NET",#N/A,FALSE,"401C11"}</definedName>
    <definedName name="__123Graph_A" hidden="1">#REF!</definedName>
    <definedName name="__123Graph_B" hidden="1">#REF!</definedName>
    <definedName name="__123Graph_C" hidden="1">#REF!</definedName>
    <definedName name="__123Graph_X" hidden="1">#REF!</definedName>
    <definedName name="__net1" hidden="1">{"NET",#N/A,FALSE,"401C11"}</definedName>
    <definedName name="_1___Data_table_for_graph___Leakage___AR4__AR3__AR2__AR1_and_Ofwat_leakage_targets">#REF!</definedName>
    <definedName name="_1__Data_table_for_graph___meter_penetration___AR4__AR3__AR2__and_AR1">#REF!</definedName>
    <definedName name="_1__Graph___meter_penetration___AR4__AR3__AR2__and_AR1">#REF!</definedName>
    <definedName name="_1_0__123Grap" hidden="1">#REF!</definedName>
    <definedName name="_1_123Grap" hidden="1">#REF!</definedName>
    <definedName name="_123Graph_F" hidden="1">#REF!</definedName>
    <definedName name="_2__Graph___Leakage_AR4__AR3__AR2__AR1_and_Ofwat_leakage_targets">#REF!</definedName>
    <definedName name="_2__Graph___meter_penetration___AR4__AR3__AR2__and_AR1">#REF!</definedName>
    <definedName name="_2_0__123Grap" hidden="1">#REF!</definedName>
    <definedName name="_2_123Grap" hidden="1">#REF!</definedName>
    <definedName name="_3__Table_of_Leakage__Ml_d__percent_change_since_AR3__AR2__AR1">#REF!</definedName>
    <definedName name="_3__Table_of_meter_penetration_percent_change_since_AR3__AR2_and_AR1">#REF!</definedName>
    <definedName name="_3_0_S" hidden="1">#REF!</definedName>
    <definedName name="_3_123Grap" hidden="1">#REF!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hidden="1">#REF!</definedName>
    <definedName name="_Fill" hidden="1">#REF!</definedName>
    <definedName name="_xlnm._FilterDatabase" localSheetId="5" hidden="1">Base_Enh_PR24Query!$A$1:$T$324</definedName>
    <definedName name="_xlnm._FilterDatabase" localSheetId="8" hidden="1">'PR09 vs PR24'!$A$35:$I$69</definedName>
    <definedName name="_xlnm._FilterDatabase" localSheetId="4" hidden="1">'PR24 forecast'!$A$3:$O$139</definedName>
    <definedName name="_Key1" hidden="1">#REF!</definedName>
    <definedName name="_Key2" hidden="1">#REF!</definedName>
    <definedName name="_net1" hidden="1">{"NET",#N/A,FALSE,"401C11"}</definedName>
    <definedName name="_Order1" hidden="1">255</definedName>
    <definedName name="_Order2" hidden="1">255</definedName>
    <definedName name="_Sort" hidden="1">#REF!</definedName>
    <definedName name="_xlcn.WorksheetConnection_FM_WW1v4.1.xlsxInputs" hidden="1">Inputs</definedName>
    <definedName name="_xlcn.WorksheetConnection_FM_WW1v4.1.xlsxItemDescriptions" hidden="1">ItemDescriptions</definedName>
    <definedName name="a" hidden="1">{"CHARGE",#N/A,FALSE,"401C11"}</definedName>
    <definedName name="aa" hidden="1">{"CHARGE",#N/A,FALSE,"401C11"}</definedName>
    <definedName name="aaa" hidden="1">{"CHARGE",#N/A,FALSE,"401C11"}</definedName>
    <definedName name="aaaa" hidden="1">{"CHARGE",#N/A,FALSE,"401C11"}</definedName>
    <definedName name="abc" hidden="1">{"NET",#N/A,FALSE,"401C11"}</definedName>
    <definedName name="Actuals_Old">#REF!</definedName>
    <definedName name="adbr" hidden="1">{"CHARGE",#N/A,FALSE,"401C11"}</definedName>
    <definedName name="AddRWD">#REF!</definedName>
    <definedName name="AddRWD2">#REF!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FWBPtrans">#REF!</definedName>
    <definedName name="AFWtransition">#REF!</definedName>
    <definedName name="ANHBPtrans">#REF!</definedName>
    <definedName name="ANHtransition">#REF!</definedName>
    <definedName name="App1bdata">#REF!</definedName>
    <definedName name="App1bIDnrs">#REF!</definedName>
    <definedName name="App1data">#REF!</definedName>
    <definedName name="App1IDnrs">#REF!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VON">#REF!</definedName>
    <definedName name="b" hidden="1">{"CHARGE",#N/A,FALSE,"401C11"}</definedName>
    <definedName name="B_NFIN_All">#REF!</definedName>
    <definedName name="BEDS">#REF!</definedName>
    <definedName name="BERKS">#REF!</definedName>
    <definedName name="BMGHIndex" hidden="1">"O"</definedName>
    <definedName name="BRLBPtrans">#REF!</definedName>
    <definedName name="BRLtransition">#REF!</definedName>
    <definedName name="BUCKS">#REF!</definedName>
    <definedName name="BW_FIN_All">#REF!</definedName>
    <definedName name="BWW_FIN_All">#REF!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MBS">#REF!</definedName>
    <definedName name="change1" hidden="1">{"CHARGE",#N/A,FALSE,"401C11"}</definedName>
    <definedName name="charge" hidden="1">{"CHARGE",#N/A,FALSE,"401C11"}</definedName>
    <definedName name="CHESHIRE">#REF!</definedName>
    <definedName name="ChK_Tol">#REF!</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#REF!</definedName>
    <definedName name="CLWYD">#REF!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OPI">#REF!</definedName>
    <definedName name="CORNWALL">#REF!</definedName>
    <definedName name="CUMBRIA">#REF!</definedName>
    <definedName name="da" hidden="1">#REF!</definedName>
    <definedName name="_xlnm.Database">#REF!</definedName>
    <definedName name="DERBYSHIRE">#REF!</definedName>
    <definedName name="DEVON">#REF!</definedName>
    <definedName name="DistInput">#REF!</definedName>
    <definedName name="dnonames">#REF!</definedName>
    <definedName name="dog" hidden="1">{"NET",#N/A,FALSE,"401C11"}</definedName>
    <definedName name="DORSET">#REF!</definedName>
    <definedName name="DURHAM">#REF!</definedName>
    <definedName name="DVWBPinputs">#REF!</definedName>
    <definedName name="DVWBPtrans">#REF!</definedName>
    <definedName name="DVWtransition">#REF!</definedName>
    <definedName name="DYFED">#REF!</definedName>
    <definedName name="E_SUSSEX">#REF!</definedName>
    <definedName name="ESSEX">#REF!</definedName>
    <definedName name="EV__LASTREFTIME__" hidden="1">40339.4799074074</definedName>
    <definedName name="Expired" hidden="1">FALSE</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fe">#REF!</definedName>
    <definedName name="fewrew">#REF!</definedName>
    <definedName name="Foutput" hidden="1">#REF!</definedName>
    <definedName name="fsdfffd" hidden="1">#REF!</definedName>
    <definedName name="fsdfsd" hidden="1">#REF!</definedName>
    <definedName name="fsfds" hidden="1">#REF!</definedName>
    <definedName name="fsfsd" hidden="1">#REF!</definedName>
    <definedName name="General">#REF!</definedName>
    <definedName name="General1">#REF!</definedName>
    <definedName name="General2">#REF!</definedName>
    <definedName name="GEOG9703">#REF!</definedName>
    <definedName name="gfff" hidden="1">{"CHARGE",#N/A,FALSE,"401C11"}</definedName>
    <definedName name="GLOS">#REF!</definedName>
    <definedName name="Graph_meterAR1_4">#REF!</definedName>
    <definedName name="gross" hidden="1">{"GROSS",#N/A,FALSE,"401C11"}</definedName>
    <definedName name="gross1" hidden="1">{"GROSS",#N/A,FALSE,"401C11"}</definedName>
    <definedName name="GTR_MAN">#REF!</definedName>
    <definedName name="GWENT">#REF!</definedName>
    <definedName name="GWYNEDD">#REF!</definedName>
    <definedName name="HANTS">#REF!</definedName>
    <definedName name="hasdfjklhklj" hidden="1">{"NET",#N/A,FALSE,"401C11"}</definedName>
    <definedName name="help" hidden="1">{"CHARGE",#N/A,FALSE,"401C11"}</definedName>
    <definedName name="HEREFORD_W">#REF!</definedName>
    <definedName name="HERTS">#REF!</definedName>
    <definedName name="hghghhj" hidden="1">{"CHARGE",#N/A,FALSE,"401C11"}</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ndustrytransition">#REF!</definedName>
    <definedName name="interpretation">#REF!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JFELL" hidden="1">#REF!</definedName>
    <definedName name="KENT">#REF!</definedName>
    <definedName name="LANCS">#REF!</definedName>
    <definedName name="Last_year">#REF!</definedName>
    <definedName name="Leakage_WW">#REF!</definedName>
    <definedName name="LEICS">#REF!</definedName>
    <definedName name="LengthMains">#REF!</definedName>
    <definedName name="LINCS">#REF!</definedName>
    <definedName name="LONDON">#REF!</definedName>
    <definedName name="lst_acronyms">#REF!</definedName>
    <definedName name="lst_all_companies">#REF!</definedName>
    <definedName name="lst_menus">#REF!</definedName>
    <definedName name="lst_reference">#REF!</definedName>
    <definedName name="lst_scenarios">#REF!</definedName>
    <definedName name="M_GLAM">#REF!</definedName>
    <definedName name="MERSEYSIDE">#REF!</definedName>
    <definedName name="N_YORKS">#REF!</definedName>
    <definedName name="NESBPinputs">#REF!</definedName>
    <definedName name="NESBPtrans">#REF!</definedName>
    <definedName name="NEStransition">#REF!</definedName>
    <definedName name="New" hidden="1">#REF!</definedName>
    <definedName name="NORFOLK">#REF!</definedName>
    <definedName name="NORTHANTS">#REF!</definedName>
    <definedName name="NORTHUMBERLAND">#REF!</definedName>
    <definedName name="NOTTS">#REF!</definedName>
    <definedName name="NWTBPinputs">#REF!</definedName>
    <definedName name="NWTBPtrans">#REF!</definedName>
    <definedName name="NWTtransition">#REF!</definedName>
    <definedName name="OISIII" hidden="1">#REF!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XON">#REF!</definedName>
    <definedName name="Pct_Tol">#REF!</definedName>
    <definedName name="POWYS">#REF!</definedName>
    <definedName name="ProfileInps">#REF!</definedName>
    <definedName name="Properties_WW">#REF!</definedName>
    <definedName name="PRTBPinputs">#REF!</definedName>
    <definedName name="PRTBPtrans">#REF!</definedName>
    <definedName name="PRTtransition">#REF!</definedName>
    <definedName name="qfx" hidden="1">{"NET",#N/A,FALSE,"401C11"}</definedName>
    <definedName name="qwefqefa" hidden="1">#REF!</definedName>
    <definedName name="real" hidden="1">#REF!</definedName>
    <definedName name="rge">#REF!</definedName>
    <definedName name="rgwe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PI">#REF!</definedName>
    <definedName name="rytry" hidden="1">{"NET",#N/A,FALSE,"401C11"}</definedName>
    <definedName name="S_GLAM">#REF!</definedName>
    <definedName name="S_YORKS">#REF!</definedName>
    <definedName name="SAPBEXrevision" hidden="1">1</definedName>
    <definedName name="SAPBEXsysID" hidden="1">"BWB"</definedName>
    <definedName name="SAPBEXwbID" hidden="1">"49ZLUKBQR0WG29D9LLI3IBIIT"</definedName>
    <definedName name="SBaseG_Act">#REF!</definedName>
    <definedName name="SBaseG_BP">#REF!</definedName>
    <definedName name="SBaseG_FD">#REF!</definedName>
    <definedName name="SBaseN_Act">#REF!</definedName>
    <definedName name="SBaseN_FD">#REF!</definedName>
    <definedName name="SBWBPinputs">#REF!</definedName>
    <definedName name="SBWBPtrans">#REF!</definedName>
    <definedName name="SBWtransition">#REF!</definedName>
    <definedName name="SEnhG_BP">#REF!</definedName>
    <definedName name="SEnhG_FD">#REF!</definedName>
    <definedName name="SEnhN_Act">#REF!</definedName>
    <definedName name="SEnhN_FD">#REF!</definedName>
    <definedName name="SESBPinputs">#REF!</definedName>
    <definedName name="SESBPtrans">#REF!</definedName>
    <definedName name="SEStransition">#REF!</definedName>
    <definedName name="SEWBPinputs">#REF!</definedName>
    <definedName name="SEWBPtrans">#REF!</definedName>
    <definedName name="SewGC">#REF!</definedName>
    <definedName name="sewIRE">#REF!</definedName>
    <definedName name="SewMNIgc">#REF!</definedName>
    <definedName name="SEWtransition">#REF!</definedName>
    <definedName name="SGross_Act">#REF!</definedName>
    <definedName name="SHROPS">#REF!</definedName>
    <definedName name="SIREN_Act">#REF!</definedName>
    <definedName name="SMNIN_Act">#REF!</definedName>
    <definedName name="SNet_Act">#REF!</definedName>
    <definedName name="SNet_BP">#REF!</definedName>
    <definedName name="SNet_FD">#REF!</definedName>
    <definedName name="SOMERSET">#REF!</definedName>
    <definedName name="sort" hidden="1">#REF!</definedName>
    <definedName name="SRNBPinputs">#REF!</definedName>
    <definedName name="SRNBPtrans">#REF!</definedName>
    <definedName name="SRNtransition">#REF!</definedName>
    <definedName name="SSCBPinputs">#REF!</definedName>
    <definedName name="SSCBPtrans">#REF!</definedName>
    <definedName name="SSCtransition">#REF!</definedName>
    <definedName name="STAFFS">#REF!</definedName>
    <definedName name="STotalgross">#REF!</definedName>
    <definedName name="SUFFOLK">#REF!</definedName>
    <definedName name="Supply_demand_balance_scheme_classification">#REF!</definedName>
    <definedName name="SURREY">#REF!</definedName>
    <definedName name="SVTBPinputs">#REF!</definedName>
    <definedName name="SVTBPtrans">#REF!</definedName>
    <definedName name="SVTtransition">#REF!</definedName>
    <definedName name="SWTBPinputs">#REF!</definedName>
    <definedName name="SWTBPtrans">#REF!</definedName>
    <definedName name="SWTtransition">#REF!</definedName>
    <definedName name="Table3.4" hidden="1">{"CHARGE",#N/A,FALSE,"401C11"}</definedName>
    <definedName name="Test23" hidden="1">{"NET",#N/A,FALSE,"401C11"}</definedName>
    <definedName name="time">#REF!</definedName>
    <definedName name="TMSBPinputs">#REF!</definedName>
    <definedName name="TMSBPtrans">#REF!</definedName>
    <definedName name="TMStransition">#REF!</definedName>
    <definedName name="TotalNETScapex">#REF!</definedName>
    <definedName name="TotalNETwcapex">#REF!</definedName>
    <definedName name="TOTgrosscapsew">#REF!</definedName>
    <definedName name="TOTgrosscapwat">#REF!</definedName>
    <definedName name="TOTnetcapsew2">#REF!</definedName>
    <definedName name="TOTnetcapwat2">#REF!</definedName>
    <definedName name="Transition">#REF!</definedName>
    <definedName name="trdhtr" hidden="1">#REF!</definedName>
    <definedName name="Trk_Tol">#REF!</definedName>
    <definedName name="TYNE_WEAR">#REF!</definedName>
    <definedName name="W_GLAM">#REF!</definedName>
    <definedName name="W_MIDS">#REF!</definedName>
    <definedName name="W_SUSSEX">#REF!</definedName>
    <definedName name="W_YORKS">#REF!</definedName>
    <definedName name="WARWICKS">#REF!</definedName>
    <definedName name="WaSCstransition">#REF!</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dfw">#REF!</definedName>
    <definedName name="wedfw">#REF!</definedName>
    <definedName name="wefw">#REF!</definedName>
    <definedName name="wefwe">#REF!</definedName>
    <definedName name="wefwerf">#REF!</definedName>
    <definedName name="WEnhG_BP">#REF!</definedName>
    <definedName name="WEnhG_FD">#REF!</definedName>
    <definedName name="WEnhN_Act">#REF!</definedName>
    <definedName name="WEnhN_FD">#REF!</definedName>
    <definedName name="wert" hidden="1">{"GROSS",#N/A,FALSE,"401C11"}</definedName>
    <definedName name="WGross_Act">#REF!</definedName>
    <definedName name="WILTS">#REF!</definedName>
    <definedName name="WIREN_Act">#REF!</definedName>
    <definedName name="WMNIN_Act">#REF!</definedName>
    <definedName name="WNet_Act">#REF!</definedName>
    <definedName name="WNet_BP">#REF!</definedName>
    <definedName name="WNet_FD">#REF!</definedName>
    <definedName name="WoCstransition">#REF!</definedName>
    <definedName name="wombat" hidden="1">#REF!</definedName>
    <definedName name="wotsthis" hidden="1">{"P&amp;L phased",#N/A,FALSE,"P and L";"Interest phased",#N/A,FALSE,"Interest";"Cshf phased",#N/A,FALSE,"Cashflow";"BSheet phased",#N/A,FALSE,"B Sheet";"Capex phased",#N/A,FALSE,"Capex"}</definedName>
    <definedName name="wrn.CHARGE." hidden="1">{"CHARGE",#N/A,FALSE,"401C11"}</definedName>
    <definedName name="wrn.GROSS." hidden="1">{"GROSS",#N/A,FALSE,"401C11"}</definedName>
    <definedName name="wrn.NET." hidden="1">{"NET",#N/A,FALSE,"401C11"}</definedName>
    <definedName name="wrn.papersdraft" hidden="1">{"bal",#N/A,FALSE,"working papers";"income",#N/A,FALSE,"working papers"}</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hidden="1">{"P&amp;L phased",#N/A,FALSE,"P and L";"Interest phased",#N/A,FALSE,"Interest";"Cshf phased",#N/A,FALSE,"Cashflow";"BSheet phased",#N/A,FALSE,"B Sheet";"Capex phased",#N/A,FALSE,"Capex"}</definedName>
    <definedName name="wrn.wpapers." hidden="1">{"bal",#N/A,FALSE,"working papers";"income",#N/A,FALSE,"working papers"}</definedName>
    <definedName name="WSHBPinputs">#REF!</definedName>
    <definedName name="WSHBPtrans">#REF!</definedName>
    <definedName name="WSHtransition">#REF!</definedName>
    <definedName name="WSXBPinputs">#REF!</definedName>
    <definedName name="WSXBPtrans">#REF!</definedName>
    <definedName name="WSXtransition">#REF!</definedName>
    <definedName name="Wtotalgrosscapx">#REF!</definedName>
    <definedName name="xxx" hidden="1">{"CHARGE",#N/A,FALSE,"401C11"}</definedName>
    <definedName name="Year">#REF!</definedName>
    <definedName name="yhnry">#REF!</definedName>
    <definedName name="YKYBPinputs">#REF!</definedName>
    <definedName name="YKYBPtrans">#REF!</definedName>
    <definedName name="YKYtransition">#REF!</definedName>
    <definedName name="yyy" hidden="1">{"GROSS",#N/A,FALSE,"401C11"}</definedName>
    <definedName name="zzz" hidden="1">{"NET",#N/A,FALSE,"401C11"}</definedName>
  </definedNames>
  <calcPr calcId="191028"/>
  <pivotCaches>
    <pivotCache cacheId="2107" r:id="rId22"/>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temDescriptions" name="ItemDescriptions" connection="WorksheetConnection_FM_WW1 v4.1.xlsx!ItemDescriptions"/>
          <x15:modelTable id="Inputs" name="Inputs" connection="WorksheetConnection_FM_WW1 v4.1.xlsx!Inputs"/>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09" l="1"/>
  <c r="S14" i="107" l="1"/>
  <c r="S14" i="106"/>
  <c r="S14" i="105"/>
  <c r="S14" i="104"/>
  <c r="E12" i="93"/>
  <c r="H12" i="93" s="1"/>
  <c r="I12" i="93" s="1"/>
  <c r="E14" i="93"/>
  <c r="H14" i="93" s="1"/>
  <c r="I14" i="93" s="1"/>
  <c r="E15" i="93"/>
  <c r="H15" i="93" s="1"/>
  <c r="I15" i="93" s="1"/>
  <c r="E16" i="93"/>
  <c r="H16" i="93" s="1"/>
  <c r="I16" i="93" s="1"/>
  <c r="E19" i="93"/>
  <c r="H19" i="93" s="1"/>
  <c r="I19" i="93" s="1"/>
  <c r="E20" i="93"/>
  <c r="E21" i="93"/>
  <c r="E9" i="93"/>
  <c r="H9" i="93" s="1"/>
  <c r="M38" i="99"/>
  <c r="M39" i="99"/>
  <c r="M40" i="99"/>
  <c r="M41" i="99"/>
  <c r="M42" i="99"/>
  <c r="M43" i="99"/>
  <c r="M44" i="99"/>
  <c r="M45" i="99"/>
  <c r="M46" i="99"/>
  <c r="M47" i="99"/>
  <c r="M48" i="99"/>
  <c r="M49" i="99"/>
  <c r="M50" i="99"/>
  <c r="M51" i="99"/>
  <c r="M52" i="99"/>
  <c r="M53" i="99"/>
  <c r="M54" i="99"/>
  <c r="M55" i="99"/>
  <c r="M56" i="99"/>
  <c r="M57" i="99"/>
  <c r="M58" i="99"/>
  <c r="M59" i="99"/>
  <c r="M60" i="99"/>
  <c r="M61" i="99"/>
  <c r="M62" i="99"/>
  <c r="M63" i="99"/>
  <c r="M64" i="99"/>
  <c r="M65" i="99"/>
  <c r="M66" i="99"/>
  <c r="M67" i="99"/>
  <c r="M68" i="99"/>
  <c r="M69" i="99"/>
  <c r="M37" i="99"/>
  <c r="V22" i="75"/>
  <c r="V6" i="75"/>
  <c r="V7" i="75"/>
  <c r="V8" i="75"/>
  <c r="V9" i="75"/>
  <c r="V10" i="75"/>
  <c r="V11" i="75"/>
  <c r="V12" i="75"/>
  <c r="V13" i="75"/>
  <c r="V14" i="75"/>
  <c r="V15" i="75"/>
  <c r="V16" i="75"/>
  <c r="V17" i="75"/>
  <c r="V18" i="75"/>
  <c r="V19" i="75"/>
  <c r="V20" i="75"/>
  <c r="V21" i="75"/>
  <c r="V5" i="75"/>
  <c r="C25" i="93"/>
  <c r="I9" i="93" l="1"/>
  <c r="H21" i="93"/>
  <c r="I21" i="93" s="1"/>
  <c r="H20" i="93"/>
  <c r="I20" i="93" s="1"/>
  <c r="B33" i="84"/>
  <c r="B32" i="84"/>
  <c r="B31" i="84"/>
  <c r="B68" i="75" l="1"/>
  <c r="C21" i="100" l="1"/>
  <c r="A4" i="59" l="1"/>
  <c r="A1" i="108" l="1"/>
  <c r="C7" i="102" l="1"/>
  <c r="A1" i="102"/>
  <c r="D14" i="104" l="1"/>
  <c r="D14" i="105"/>
  <c r="D14" i="106"/>
  <c r="D14" i="107"/>
  <c r="C37" i="99" l="1"/>
  <c r="C38" i="99"/>
  <c r="C39" i="99"/>
  <c r="C40" i="99"/>
  <c r="C41" i="99"/>
  <c r="C42" i="99"/>
  <c r="C43" i="99"/>
  <c r="C44" i="99"/>
  <c r="C45" i="99"/>
  <c r="C46" i="99"/>
  <c r="C47" i="99"/>
  <c r="C48" i="99"/>
  <c r="C49" i="99"/>
  <c r="C50" i="99"/>
  <c r="C51" i="99"/>
  <c r="C52" i="99"/>
  <c r="C53" i="99"/>
  <c r="C54" i="99"/>
  <c r="C55" i="99"/>
  <c r="C56" i="99"/>
  <c r="C57" i="99"/>
  <c r="C58" i="99"/>
  <c r="C59" i="99"/>
  <c r="C60" i="99"/>
  <c r="C61" i="99"/>
  <c r="C62" i="99"/>
  <c r="C63" i="99"/>
  <c r="C64" i="99"/>
  <c r="C65" i="99"/>
  <c r="C66" i="99"/>
  <c r="C67" i="99"/>
  <c r="C68" i="99"/>
  <c r="C69" i="99"/>
  <c r="C36" i="99"/>
  <c r="K36" i="99"/>
  <c r="K38" i="99"/>
  <c r="K40" i="99"/>
  <c r="K42" i="99"/>
  <c r="K46" i="99"/>
  <c r="K48" i="99"/>
  <c r="K50" i="99"/>
  <c r="K52" i="99"/>
  <c r="K54" i="99"/>
  <c r="K56" i="99"/>
  <c r="K58" i="99"/>
  <c r="K60" i="99"/>
  <c r="K62" i="99"/>
  <c r="K64" i="99"/>
  <c r="K66" i="99"/>
  <c r="K68" i="99"/>
  <c r="K44" i="99"/>
  <c r="H42" i="99" l="1"/>
  <c r="G42" i="99"/>
  <c r="F42" i="99"/>
  <c r="E42" i="99"/>
  <c r="D42" i="99"/>
  <c r="I42" i="99" l="1"/>
  <c r="D38" i="99"/>
  <c r="P7" i="99"/>
  <c r="Q8" i="99"/>
  <c r="Q9" i="99"/>
  <c r="Q10" i="99"/>
  <c r="Q11" i="99"/>
  <c r="Q12" i="99"/>
  <c r="Q13" i="99"/>
  <c r="Q14" i="99"/>
  <c r="Q15" i="99"/>
  <c r="Q16" i="99"/>
  <c r="Q17" i="99"/>
  <c r="Q18" i="99"/>
  <c r="Q19" i="99"/>
  <c r="Q20" i="99"/>
  <c r="Q21" i="99"/>
  <c r="Q22" i="99"/>
  <c r="Q23" i="99"/>
  <c r="Q7" i="99"/>
  <c r="P20" i="99"/>
  <c r="T20" i="99" s="1"/>
  <c r="L24" i="99"/>
  <c r="M24" i="99"/>
  <c r="N24" i="99"/>
  <c r="O24" i="99"/>
  <c r="K24" i="99"/>
  <c r="P8" i="99"/>
  <c r="U8" i="99" s="1"/>
  <c r="E39" i="99" s="1"/>
  <c r="P9" i="99"/>
  <c r="X9" i="99" s="1"/>
  <c r="H41" i="99" s="1"/>
  <c r="P10" i="99"/>
  <c r="T10" i="99" s="1"/>
  <c r="D43" i="99" s="1"/>
  <c r="P11" i="99"/>
  <c r="V11" i="99" s="1"/>
  <c r="F45" i="99" s="1"/>
  <c r="P12" i="99"/>
  <c r="T12" i="99" s="1"/>
  <c r="D47" i="99" s="1"/>
  <c r="P13" i="99"/>
  <c r="T13" i="99" s="1"/>
  <c r="D49" i="99" s="1"/>
  <c r="P14" i="99"/>
  <c r="W14" i="99" s="1"/>
  <c r="G51" i="99" s="1"/>
  <c r="P15" i="99"/>
  <c r="T15" i="99" s="1"/>
  <c r="D53" i="99" s="1"/>
  <c r="P16" i="99"/>
  <c r="U16" i="99" s="1"/>
  <c r="E55" i="99" s="1"/>
  <c r="P17" i="99"/>
  <c r="X17" i="99" s="1"/>
  <c r="H57" i="99" s="1"/>
  <c r="P18" i="99"/>
  <c r="T18" i="99" s="1"/>
  <c r="D59" i="99" s="1"/>
  <c r="P19" i="99"/>
  <c r="V19" i="99" s="1"/>
  <c r="F61" i="99" s="1"/>
  <c r="P21" i="99"/>
  <c r="T21" i="99" s="1"/>
  <c r="D65" i="99" s="1"/>
  <c r="P22" i="99"/>
  <c r="T22" i="99" s="1"/>
  <c r="D67" i="99" s="1"/>
  <c r="P23" i="99"/>
  <c r="W23" i="99" s="1"/>
  <c r="G69" i="99" s="1"/>
  <c r="E36" i="99"/>
  <c r="F36" i="99"/>
  <c r="G36" i="99"/>
  <c r="H36" i="99"/>
  <c r="D36" i="99"/>
  <c r="E60" i="99"/>
  <c r="F60" i="99"/>
  <c r="G60" i="99"/>
  <c r="H60" i="99"/>
  <c r="D60" i="99"/>
  <c r="D58" i="99"/>
  <c r="E56" i="99"/>
  <c r="F56" i="99"/>
  <c r="G56" i="99"/>
  <c r="H56" i="99"/>
  <c r="D56" i="99"/>
  <c r="H68" i="99"/>
  <c r="G68" i="99"/>
  <c r="F68" i="99"/>
  <c r="E68" i="99"/>
  <c r="D68" i="99"/>
  <c r="H66" i="99"/>
  <c r="G66" i="99"/>
  <c r="F66" i="99"/>
  <c r="E66" i="99"/>
  <c r="D66" i="99"/>
  <c r="H64" i="99"/>
  <c r="G64" i="99"/>
  <c r="F64" i="99"/>
  <c r="E64" i="99"/>
  <c r="D64" i="99"/>
  <c r="H62" i="99"/>
  <c r="G62" i="99"/>
  <c r="F62" i="99"/>
  <c r="E62" i="99"/>
  <c r="D62" i="99"/>
  <c r="H58" i="99"/>
  <c r="G58" i="99"/>
  <c r="F58" i="99"/>
  <c r="E58" i="99"/>
  <c r="H54" i="99"/>
  <c r="G54" i="99"/>
  <c r="F54" i="99"/>
  <c r="E54" i="99"/>
  <c r="D54" i="99"/>
  <c r="H52" i="99"/>
  <c r="G52" i="99"/>
  <c r="F52" i="99"/>
  <c r="E52" i="99"/>
  <c r="D52" i="99"/>
  <c r="H50" i="99"/>
  <c r="G50" i="99"/>
  <c r="F50" i="99"/>
  <c r="E50" i="99"/>
  <c r="D50" i="99"/>
  <c r="H48" i="99"/>
  <c r="G48" i="99"/>
  <c r="F48" i="99"/>
  <c r="E48" i="99"/>
  <c r="D48" i="99"/>
  <c r="H46" i="99"/>
  <c r="G46" i="99"/>
  <c r="F46" i="99"/>
  <c r="E46" i="99"/>
  <c r="D46" i="99"/>
  <c r="H44" i="99"/>
  <c r="G44" i="99"/>
  <c r="F44" i="99"/>
  <c r="E44" i="99"/>
  <c r="D44" i="99"/>
  <c r="H40" i="99"/>
  <c r="G40" i="99"/>
  <c r="F40" i="99"/>
  <c r="E40" i="99"/>
  <c r="D40" i="99"/>
  <c r="H38" i="99"/>
  <c r="G38" i="99"/>
  <c r="F38" i="99"/>
  <c r="E38" i="99"/>
  <c r="R14" i="99" l="1"/>
  <c r="R13" i="99"/>
  <c r="R7" i="99"/>
  <c r="I60" i="99"/>
  <c r="R19" i="99"/>
  <c r="R11" i="99"/>
  <c r="W9" i="99"/>
  <c r="G41" i="99" s="1"/>
  <c r="I41" i="99" s="1"/>
  <c r="W21" i="99"/>
  <c r="G65" i="99" s="1"/>
  <c r="R18" i="99"/>
  <c r="R10" i="99"/>
  <c r="W12" i="99"/>
  <c r="G47" i="99" s="1"/>
  <c r="W11" i="99"/>
  <c r="G45" i="99" s="1"/>
  <c r="W19" i="99"/>
  <c r="G61" i="99" s="1"/>
  <c r="W17" i="99"/>
  <c r="G57" i="99" s="1"/>
  <c r="I57" i="99" s="1"/>
  <c r="T11" i="99"/>
  <c r="D45" i="99" s="1"/>
  <c r="X12" i="99"/>
  <c r="H47" i="99" s="1"/>
  <c r="D63" i="99"/>
  <c r="I36" i="99"/>
  <c r="W22" i="99"/>
  <c r="G67" i="99" s="1"/>
  <c r="V17" i="99"/>
  <c r="F57" i="99" s="1"/>
  <c r="K26" i="99"/>
  <c r="R17" i="99"/>
  <c r="R9" i="99"/>
  <c r="U22" i="99"/>
  <c r="E67" i="99" s="1"/>
  <c r="U17" i="99"/>
  <c r="E57" i="99" s="1"/>
  <c r="N26" i="99"/>
  <c r="U23" i="99"/>
  <c r="E69" i="99" s="1"/>
  <c r="X21" i="99"/>
  <c r="H65" i="99" s="1"/>
  <c r="X14" i="99"/>
  <c r="H51" i="99" s="1"/>
  <c r="I51" i="99" s="1"/>
  <c r="U11" i="99"/>
  <c r="E45" i="99" s="1"/>
  <c r="M26" i="99"/>
  <c r="R23" i="99"/>
  <c r="O26" i="99"/>
  <c r="X20" i="99"/>
  <c r="H63" i="99" s="1"/>
  <c r="R22" i="99"/>
  <c r="V14" i="99"/>
  <c r="F51" i="99" s="1"/>
  <c r="W20" i="99"/>
  <c r="G63" i="99" s="1"/>
  <c r="I46" i="99"/>
  <c r="I56" i="99"/>
  <c r="X23" i="99"/>
  <c r="H69" i="99" s="1"/>
  <c r="I69" i="99" s="1"/>
  <c r="U19" i="99"/>
  <c r="E61" i="99" s="1"/>
  <c r="W13" i="99"/>
  <c r="G49" i="99" s="1"/>
  <c r="V9" i="99"/>
  <c r="F41" i="99" s="1"/>
  <c r="V20" i="99"/>
  <c r="F63" i="99" s="1"/>
  <c r="R20" i="99"/>
  <c r="L26" i="99"/>
  <c r="U14" i="99"/>
  <c r="E51" i="99" s="1"/>
  <c r="V23" i="99"/>
  <c r="F69" i="99" s="1"/>
  <c r="T19" i="99"/>
  <c r="D61" i="99" s="1"/>
  <c r="U13" i="99"/>
  <c r="E49" i="99" s="1"/>
  <c r="U9" i="99"/>
  <c r="E41" i="99" s="1"/>
  <c r="U20" i="99"/>
  <c r="E63" i="99" s="1"/>
  <c r="I48" i="99"/>
  <c r="I54" i="99"/>
  <c r="I68" i="99"/>
  <c r="I58" i="99"/>
  <c r="I44" i="99"/>
  <c r="I40" i="99"/>
  <c r="I50" i="99"/>
  <c r="U7" i="99"/>
  <c r="E37" i="99" s="1"/>
  <c r="Q24" i="99"/>
  <c r="R16" i="99"/>
  <c r="R8" i="99"/>
  <c r="T16" i="99"/>
  <c r="T8" i="99"/>
  <c r="D39" i="99" s="1"/>
  <c r="I64" i="99"/>
  <c r="R15" i="99"/>
  <c r="T7" i="99"/>
  <c r="D37" i="99" s="1"/>
  <c r="X15" i="99"/>
  <c r="H53" i="99" s="1"/>
  <c r="P24" i="99"/>
  <c r="X7" i="99"/>
  <c r="H37" i="99" s="1"/>
  <c r="T23" i="99"/>
  <c r="V21" i="99"/>
  <c r="F65" i="99" s="1"/>
  <c r="X18" i="99"/>
  <c r="H59" i="99" s="1"/>
  <c r="W15" i="99"/>
  <c r="G53" i="99" s="1"/>
  <c r="T14" i="99"/>
  <c r="V12" i="99"/>
  <c r="F47" i="99" s="1"/>
  <c r="X10" i="99"/>
  <c r="H43" i="99" s="1"/>
  <c r="I62" i="99"/>
  <c r="W7" i="99"/>
  <c r="G37" i="99" s="1"/>
  <c r="X22" i="99"/>
  <c r="U21" i="99"/>
  <c r="E65" i="99" s="1"/>
  <c r="W18" i="99"/>
  <c r="G59" i="99" s="1"/>
  <c r="T17" i="99"/>
  <c r="V15" i="99"/>
  <c r="F53" i="99" s="1"/>
  <c r="X13" i="99"/>
  <c r="H49" i="99" s="1"/>
  <c r="U12" i="99"/>
  <c r="W10" i="99"/>
  <c r="G43" i="99" s="1"/>
  <c r="T9" i="99"/>
  <c r="R21" i="99"/>
  <c r="R12" i="99"/>
  <c r="V7" i="99"/>
  <c r="F37" i="99" s="1"/>
  <c r="V18" i="99"/>
  <c r="X16" i="99"/>
  <c r="H55" i="99" s="1"/>
  <c r="U15" i="99"/>
  <c r="V10" i="99"/>
  <c r="F43" i="99" s="1"/>
  <c r="X8" i="99"/>
  <c r="H39" i="99" s="1"/>
  <c r="I52" i="99"/>
  <c r="I66" i="99"/>
  <c r="V22" i="99"/>
  <c r="F67" i="99" s="1"/>
  <c r="X19" i="99"/>
  <c r="U18" i="99"/>
  <c r="E59" i="99" s="1"/>
  <c r="W16" i="99"/>
  <c r="G55" i="99" s="1"/>
  <c r="V13" i="99"/>
  <c r="F49" i="99" s="1"/>
  <c r="X11" i="99"/>
  <c r="U10" i="99"/>
  <c r="E43" i="99" s="1"/>
  <c r="W8" i="99"/>
  <c r="G39" i="99" s="1"/>
  <c r="V16" i="99"/>
  <c r="F55" i="99" s="1"/>
  <c r="V8" i="99"/>
  <c r="F39" i="99" s="1"/>
  <c r="I38" i="99"/>
  <c r="C30" i="99"/>
  <c r="B30" i="99"/>
  <c r="B29" i="99"/>
  <c r="F30" i="99"/>
  <c r="E30" i="99"/>
  <c r="D30" i="99"/>
  <c r="G29" i="99"/>
  <c r="F29" i="99"/>
  <c r="E29" i="99"/>
  <c r="D29" i="99"/>
  <c r="C29" i="99"/>
  <c r="J41" i="99" l="1"/>
  <c r="I63" i="99"/>
  <c r="J63" i="99" s="1"/>
  <c r="I47" i="99"/>
  <c r="J47" i="99" s="1"/>
  <c r="I65" i="99"/>
  <c r="J65" i="99" s="1"/>
  <c r="I55" i="99"/>
  <c r="J55" i="99" s="1"/>
  <c r="I43" i="99"/>
  <c r="J43" i="99" s="1"/>
  <c r="Y21" i="99"/>
  <c r="J51" i="99"/>
  <c r="I59" i="99"/>
  <c r="J59" i="99" s="1"/>
  <c r="Y10" i="99"/>
  <c r="I49" i="99"/>
  <c r="J49" i="99" s="1"/>
  <c r="Y19" i="99"/>
  <c r="H61" i="99"/>
  <c r="I61" i="99" s="1"/>
  <c r="J61" i="99" s="1"/>
  <c r="Y18" i="99"/>
  <c r="F59" i="99"/>
  <c r="Y17" i="99"/>
  <c r="D57" i="99"/>
  <c r="Y14" i="99"/>
  <c r="D51" i="99"/>
  <c r="Y13" i="99"/>
  <c r="J69" i="99"/>
  <c r="J57" i="99"/>
  <c r="Y11" i="99"/>
  <c r="H45" i="99"/>
  <c r="I45" i="99" s="1"/>
  <c r="J45" i="99" s="1"/>
  <c r="I39" i="99"/>
  <c r="J39" i="99" s="1"/>
  <c r="Y9" i="99"/>
  <c r="D41" i="99"/>
  <c r="Y22" i="99"/>
  <c r="H67" i="99"/>
  <c r="I67" i="99" s="1"/>
  <c r="J67" i="99" s="1"/>
  <c r="I37" i="99"/>
  <c r="J37" i="99" s="1"/>
  <c r="Y23" i="99"/>
  <c r="D69" i="99"/>
  <c r="Y16" i="99"/>
  <c r="D55" i="99"/>
  <c r="I53" i="99"/>
  <c r="J53" i="99" s="1"/>
  <c r="Y15" i="99"/>
  <c r="E53" i="99"/>
  <c r="Y12" i="99"/>
  <c r="E47" i="99"/>
  <c r="Y20" i="99"/>
  <c r="L25" i="99"/>
  <c r="N25" i="99"/>
  <c r="K25" i="99"/>
  <c r="M25" i="99"/>
  <c r="O25" i="99"/>
  <c r="R24" i="99"/>
  <c r="C1" i="100" s="1"/>
  <c r="Y8" i="99"/>
  <c r="Y7" i="99"/>
  <c r="K41" i="99" l="1"/>
  <c r="E4" i="100"/>
  <c r="K57" i="99"/>
  <c r="K59" i="99"/>
  <c r="K51" i="99"/>
  <c r="K37" i="99"/>
  <c r="K43" i="99"/>
  <c r="K67" i="99"/>
  <c r="K55" i="99"/>
  <c r="K65" i="99"/>
  <c r="K47" i="99"/>
  <c r="K63" i="99"/>
  <c r="K61" i="99"/>
  <c r="K69" i="99"/>
  <c r="K39" i="99"/>
  <c r="K45" i="99"/>
  <c r="K53" i="99"/>
  <c r="K49" i="99"/>
  <c r="D4" i="100" l="1"/>
  <c r="M5" i="75"/>
  <c r="R33" i="75"/>
  <c r="F33" i="75"/>
  <c r="G43" i="75"/>
  <c r="E31" i="75"/>
  <c r="K29" i="75"/>
  <c r="M45" i="75"/>
  <c r="Q41" i="75"/>
  <c r="N43" i="75"/>
  <c r="O36" i="75"/>
  <c r="J35" i="75"/>
  <c r="K21" i="75"/>
  <c r="O41" i="75"/>
  <c r="C41" i="75"/>
  <c r="B36" i="75"/>
  <c r="D34" i="75"/>
  <c r="C10" i="75"/>
  <c r="J33" i="75"/>
  <c r="S29" i="75"/>
  <c r="G29" i="75"/>
  <c r="G5" i="75"/>
  <c r="K41" i="75"/>
  <c r="R21" i="75"/>
  <c r="C29" i="75"/>
  <c r="E45" i="75"/>
  <c r="E17" i="75"/>
  <c r="L19" i="75"/>
  <c r="L39" i="75"/>
  <c r="C18" i="75"/>
  <c r="S35" i="75"/>
  <c r="B33" i="75"/>
  <c r="S39" i="75"/>
  <c r="S33" i="75" l="1"/>
  <c r="I45" i="75"/>
  <c r="L30" i="75"/>
  <c r="H45" i="75"/>
  <c r="R29" i="75"/>
  <c r="S11" i="75"/>
  <c r="C5" i="75"/>
  <c r="S5" i="75"/>
  <c r="I40" i="75"/>
  <c r="D10" i="75"/>
  <c r="O17" i="75"/>
  <c r="O12" i="75"/>
  <c r="G19" i="75"/>
  <c r="C42" i="75"/>
  <c r="O29" i="75"/>
  <c r="M39" i="75"/>
  <c r="F11" i="75"/>
  <c r="R30" i="75"/>
  <c r="J30" i="75"/>
  <c r="H43" i="75"/>
  <c r="L33" i="75"/>
  <c r="G13" i="75"/>
  <c r="N33" i="75"/>
  <c r="M16" i="75"/>
  <c r="L29" i="75"/>
  <c r="D40" i="75"/>
  <c r="I7" i="75"/>
  <c r="G36" i="75"/>
  <c r="D35" i="75"/>
  <c r="K17" i="75"/>
  <c r="J21" i="75"/>
  <c r="T42" i="75"/>
  <c r="M33" i="75"/>
  <c r="Q17" i="75"/>
  <c r="M40" i="75"/>
  <c r="M18" i="75"/>
  <c r="I31" i="75"/>
  <c r="T30" i="75"/>
  <c r="D33" i="75"/>
  <c r="N41" i="75"/>
  <c r="T29" i="75"/>
  <c r="I35" i="75"/>
  <c r="H34" i="75"/>
  <c r="Q35" i="75"/>
  <c r="I43" i="75"/>
  <c r="M17" i="75"/>
  <c r="L34" i="75"/>
  <c r="K19" i="75"/>
  <c r="E29" i="75"/>
  <c r="H33" i="75"/>
  <c r="I18" i="75"/>
  <c r="F10" i="75"/>
  <c r="E19" i="75"/>
  <c r="L13" i="75"/>
  <c r="J40" i="75"/>
  <c r="K11" i="75"/>
  <c r="H14" i="79"/>
  <c r="L17" i="75"/>
  <c r="T21" i="75"/>
  <c r="R6" i="75"/>
  <c r="C36" i="75"/>
  <c r="Q6" i="75"/>
  <c r="O19" i="75"/>
  <c r="N17" i="75"/>
  <c r="I11" i="75"/>
  <c r="H8" i="79"/>
  <c r="H10" i="75"/>
  <c r="H30" i="75"/>
  <c r="O5" i="75"/>
  <c r="D29" i="75"/>
  <c r="J7" i="75"/>
  <c r="J31" i="75"/>
  <c r="M10" i="75"/>
  <c r="D13" i="75"/>
  <c r="G40" i="75"/>
  <c r="O15" i="75"/>
  <c r="M41" i="75"/>
  <c r="E30" i="75"/>
  <c r="J18" i="75"/>
  <c r="J42" i="75"/>
  <c r="H15" i="75"/>
  <c r="O9" i="75"/>
  <c r="C16" i="75"/>
  <c r="S19" i="75"/>
  <c r="S43" i="75"/>
  <c r="O13" i="75"/>
  <c r="M6" i="75"/>
  <c r="F5" i="75"/>
  <c r="R5" i="75"/>
  <c r="I9" i="75"/>
  <c r="B10" i="75"/>
  <c r="K43" i="75"/>
  <c r="H21" i="79"/>
  <c r="S10" i="75"/>
  <c r="S34" i="75"/>
  <c r="G6" i="75"/>
  <c r="D45" i="75"/>
  <c r="N18" i="75"/>
  <c r="O42" i="75"/>
  <c r="C34" i="75"/>
  <c r="D15" i="75"/>
  <c r="D39" i="75"/>
  <c r="L43" i="75"/>
  <c r="O6" i="75"/>
  <c r="T5" i="75"/>
  <c r="E39" i="75"/>
  <c r="J16" i="75"/>
  <c r="D19" i="75"/>
  <c r="D43" i="75"/>
  <c r="K13" i="75"/>
  <c r="H36" i="75"/>
  <c r="F9" i="75"/>
  <c r="L15" i="75"/>
  <c r="F31" i="75"/>
  <c r="I34" i="75"/>
  <c r="J17" i="75"/>
  <c r="M31" i="75"/>
  <c r="S13" i="75"/>
  <c r="O45" i="75"/>
  <c r="M42" i="75"/>
  <c r="O10" i="75"/>
  <c r="T11" i="75"/>
  <c r="H11" i="79"/>
  <c r="L42" i="75"/>
  <c r="T34" i="75"/>
  <c r="P5" i="75"/>
  <c r="H6" i="79"/>
  <c r="H39" i="75"/>
  <c r="T10" i="75"/>
  <c r="O21" i="75"/>
  <c r="H15" i="79"/>
  <c r="P16" i="75"/>
  <c r="H17" i="79"/>
  <c r="S12" i="75"/>
  <c r="R18" i="75"/>
  <c r="I16" i="75"/>
  <c r="N19" i="75"/>
  <c r="S21" i="75"/>
  <c r="N21" i="75"/>
  <c r="H9" i="79"/>
  <c r="G35" i="75"/>
  <c r="E10" i="75"/>
  <c r="C40" i="75"/>
  <c r="C33" i="75"/>
  <c r="H16" i="79"/>
  <c r="T18" i="75"/>
  <c r="H18" i="79"/>
  <c r="G15" i="75"/>
  <c r="L5" i="75"/>
  <c r="J15" i="75"/>
  <c r="R7" i="75"/>
  <c r="B11" i="75"/>
  <c r="J34" i="75"/>
  <c r="Q21" i="75"/>
  <c r="T36" i="75"/>
  <c r="M12" i="75"/>
  <c r="F21" i="75"/>
  <c r="H20" i="79"/>
  <c r="K5" i="75"/>
  <c r="H35" i="75"/>
  <c r="G10" i="75"/>
  <c r="N35" i="75"/>
  <c r="S9" i="75"/>
  <c r="H10" i="79"/>
  <c r="H19" i="79"/>
  <c r="C12" i="75"/>
  <c r="O39" i="75"/>
  <c r="P6" i="75"/>
  <c r="H7" i="79"/>
  <c r="J29" i="75"/>
  <c r="R12" i="75"/>
  <c r="N5" i="75"/>
  <c r="H17" i="75"/>
  <c r="H13" i="79"/>
  <c r="H12" i="79"/>
  <c r="B39" i="75"/>
  <c r="H22" i="79"/>
  <c r="H11" i="75"/>
  <c r="D11" i="75"/>
  <c r="F22" i="79"/>
  <c r="T35" i="75"/>
  <c r="N30" i="75"/>
  <c r="C31" i="75"/>
  <c r="F40" i="75"/>
  <c r="D9" i="75"/>
  <c r="O18" i="75"/>
  <c r="T6" i="75"/>
  <c r="F6" i="75"/>
  <c r="K10" i="75"/>
  <c r="E21" i="75"/>
  <c r="H29" i="75"/>
  <c r="K33" i="75"/>
  <c r="J11" i="75"/>
  <c r="I13" i="75"/>
  <c r="F20" i="79"/>
  <c r="C45" i="75"/>
  <c r="H40" i="75"/>
  <c r="C11" i="75"/>
  <c r="R42" i="75"/>
  <c r="I21" i="75"/>
  <c r="R39" i="75"/>
  <c r="B9" i="75"/>
  <c r="C35" i="75"/>
  <c r="F17" i="79"/>
  <c r="E13" i="75"/>
  <c r="S18" i="75"/>
  <c r="C17" i="75"/>
  <c r="F15" i="75"/>
  <c r="Q36" i="75"/>
  <c r="F9" i="79"/>
  <c r="F21" i="79"/>
  <c r="H9" i="75"/>
  <c r="B31" i="75"/>
  <c r="T43" i="75"/>
  <c r="B15" i="75"/>
  <c r="E5" i="75"/>
  <c r="K12" i="75"/>
  <c r="Q18" i="75"/>
  <c r="L35" i="75"/>
  <c r="K6" i="75"/>
  <c r="O7" i="75"/>
  <c r="T16" i="75"/>
  <c r="K34" i="75"/>
  <c r="E34" i="75"/>
  <c r="L10" i="75"/>
  <c r="F13" i="79"/>
  <c r="F12" i="79"/>
  <c r="M7" i="75"/>
  <c r="E41" i="75"/>
  <c r="K45" i="75"/>
  <c r="F18" i="79"/>
  <c r="F10" i="79"/>
  <c r="F16" i="79"/>
  <c r="R10" i="75"/>
  <c r="K36" i="75"/>
  <c r="S42" i="75"/>
  <c r="F39" i="75"/>
  <c r="N15" i="75"/>
  <c r="O43" i="75"/>
  <c r="F8" i="79"/>
  <c r="O31" i="75"/>
  <c r="B6" i="75"/>
  <c r="O11" i="75"/>
  <c r="S45" i="75"/>
  <c r="M34" i="75"/>
  <c r="B12" i="75"/>
  <c r="G16" i="75"/>
  <c r="F15" i="79"/>
  <c r="F11" i="79"/>
  <c r="F19" i="79"/>
  <c r="F7" i="79"/>
  <c r="F6" i="79"/>
  <c r="AB33" i="75" l="1"/>
  <c r="X5" i="75"/>
  <c r="W17" i="75"/>
  <c r="I22" i="79"/>
  <c r="I9" i="79"/>
  <c r="R45" i="75"/>
  <c r="H12" i="75"/>
  <c r="Q33" i="75"/>
  <c r="Q11" i="75"/>
  <c r="I19" i="75"/>
  <c r="B30" i="75"/>
  <c r="H6" i="75"/>
  <c r="K35" i="75"/>
  <c r="I19" i="79"/>
  <c r="Q42" i="75"/>
  <c r="M15" i="75"/>
  <c r="Q43" i="75"/>
  <c r="H13" i="75"/>
  <c r="H41" i="75"/>
  <c r="Q39" i="75"/>
  <c r="I12" i="79"/>
  <c r="E15" i="75"/>
  <c r="O30" i="75"/>
  <c r="T12" i="75"/>
  <c r="G30" i="75"/>
  <c r="H19" i="75"/>
  <c r="S40" i="75"/>
  <c r="I7" i="79"/>
  <c r="M29" i="75"/>
  <c r="I18" i="79"/>
  <c r="R35" i="75"/>
  <c r="I11" i="79"/>
  <c r="Q19" i="75"/>
  <c r="I13" i="79"/>
  <c r="G39" i="75"/>
  <c r="N11" i="75"/>
  <c r="P17" i="75"/>
  <c r="T45" i="75"/>
  <c r="D42" i="75"/>
  <c r="N29" i="75"/>
  <c r="I17" i="79"/>
  <c r="K42" i="75"/>
  <c r="I42" i="75"/>
  <c r="O35" i="75"/>
  <c r="T41" i="75"/>
  <c r="D18" i="75"/>
  <c r="P9" i="75"/>
  <c r="I10" i="79"/>
  <c r="M36" i="75"/>
  <c r="L11" i="75"/>
  <c r="R19" i="75"/>
  <c r="I8" i="79"/>
  <c r="M9" i="75"/>
  <c r="G34" i="75"/>
  <c r="T17" i="75"/>
  <c r="J39" i="75"/>
  <c r="P15" i="75"/>
  <c r="I16" i="79"/>
  <c r="I14" i="79"/>
  <c r="H21" i="75"/>
  <c r="E7" i="75"/>
  <c r="O34" i="75"/>
  <c r="I20" i="79"/>
  <c r="I21" i="79"/>
  <c r="I41" i="75"/>
  <c r="L18" i="75"/>
  <c r="I15" i="79"/>
  <c r="I6" i="79"/>
  <c r="I17" i="75"/>
  <c r="R31" i="75"/>
  <c r="R34" i="75"/>
  <c r="F29" i="75"/>
  <c r="E36" i="75"/>
  <c r="N36" i="75"/>
  <c r="J36" i="75"/>
  <c r="G17" i="75"/>
  <c r="P11" i="75"/>
  <c r="G33" i="75"/>
  <c r="Q31" i="75"/>
  <c r="K40" i="75"/>
  <c r="N42" i="75"/>
  <c r="N34" i="75"/>
  <c r="AB34" i="75" s="1"/>
  <c r="F34" i="75"/>
  <c r="S36" i="75"/>
  <c r="R36" i="75"/>
  <c r="F13" i="75"/>
  <c r="D12" i="75"/>
  <c r="R17" i="75"/>
  <c r="I33" i="75"/>
  <c r="F17" i="75"/>
  <c r="R43" i="75"/>
  <c r="N7" i="75"/>
  <c r="C15" i="75"/>
  <c r="C9" i="75"/>
  <c r="K7" i="75"/>
  <c r="L40" i="75"/>
  <c r="G16" i="79"/>
  <c r="P39" i="75"/>
  <c r="C43" i="75"/>
  <c r="G12" i="79"/>
  <c r="P35" i="75"/>
  <c r="S16" i="75"/>
  <c r="Q12" i="75"/>
  <c r="B17" i="75"/>
  <c r="F43" i="75"/>
  <c r="D31" i="75"/>
  <c r="B42" i="75"/>
  <c r="N45" i="75"/>
  <c r="Q10" i="75"/>
  <c r="D21" i="75"/>
  <c r="H42" i="75"/>
  <c r="I10" i="75"/>
  <c r="Q7" i="75"/>
  <c r="T19" i="75"/>
  <c r="S17" i="75"/>
  <c r="J13" i="75"/>
  <c r="J19" i="75"/>
  <c r="R40" i="75"/>
  <c r="Q15" i="75"/>
  <c r="O16" i="75"/>
  <c r="L36" i="75"/>
  <c r="L41" i="75"/>
  <c r="E40" i="75"/>
  <c r="G18" i="79"/>
  <c r="P41" i="75"/>
  <c r="R11" i="75"/>
  <c r="G41" i="75"/>
  <c r="G17" i="79"/>
  <c r="P40" i="75"/>
  <c r="F7" i="75"/>
  <c r="K31" i="75"/>
  <c r="L16" i="75"/>
  <c r="G6" i="79"/>
  <c r="P29" i="75"/>
  <c r="G7" i="79"/>
  <c r="P30" i="75"/>
  <c r="Q40" i="75"/>
  <c r="P19" i="75"/>
  <c r="G11" i="79"/>
  <c r="P34" i="75"/>
  <c r="S41" i="75"/>
  <c r="G21" i="75"/>
  <c r="H16" i="75"/>
  <c r="B29" i="75"/>
  <c r="M11" i="75"/>
  <c r="N10" i="75"/>
  <c r="S6" i="75"/>
  <c r="Z6" i="75" s="1"/>
  <c r="D17" i="75"/>
  <c r="H18" i="75"/>
  <c r="G20" i="79"/>
  <c r="P43" i="75"/>
  <c r="G22" i="79"/>
  <c r="P45" i="75"/>
  <c r="F16" i="75"/>
  <c r="I29" i="75"/>
  <c r="B16" i="75"/>
  <c r="M30" i="75"/>
  <c r="G19" i="79"/>
  <c r="P42" i="75"/>
  <c r="B13" i="75"/>
  <c r="D7" i="75"/>
  <c r="K18" i="75"/>
  <c r="C13" i="75"/>
  <c r="R15" i="75"/>
  <c r="D6" i="75"/>
  <c r="F12" i="75"/>
  <c r="H5" i="75"/>
  <c r="S15" i="75"/>
  <c r="Q16" i="75"/>
  <c r="F19" i="75"/>
  <c r="T39" i="75"/>
  <c r="I12" i="75"/>
  <c r="R9" i="75"/>
  <c r="D30" i="75"/>
  <c r="Q5" i="75"/>
  <c r="Z5" i="75" s="1"/>
  <c r="R16" i="75"/>
  <c r="E12" i="75"/>
  <c r="Q34" i="75"/>
  <c r="N9" i="75"/>
  <c r="Q9" i="75"/>
  <c r="G8" i="79"/>
  <c r="P31" i="75"/>
  <c r="I15" i="75"/>
  <c r="Q45" i="75"/>
  <c r="H31" i="75"/>
  <c r="F41" i="75"/>
  <c r="B5" i="75"/>
  <c r="I30" i="75"/>
  <c r="P12" i="75"/>
  <c r="J43" i="75"/>
  <c r="C30" i="75"/>
  <c r="F36" i="75"/>
  <c r="D5" i="75"/>
  <c r="G31" i="75"/>
  <c r="I5" i="75"/>
  <c r="T15" i="75"/>
  <c r="M13" i="75"/>
  <c r="B41" i="75"/>
  <c r="L9" i="75"/>
  <c r="R13" i="75"/>
  <c r="T9" i="75"/>
  <c r="S30" i="75"/>
  <c r="G10" i="79"/>
  <c r="P33" i="75"/>
  <c r="G13" i="79"/>
  <c r="P36" i="75"/>
  <c r="F18" i="75"/>
  <c r="R41" i="75"/>
  <c r="B38" i="75"/>
  <c r="E9" i="75"/>
  <c r="T13" i="75"/>
  <c r="J9" i="75"/>
  <c r="L6" i="75"/>
  <c r="J5" i="75"/>
  <c r="L21" i="75"/>
  <c r="B34" i="75"/>
  <c r="X17" i="75"/>
  <c r="N16" i="75"/>
  <c r="N6" i="75"/>
  <c r="B18" i="75"/>
  <c r="O40" i="75"/>
  <c r="Q30" i="75"/>
  <c r="G45" i="75"/>
  <c r="S31" i="75"/>
  <c r="L7" i="75"/>
  <c r="F45" i="75"/>
  <c r="E11" i="75"/>
  <c r="C39" i="75"/>
  <c r="E16" i="75"/>
  <c r="T40" i="75"/>
  <c r="T31" i="75"/>
  <c r="M21" i="75"/>
  <c r="B40" i="75"/>
  <c r="I36" i="75"/>
  <c r="K30" i="75"/>
  <c r="H7" i="75"/>
  <c r="G9" i="75"/>
  <c r="T7" i="75"/>
  <c r="D36" i="75"/>
  <c r="F30" i="75"/>
  <c r="D16" i="75"/>
  <c r="P10" i="75"/>
  <c r="G11" i="75"/>
  <c r="M19" i="75"/>
  <c r="B21" i="75"/>
  <c r="Q13" i="75"/>
  <c r="J6" i="75"/>
  <c r="N39" i="75"/>
  <c r="K16" i="75"/>
  <c r="G12" i="75"/>
  <c r="J45" i="75"/>
  <c r="L45" i="75"/>
  <c r="S7" i="75"/>
  <c r="D41" i="75"/>
  <c r="J41" i="75"/>
  <c r="B14" i="75"/>
  <c r="K39" i="75"/>
  <c r="C19" i="75"/>
  <c r="B45" i="75"/>
  <c r="E33" i="75"/>
  <c r="B43" i="75"/>
  <c r="E43" i="75"/>
  <c r="F35" i="75"/>
  <c r="N31" i="75"/>
  <c r="M35" i="75"/>
  <c r="J10" i="75"/>
  <c r="K9" i="75"/>
  <c r="M43" i="75"/>
  <c r="N13" i="75"/>
  <c r="P13" i="75"/>
  <c r="G42" i="75"/>
  <c r="C21" i="75"/>
  <c r="C6" i="75"/>
  <c r="B35" i="75"/>
  <c r="F42" i="75"/>
  <c r="N12" i="75"/>
  <c r="I6" i="75"/>
  <c r="L31" i="75"/>
  <c r="T33" i="75"/>
  <c r="P18" i="75"/>
  <c r="Z18" i="75" s="1"/>
  <c r="C7" i="75"/>
  <c r="L12" i="75"/>
  <c r="P21" i="75"/>
  <c r="Z21" i="75" s="1"/>
  <c r="N40" i="75"/>
  <c r="B19" i="75"/>
  <c r="B7" i="75"/>
  <c r="E35" i="75"/>
  <c r="O33" i="75"/>
  <c r="Q29" i="75"/>
  <c r="P7" i="75"/>
  <c r="J12" i="75"/>
  <c r="G7" i="75"/>
  <c r="K15" i="75"/>
  <c r="I39" i="75"/>
  <c r="E42" i="75"/>
  <c r="G18" i="75"/>
  <c r="E6" i="75"/>
  <c r="E18" i="75"/>
  <c r="K9" i="79" l="1"/>
  <c r="K17" i="79"/>
  <c r="K16" i="79"/>
  <c r="K13" i="79"/>
  <c r="C24" i="93"/>
  <c r="C9" i="93"/>
  <c r="W18" i="75"/>
  <c r="E19" i="79" s="1"/>
  <c r="U10" i="75"/>
  <c r="C10" i="93"/>
  <c r="AB29" i="75"/>
  <c r="AB40" i="75"/>
  <c r="W7" i="75"/>
  <c r="AA15" i="75"/>
  <c r="AB30" i="75"/>
  <c r="AA34" i="75"/>
  <c r="W10" i="75"/>
  <c r="AA19" i="75"/>
  <c r="AA11" i="75"/>
  <c r="AA39" i="75"/>
  <c r="W16" i="75"/>
  <c r="AA6" i="75"/>
  <c r="W15" i="75"/>
  <c r="AA36" i="75"/>
  <c r="AB31" i="75"/>
  <c r="AB43" i="75"/>
  <c r="AA21" i="75"/>
  <c r="AA31" i="75"/>
  <c r="AA33" i="75"/>
  <c r="W13" i="75"/>
  <c r="AA13" i="75"/>
  <c r="W21" i="75"/>
  <c r="AA5" i="75"/>
  <c r="W5" i="75"/>
  <c r="AA9" i="75"/>
  <c r="AB42" i="75"/>
  <c r="AB35" i="75"/>
  <c r="AA10" i="75"/>
  <c r="AB45" i="75"/>
  <c r="AA42" i="75"/>
  <c r="AA30" i="75"/>
  <c r="AA12" i="75"/>
  <c r="E18" i="79"/>
  <c r="W9" i="75"/>
  <c r="AA45" i="75"/>
  <c r="W6" i="75"/>
  <c r="Y5" i="75"/>
  <c r="AA41" i="75"/>
  <c r="AA17" i="75"/>
  <c r="AA35" i="75"/>
  <c r="AA16" i="75"/>
  <c r="AA7" i="75"/>
  <c r="AA43" i="75"/>
  <c r="W19" i="75"/>
  <c r="AB39" i="75"/>
  <c r="AA40" i="75"/>
  <c r="W11" i="75"/>
  <c r="AA29" i="75"/>
  <c r="W12" i="75"/>
  <c r="AB41" i="75"/>
  <c r="AA18" i="75"/>
  <c r="AB36" i="75"/>
  <c r="Z10" i="75"/>
  <c r="U19" i="75"/>
  <c r="Z17" i="75"/>
  <c r="U7" i="75"/>
  <c r="U6" i="75"/>
  <c r="U21" i="75"/>
  <c r="U11" i="75"/>
  <c r="U18" i="75"/>
  <c r="U5" i="75"/>
  <c r="Y12" i="75"/>
  <c r="Z16" i="75"/>
  <c r="U13" i="75"/>
  <c r="U16" i="75"/>
  <c r="U17" i="75"/>
  <c r="U9" i="75"/>
  <c r="U15" i="75"/>
  <c r="U12" i="75"/>
  <c r="I23" i="79"/>
  <c r="Y11" i="75"/>
  <c r="Y6" i="75"/>
  <c r="Y10" i="75"/>
  <c r="X19" i="75"/>
  <c r="Y18" i="75"/>
  <c r="X15" i="75"/>
  <c r="X10" i="75"/>
  <c r="Z13" i="75"/>
  <c r="X18" i="75"/>
  <c r="Y17" i="75"/>
  <c r="X13" i="75"/>
  <c r="Y13" i="75"/>
  <c r="Z7" i="75"/>
  <c r="Y21" i="75"/>
  <c r="X6" i="75"/>
  <c r="Z12" i="75"/>
  <c r="Z15" i="75"/>
  <c r="X7" i="75"/>
  <c r="Z11" i="75"/>
  <c r="X9" i="75"/>
  <c r="X16" i="75"/>
  <c r="X12" i="75"/>
  <c r="Z9" i="75"/>
  <c r="X11" i="75"/>
  <c r="Z19" i="75"/>
  <c r="Y16" i="75"/>
  <c r="Y15" i="75"/>
  <c r="Y7" i="75"/>
  <c r="Y9" i="75"/>
  <c r="X21" i="75"/>
  <c r="Y19" i="75"/>
  <c r="D16" i="93" l="1"/>
  <c r="F16" i="93" s="1"/>
  <c r="D19" i="93"/>
  <c r="F19" i="93" s="1"/>
  <c r="D20" i="93"/>
  <c r="F20" i="93" s="1"/>
  <c r="D12" i="93"/>
  <c r="F12" i="93" s="1"/>
  <c r="D14" i="79"/>
  <c r="C19" i="79"/>
  <c r="E10" i="79"/>
  <c r="C20" i="79"/>
  <c r="C15" i="93"/>
  <c r="D12" i="79"/>
  <c r="C22" i="79"/>
  <c r="C8" i="79"/>
  <c r="C11" i="79"/>
  <c r="E11" i="79"/>
  <c r="D13" i="79"/>
  <c r="D16" i="79"/>
  <c r="D22" i="79"/>
  <c r="E20" i="79"/>
  <c r="E7" i="79"/>
  <c r="E6" i="79"/>
  <c r="C13" i="79"/>
  <c r="E12" i="79"/>
  <c r="D7" i="79"/>
  <c r="E13" i="79"/>
  <c r="C12" i="79"/>
  <c r="E16" i="79"/>
  <c r="E22" i="79"/>
  <c r="D10" i="79"/>
  <c r="C11" i="93"/>
  <c r="D18" i="79"/>
  <c r="D8" i="79"/>
  <c r="C7" i="79"/>
  <c r="C16" i="79"/>
  <c r="C17" i="79"/>
  <c r="D11" i="79"/>
  <c r="D20" i="79"/>
  <c r="E8" i="79"/>
  <c r="C10" i="79"/>
  <c r="D19" i="79"/>
  <c r="C22" i="93"/>
  <c r="C13" i="93"/>
  <c r="C17" i="93"/>
  <c r="D17" i="79"/>
  <c r="C21" i="93"/>
  <c r="C14" i="79"/>
  <c r="C18" i="79"/>
  <c r="E14" i="79"/>
  <c r="E17" i="79"/>
  <c r="C20" i="93"/>
  <c r="C19" i="93"/>
  <c r="C14" i="93"/>
  <c r="C16" i="93"/>
  <c r="C6" i="79"/>
  <c r="D6" i="79"/>
  <c r="A6" i="59" l="1"/>
  <c r="A7" i="59"/>
  <c r="A8" i="59"/>
  <c r="A9" i="59"/>
  <c r="A10" i="59"/>
  <c r="A11" i="59"/>
  <c r="A12" i="59"/>
  <c r="A13" i="59"/>
  <c r="A14"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A64" i="59"/>
  <c r="A65" i="59"/>
  <c r="A66" i="59"/>
  <c r="A67" i="59"/>
  <c r="A68" i="59"/>
  <c r="A69" i="59"/>
  <c r="A70" i="59"/>
  <c r="A71" i="59"/>
  <c r="A72" i="59"/>
  <c r="A73" i="59"/>
  <c r="A74" i="59"/>
  <c r="A75" i="59"/>
  <c r="A76" i="59"/>
  <c r="A77" i="59"/>
  <c r="A78" i="59"/>
  <c r="A79" i="59"/>
  <c r="A80" i="59"/>
  <c r="A81" i="59"/>
  <c r="A82" i="59"/>
  <c r="A83" i="59"/>
  <c r="A84" i="59"/>
  <c r="A85" i="59"/>
  <c r="A86" i="59"/>
  <c r="A87" i="59"/>
  <c r="A88" i="59"/>
  <c r="A89" i="59"/>
  <c r="A90" i="59"/>
  <c r="A91" i="59"/>
  <c r="A92" i="59"/>
  <c r="A93" i="59"/>
  <c r="A94" i="59"/>
  <c r="A95" i="59"/>
  <c r="A96" i="59"/>
  <c r="A97" i="59"/>
  <c r="A98" i="59"/>
  <c r="A99" i="59"/>
  <c r="A100" i="59"/>
  <c r="A101" i="59"/>
  <c r="A102" i="59"/>
  <c r="A103" i="59"/>
  <c r="A104" i="59"/>
  <c r="A105" i="59"/>
  <c r="A106" i="59"/>
  <c r="A107" i="59"/>
  <c r="A108" i="59"/>
  <c r="A109" i="59"/>
  <c r="A110" i="59"/>
  <c r="A111" i="59"/>
  <c r="A112" i="59"/>
  <c r="A113" i="59"/>
  <c r="A114" i="59"/>
  <c r="A115" i="59"/>
  <c r="A116" i="59"/>
  <c r="A117" i="59"/>
  <c r="A118" i="59"/>
  <c r="A119" i="59"/>
  <c r="A120" i="59"/>
  <c r="A121" i="59"/>
  <c r="A122" i="59"/>
  <c r="A123" i="59"/>
  <c r="A124" i="59"/>
  <c r="A125" i="59"/>
  <c r="A126" i="59"/>
  <c r="A127" i="59"/>
  <c r="A128" i="59"/>
  <c r="A129" i="59"/>
  <c r="A130" i="59"/>
  <c r="A131" i="59"/>
  <c r="A132" i="59"/>
  <c r="A133" i="59"/>
  <c r="A134" i="59"/>
  <c r="A135" i="59"/>
  <c r="A136" i="59"/>
  <c r="A137" i="59"/>
  <c r="A138" i="59"/>
  <c r="A139" i="59"/>
  <c r="A5" i="59"/>
  <c r="G19" i="93" l="1"/>
  <c r="G20" i="93"/>
  <c r="V37" i="75"/>
  <c r="W45" i="75"/>
  <c r="Y37" i="75"/>
  <c r="Z45" i="75"/>
  <c r="V34" i="75"/>
  <c r="Y36" i="75"/>
  <c r="X34" i="75"/>
  <c r="Z44" i="75"/>
  <c r="U29" i="75"/>
  <c r="Y30" i="75"/>
  <c r="U40" i="75"/>
  <c r="X38" i="75"/>
  <c r="X43" i="75"/>
  <c r="U35" i="75"/>
  <c r="W37" i="75"/>
  <c r="X36" i="75"/>
  <c r="U43" i="75"/>
  <c r="W39" i="75"/>
  <c r="X40" i="75"/>
  <c r="V33" i="75"/>
  <c r="X44" i="75"/>
  <c r="V39" i="75"/>
  <c r="X31" i="75"/>
  <c r="Y39" i="75"/>
  <c r="U30" i="75"/>
  <c r="Z30" i="75"/>
  <c r="Y40" i="75"/>
  <c r="X42" i="75"/>
  <c r="U37" i="75"/>
  <c r="X37" i="75"/>
  <c r="U36" i="75"/>
  <c r="X30" i="75"/>
  <c r="X39" i="75"/>
  <c r="Z32" i="75"/>
  <c r="Z33" i="75"/>
  <c r="Z35" i="75"/>
  <c r="X45" i="75"/>
  <c r="Z39" i="75"/>
  <c r="U31" i="75"/>
  <c r="Y33" i="75"/>
  <c r="W36" i="75"/>
  <c r="V41" i="75"/>
  <c r="X33" i="75"/>
  <c r="Y41" i="75"/>
  <c r="U32" i="75"/>
  <c r="V36" i="75"/>
  <c r="Y44" i="75"/>
  <c r="Y38" i="75"/>
  <c r="V38" i="75"/>
  <c r="U39" i="75"/>
  <c r="Y45" i="75"/>
  <c r="Z40" i="75"/>
  <c r="Z31" i="75"/>
  <c r="W40" i="75"/>
  <c r="X41" i="75"/>
  <c r="Z42" i="75"/>
  <c r="U42" i="75"/>
  <c r="U44" i="75"/>
  <c r="Y31" i="75"/>
  <c r="Y34" i="75"/>
  <c r="Z41" i="75"/>
  <c r="W38" i="75"/>
  <c r="V43" i="75"/>
  <c r="X35" i="75"/>
  <c r="Y43" i="75"/>
  <c r="U34" i="75"/>
  <c r="V40" i="75"/>
  <c r="Y32" i="75"/>
  <c r="V29" i="75"/>
  <c r="X29" i="75"/>
  <c r="V45" i="75"/>
  <c r="V44" i="75"/>
  <c r="W34" i="75"/>
  <c r="W31" i="75"/>
  <c r="U38" i="75"/>
  <c r="Z34" i="75"/>
  <c r="W42" i="75"/>
  <c r="W33" i="75"/>
  <c r="W44" i="75"/>
  <c r="U41" i="75"/>
  <c r="W35" i="75"/>
  <c r="W32" i="75"/>
  <c r="U45" i="75"/>
  <c r="Z29" i="75"/>
  <c r="Z37" i="75"/>
  <c r="U33" i="75"/>
  <c r="W30" i="75"/>
  <c r="V31" i="75"/>
  <c r="W29" i="75"/>
  <c r="V42" i="75"/>
  <c r="W41" i="75"/>
  <c r="V30" i="75"/>
  <c r="Y42" i="75"/>
  <c r="V35" i="75"/>
  <c r="W43" i="75"/>
  <c r="Y35" i="75"/>
  <c r="V32" i="75"/>
  <c r="X32" i="75"/>
  <c r="Y29" i="75"/>
  <c r="Z36" i="75"/>
  <c r="Z43" i="75"/>
  <c r="Z38" i="75"/>
  <c r="AE32" i="75" l="1"/>
  <c r="AE45" i="75"/>
  <c r="AE37" i="75"/>
  <c r="AE36" i="75"/>
  <c r="AE43" i="75"/>
  <c r="AC29" i="75"/>
  <c r="U46" i="75"/>
  <c r="AD29" i="75"/>
  <c r="AD42" i="75"/>
  <c r="AC42" i="75"/>
  <c r="AE33" i="75"/>
  <c r="AD41" i="75"/>
  <c r="AC41" i="75"/>
  <c r="X46" i="75"/>
  <c r="AE30" i="75"/>
  <c r="AE44" i="75"/>
  <c r="AD33" i="75"/>
  <c r="AC33" i="75"/>
  <c r="AE41" i="75"/>
  <c r="AC35" i="75"/>
  <c r="AD35" i="75"/>
  <c r="Y46" i="75"/>
  <c r="AE42" i="75"/>
  <c r="Z46" i="75"/>
  <c r="V46" i="75"/>
  <c r="AE29" i="75"/>
  <c r="AD30" i="75"/>
  <c r="AC30" i="75"/>
  <c r="AD43" i="75"/>
  <c r="AC43" i="75"/>
  <c r="AE34" i="75"/>
  <c r="AD31" i="75"/>
  <c r="AC31" i="75"/>
  <c r="AE31" i="75"/>
  <c r="AE40" i="75"/>
  <c r="AC39" i="75"/>
  <c r="AD39" i="75"/>
  <c r="W46" i="75"/>
  <c r="AD45" i="75"/>
  <c r="AC45" i="75"/>
  <c r="AC36" i="75"/>
  <c r="AD36" i="75"/>
  <c r="AE35" i="75"/>
  <c r="AC34" i="75"/>
  <c r="AD34" i="75"/>
  <c r="AE38" i="75"/>
  <c r="AE39" i="75"/>
  <c r="AC40" i="75"/>
  <c r="AD40" i="75"/>
  <c r="H23" i="79" l="1"/>
  <c r="F14" i="79" l="1"/>
  <c r="F23" i="79" s="1"/>
  <c r="O20" i="75"/>
  <c r="G20" i="75"/>
  <c r="L44" i="75"/>
  <c r="D44" i="75"/>
  <c r="P20" i="75"/>
  <c r="N20" i="75"/>
  <c r="T44" i="75"/>
  <c r="O44" i="75"/>
  <c r="F20" i="75"/>
  <c r="C20" i="75"/>
  <c r="E20" i="75"/>
  <c r="N44" i="75"/>
  <c r="M44" i="75"/>
  <c r="R44" i="75"/>
  <c r="M20" i="75"/>
  <c r="K44" i="75"/>
  <c r="L20" i="75"/>
  <c r="K20" i="75"/>
  <c r="C44" i="75"/>
  <c r="S44" i="75"/>
  <c r="H44" i="75"/>
  <c r="D20" i="75"/>
  <c r="R20" i="75"/>
  <c r="G44" i="75"/>
  <c r="I20" i="75"/>
  <c r="T20" i="75"/>
  <c r="I44" i="75"/>
  <c r="J20" i="75"/>
  <c r="S20" i="75"/>
  <c r="Q44" i="75"/>
  <c r="E44" i="75"/>
  <c r="F44" i="75"/>
  <c r="Q20" i="75"/>
  <c r="J44" i="75"/>
  <c r="H20" i="75"/>
  <c r="P44" i="75"/>
  <c r="G21" i="79"/>
  <c r="B44" i="75"/>
  <c r="B20" i="75"/>
  <c r="P14" i="75"/>
  <c r="L14" i="75"/>
  <c r="O14" i="75"/>
  <c r="M14" i="75"/>
  <c r="F14" i="75"/>
  <c r="H14" i="75"/>
  <c r="N14" i="75"/>
  <c r="E14" i="75"/>
  <c r="S14" i="75"/>
  <c r="K14" i="75"/>
  <c r="D14" i="75"/>
  <c r="Q14" i="75"/>
  <c r="R14" i="75"/>
  <c r="I14" i="75"/>
  <c r="T14" i="75"/>
  <c r="G14" i="75"/>
  <c r="J14" i="75"/>
  <c r="C14" i="75"/>
  <c r="T8" i="75"/>
  <c r="D8" i="75"/>
  <c r="R8" i="75"/>
  <c r="P8" i="75"/>
  <c r="N8" i="75"/>
  <c r="Q8" i="75"/>
  <c r="J8" i="75"/>
  <c r="O8" i="75"/>
  <c r="M8" i="75"/>
  <c r="F8" i="75"/>
  <c r="H8" i="75"/>
  <c r="L8" i="75"/>
  <c r="G8" i="75"/>
  <c r="I8" i="75"/>
  <c r="C8" i="75"/>
  <c r="K8" i="75"/>
  <c r="E8" i="75"/>
  <c r="S8" i="75"/>
  <c r="B8" i="75"/>
  <c r="F37" i="75"/>
  <c r="H37" i="75"/>
  <c r="M37" i="75"/>
  <c r="K37" i="75"/>
  <c r="S37" i="75"/>
  <c r="B37" i="75"/>
  <c r="O37" i="75"/>
  <c r="P37" i="75"/>
  <c r="G14" i="79"/>
  <c r="G37" i="75"/>
  <c r="C37" i="75"/>
  <c r="T37" i="75"/>
  <c r="D37" i="75"/>
  <c r="E37" i="75"/>
  <c r="Q37" i="75"/>
  <c r="R37" i="75"/>
  <c r="L37" i="75"/>
  <c r="I37" i="75"/>
  <c r="J37" i="75"/>
  <c r="N37" i="75"/>
  <c r="AC44" i="75" l="1"/>
  <c r="AC37" i="75"/>
  <c r="AD44" i="75"/>
  <c r="AD37" i="75"/>
  <c r="AB37" i="75"/>
  <c r="AB44" i="75"/>
  <c r="AA20" i="75"/>
  <c r="AA8" i="75"/>
  <c r="W14" i="75"/>
  <c r="AA14" i="75"/>
  <c r="W8" i="75"/>
  <c r="W20" i="75"/>
  <c r="AA44" i="75"/>
  <c r="AA37" i="75"/>
  <c r="U14" i="75"/>
  <c r="U20" i="75"/>
  <c r="U8" i="75"/>
  <c r="L22" i="75"/>
  <c r="O22" i="75"/>
  <c r="E22" i="75"/>
  <c r="M22" i="75"/>
  <c r="H22" i="75"/>
  <c r="C22" i="75"/>
  <c r="F22" i="75"/>
  <c r="X20" i="75"/>
  <c r="Q22" i="75"/>
  <c r="G22" i="75"/>
  <c r="T22" i="75"/>
  <c r="N22" i="75"/>
  <c r="J22" i="75"/>
  <c r="S22" i="75"/>
  <c r="Z20" i="75"/>
  <c r="R22" i="75"/>
  <c r="X14" i="75"/>
  <c r="Y20" i="75"/>
  <c r="D22" i="75"/>
  <c r="Z14" i="75"/>
  <c r="Y14" i="75"/>
  <c r="Z8" i="75"/>
  <c r="P22" i="75"/>
  <c r="I22" i="75"/>
  <c r="X8" i="75"/>
  <c r="K22" i="75"/>
  <c r="Y8" i="75"/>
  <c r="B22" i="75"/>
  <c r="AA22" i="75" l="1"/>
  <c r="D9" i="79"/>
  <c r="D21" i="79"/>
  <c r="D15" i="79"/>
  <c r="C21" i="79"/>
  <c r="E21" i="79"/>
  <c r="E9" i="79"/>
  <c r="C9" i="79"/>
  <c r="C18" i="93"/>
  <c r="E15" i="79"/>
  <c r="C15" i="79"/>
  <c r="C12" i="93"/>
  <c r="M36" i="99"/>
  <c r="U22" i="75"/>
  <c r="C23" i="93"/>
  <c r="Z23" i="75"/>
  <c r="Y22" i="75"/>
  <c r="W22" i="75"/>
  <c r="X22" i="75"/>
  <c r="Z22" i="75"/>
  <c r="C26" i="93" l="1"/>
  <c r="D23" i="79"/>
  <c r="R47" i="99"/>
  <c r="E23" i="79"/>
  <c r="C23" i="79"/>
  <c r="K38" i="75"/>
  <c r="D38" i="75"/>
  <c r="L38" i="75"/>
  <c r="M38" i="75"/>
  <c r="N38" i="75"/>
  <c r="E38" i="75"/>
  <c r="O38" i="75"/>
  <c r="F38" i="75"/>
  <c r="H38" i="75"/>
  <c r="I38" i="75"/>
  <c r="Q38" i="75"/>
  <c r="G38" i="75"/>
  <c r="J38" i="75"/>
  <c r="C38" i="75"/>
  <c r="G12" i="93" l="1"/>
  <c r="AC38" i="75"/>
  <c r="AD38" i="75"/>
  <c r="AA38" i="75"/>
  <c r="AB38" i="75"/>
  <c r="R49" i="99"/>
  <c r="B16" i="100" s="1"/>
  <c r="R51" i="99"/>
  <c r="R40" i="99"/>
  <c r="R50" i="99"/>
  <c r="R43" i="99"/>
  <c r="R42" i="99"/>
  <c r="R44" i="99"/>
  <c r="R46" i="99"/>
  <c r="R39" i="99"/>
  <c r="R48" i="99"/>
  <c r="R38" i="99"/>
  <c r="R41" i="99"/>
  <c r="R45" i="99"/>
  <c r="R52" i="99"/>
  <c r="R37" i="99"/>
  <c r="R36" i="99"/>
  <c r="T38" i="75"/>
  <c r="S38" i="75"/>
  <c r="R38" i="75"/>
  <c r="G16" i="93" l="1"/>
  <c r="K12" i="79"/>
  <c r="D15" i="93" s="1"/>
  <c r="F15" i="93" s="1"/>
  <c r="K20" i="79"/>
  <c r="B13" i="100"/>
  <c r="C13" i="100" s="1"/>
  <c r="E22" i="93" s="1"/>
  <c r="H22" i="93" s="1"/>
  <c r="I22" i="93" s="1"/>
  <c r="K11" i="79"/>
  <c r="D14" i="93" s="1"/>
  <c r="F14" i="93" s="1"/>
  <c r="K8" i="79"/>
  <c r="B8" i="100"/>
  <c r="K14" i="79"/>
  <c r="D17" i="93" s="1"/>
  <c r="B12" i="100"/>
  <c r="K6" i="79"/>
  <c r="D9" i="93" s="1"/>
  <c r="K7" i="79"/>
  <c r="B15" i="100"/>
  <c r="K10" i="79"/>
  <c r="B9" i="100"/>
  <c r="K22" i="79"/>
  <c r="B14" i="100"/>
  <c r="K21" i="79"/>
  <c r="B11" i="100"/>
  <c r="K15" i="79"/>
  <c r="B10" i="100"/>
  <c r="K19" i="79"/>
  <c r="D21" i="100"/>
  <c r="E21" i="100" s="1"/>
  <c r="C16" i="100" s="1"/>
  <c r="E25" i="93" s="1"/>
  <c r="H25" i="93" s="1"/>
  <c r="I25" i="93" s="1"/>
  <c r="K18" i="79"/>
  <c r="D21" i="93" s="1"/>
  <c r="F21" i="93" s="1"/>
  <c r="G15" i="79"/>
  <c r="P38" i="75"/>
  <c r="L32" i="75"/>
  <c r="L46" i="75" s="1"/>
  <c r="Q32" i="75"/>
  <c r="D32" i="75"/>
  <c r="D46" i="75" s="1"/>
  <c r="P32" i="75"/>
  <c r="G9" i="79"/>
  <c r="E32" i="75"/>
  <c r="E46" i="75" s="1"/>
  <c r="K32" i="75"/>
  <c r="O32" i="75"/>
  <c r="T32" i="75"/>
  <c r="G32" i="75"/>
  <c r="G46" i="75" s="1"/>
  <c r="M32" i="75"/>
  <c r="M46" i="75" s="1"/>
  <c r="S32" i="75"/>
  <c r="F32" i="75"/>
  <c r="F46" i="75" s="1"/>
  <c r="R32" i="75"/>
  <c r="C32" i="75"/>
  <c r="C46" i="75" s="1"/>
  <c r="J32" i="75"/>
  <c r="I32" i="75"/>
  <c r="H32" i="75"/>
  <c r="H46" i="75" s="1"/>
  <c r="N32" i="75"/>
  <c r="N46" i="75" s="1"/>
  <c r="B32" i="75"/>
  <c r="F9" i="93" l="1"/>
  <c r="C10" i="100"/>
  <c r="E18" i="93" s="1"/>
  <c r="H18" i="93" s="1"/>
  <c r="I18" i="93" s="1"/>
  <c r="C8" i="100"/>
  <c r="E11" i="93" s="1"/>
  <c r="H11" i="93" s="1"/>
  <c r="I11" i="93" s="1"/>
  <c r="C12" i="100"/>
  <c r="E17" i="93" s="1"/>
  <c r="H17" i="93" s="1"/>
  <c r="I17" i="93" s="1"/>
  <c r="C11" i="100"/>
  <c r="C9" i="100"/>
  <c r="C15" i="100"/>
  <c r="E10" i="93" s="1"/>
  <c r="H10" i="93" s="1"/>
  <c r="D10" i="93"/>
  <c r="F10" i="93" s="1"/>
  <c r="D25" i="93"/>
  <c r="F25" i="93" s="1"/>
  <c r="D18" i="93"/>
  <c r="D11" i="93"/>
  <c r="F11" i="93" s="1"/>
  <c r="D23" i="93"/>
  <c r="D22" i="93"/>
  <c r="F22" i="93" s="1"/>
  <c r="D13" i="93"/>
  <c r="D24" i="93"/>
  <c r="G15" i="93"/>
  <c r="G14" i="93"/>
  <c r="K23" i="79"/>
  <c r="D16" i="100"/>
  <c r="F21" i="100"/>
  <c r="G21" i="100" s="1"/>
  <c r="D12" i="100"/>
  <c r="D8" i="100"/>
  <c r="AD32" i="75"/>
  <c r="AC32" i="75"/>
  <c r="S46" i="75"/>
  <c r="O46" i="75"/>
  <c r="R46" i="75"/>
  <c r="Q46" i="75"/>
  <c r="T46" i="75"/>
  <c r="AA32" i="75"/>
  <c r="AA46" i="75" s="1"/>
  <c r="J46" i="75"/>
  <c r="AB32" i="75"/>
  <c r="AB46" i="75" s="1"/>
  <c r="G23" i="79"/>
  <c r="P46" i="75"/>
  <c r="AC46" i="75"/>
  <c r="K46" i="75"/>
  <c r="I46" i="75"/>
  <c r="B46" i="75"/>
  <c r="F18" i="93" l="1"/>
  <c r="D10" i="100"/>
  <c r="I10" i="93"/>
  <c r="D9" i="100"/>
  <c r="E13" i="93"/>
  <c r="H13" i="93" s="1"/>
  <c r="I13" i="93" s="1"/>
  <c r="D11" i="100"/>
  <c r="E23" i="93"/>
  <c r="H23" i="93" s="1"/>
  <c r="I23" i="93" s="1"/>
  <c r="F13" i="93"/>
  <c r="F23" i="93"/>
  <c r="F17" i="93"/>
  <c r="D26" i="93"/>
  <c r="G21" i="93"/>
  <c r="G25" i="93"/>
  <c r="G9" i="93"/>
  <c r="AD46" i="75"/>
  <c r="AE46" i="75"/>
  <c r="G22" i="93" l="1"/>
  <c r="G13" i="93"/>
  <c r="G23" i="93"/>
  <c r="G17" i="93"/>
  <c r="G18" i="93"/>
  <c r="G11" i="93"/>
  <c r="G10" i="93"/>
  <c r="C14" i="100" l="1"/>
  <c r="E24" i="93" s="1"/>
  <c r="H24" i="93" l="1"/>
  <c r="F24" i="93"/>
  <c r="F26" i="93" s="1"/>
  <c r="G24" i="93" l="1"/>
  <c r="G26" i="93" s="1"/>
  <c r="I24" i="93"/>
  <c r="H26" i="93"/>
  <c r="D18" i="107"/>
  <c r="I26" i="93" l="1"/>
  <c r="S18" i="10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D517D60-5B5A-430C-836E-6703D3BA7C4A}"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25339412-22CB-4D3B-BD32-E10BA5FC81C6}" name="WorksheetConnection_FM_WW1 v4.1.xlsx!Inputs" type="102" refreshedVersion="8" minRefreshableVersion="5">
    <extLst>
      <ext xmlns:x15="http://schemas.microsoft.com/office/spreadsheetml/2010/11/main" uri="{DE250136-89BD-433C-8126-D09CA5730AF9}">
        <x15:connection id="Inputs" autoDelete="1">
          <x15:rangePr sourceName="_xlcn.WorksheetConnection_FM_WW1v4.1.xlsxInputs"/>
        </x15:connection>
      </ext>
    </extLst>
  </connection>
  <connection id="3" xr16:uid="{8BE13736-A436-4251-B100-E5C7F4BBCD32}" name="WorksheetConnection_FM_WW1 v4.1.xlsx!ItemDescriptions" type="102" refreshedVersion="8" minRefreshableVersion="5">
    <extLst>
      <ext xmlns:x15="http://schemas.microsoft.com/office/spreadsheetml/2010/11/main" uri="{DE250136-89BD-433C-8126-D09CA5730AF9}">
        <x15:connection id="ItemDescriptions">
          <x15:rangePr sourceName="_xlcn.WorksheetConnection_FM_WW1v4.1.xlsxItemDescriptions"/>
        </x15:connection>
      </ext>
    </extLst>
  </connection>
</connections>
</file>

<file path=xl/sharedStrings.xml><?xml version="1.0" encoding="utf-8"?>
<sst xmlns="http://schemas.openxmlformats.org/spreadsheetml/2006/main" count="3616" uniqueCount="683">
  <si>
    <t>PR24 Mains renewal cost adjustment model</t>
  </si>
  <si>
    <t>Model code:</t>
  </si>
  <si>
    <t>PR24CA95</t>
  </si>
  <si>
    <t>Version number:</t>
  </si>
  <si>
    <t>File name:</t>
  </si>
  <si>
    <t>Date:</t>
  </si>
  <si>
    <t>For enquiries please contact:</t>
  </si>
  <si>
    <t>PR24@ofwat.gov.uk</t>
  </si>
  <si>
    <t>Instructions:</t>
  </si>
  <si>
    <t>See below.</t>
  </si>
  <si>
    <t xml:space="preserve">Conceptual model </t>
  </si>
  <si>
    <t>End of sheet</t>
  </si>
  <si>
    <t>Company code</t>
  </si>
  <si>
    <t>Variable</t>
  </si>
  <si>
    <t>Units</t>
  </si>
  <si>
    <t>Gr 1</t>
  </si>
  <si>
    <t>Gr 2</t>
  </si>
  <si>
    <t>Gr 3</t>
  </si>
  <si>
    <t>Gr 4</t>
  </si>
  <si>
    <t>Gr 5</t>
  </si>
  <si>
    <t>Total</t>
  </si>
  <si>
    <t>ANH</t>
  </si>
  <si>
    <t>Analysed cohort potable mains (up to 320mm)</t>
  </si>
  <si>
    <t>km</t>
  </si>
  <si>
    <t>Annual average bursts from cohort analysis (5 year average) potable mains (up to 320mm)</t>
  </si>
  <si>
    <t>nr</t>
  </si>
  <si>
    <t>Annual average bursts on analysed cohorts potable mains (up to 320mm)</t>
  </si>
  <si>
    <t>nr/000KM</t>
  </si>
  <si>
    <t>Annual average bursts on replaced potable mains (5 year average) up to 320mm</t>
  </si>
  <si>
    <t>Annual average bursts (5 year average) on potable mains up to 320mm</t>
  </si>
  <si>
    <t>Potable mains (up to 320mm)</t>
  </si>
  <si>
    <t>Current annual bursts on potable mains (up to 320mm)</t>
  </si>
  <si>
    <t>Annual bursts on mains (5 year average) greater than 320mm and other mains</t>
  </si>
  <si>
    <t>Annual bursts on mains (5 year average) on potable and other mains reported in June returns JR04 to JR08</t>
  </si>
  <si>
    <t>BRL</t>
  </si>
  <si>
    <t>CAM</t>
  </si>
  <si>
    <t>DVW</t>
  </si>
  <si>
    <t>FLK</t>
  </si>
  <si>
    <t>NES</t>
  </si>
  <si>
    <t>PRT</t>
  </si>
  <si>
    <t>SBW</t>
  </si>
  <si>
    <t>SES</t>
  </si>
  <si>
    <t>SEW</t>
  </si>
  <si>
    <t>SRN</t>
  </si>
  <si>
    <t>SST</t>
  </si>
  <si>
    <t>SVT</t>
  </si>
  <si>
    <t>SWT</t>
  </si>
  <si>
    <t>THD</t>
  </si>
  <si>
    <t>TMS</t>
  </si>
  <si>
    <t>TVN</t>
  </si>
  <si>
    <t>NWT</t>
  </si>
  <si>
    <t>WSH</t>
  </si>
  <si>
    <t>WSX</t>
  </si>
  <si>
    <t>YKY</t>
  </si>
  <si>
    <t>BN1100_PR24</t>
  </si>
  <si>
    <t>BN1200_PR24</t>
  </si>
  <si>
    <t>CW20_003_1_PR24</t>
  </si>
  <si>
    <t>CW20_003_2_PR24</t>
  </si>
  <si>
    <t>CW20_003_3_PR24</t>
  </si>
  <si>
    <t>CW20_003_4_PR24</t>
  </si>
  <si>
    <t>CW20_003_5_PR24</t>
  </si>
  <si>
    <t>CW20_003_TOT_PR24</t>
  </si>
  <si>
    <t>Treated water distribution - mains analysis - Total length of potable mains as at 31 March</t>
  </si>
  <si>
    <t>Treated water distribution - mains analysis - Total length of potable mains renewed</t>
  </si>
  <si>
    <t>Analysed burst rate comparison - Analysed cohort potable mains (up to 320mm) - Grade 1</t>
  </si>
  <si>
    <t>Analysed burst rate comparison - Analysed cohort potable mains (up to 320mm) - Grade 2</t>
  </si>
  <si>
    <t>Analysed burst rate comparison - Analysed cohort potable mains (up to 320mm) - Grade 3</t>
  </si>
  <si>
    <t>Analysed burst rate comparison - Analysed cohort potable mains (up to 320mm) - Grade 4</t>
  </si>
  <si>
    <t>Analysed burst rate comparison - Analysed cohort potable mains (up to 320mm) - Grade 5</t>
  </si>
  <si>
    <t>Analysed burst rate comparison - Analysed cohort potable mains (up to 320mm) - Total</t>
  </si>
  <si>
    <t>Company Acronym</t>
  </si>
  <si>
    <t>Year</t>
  </si>
  <si>
    <t>2022-23</t>
  </si>
  <si>
    <t/>
  </si>
  <si>
    <t>2023-24</t>
  </si>
  <si>
    <t>2024-25</t>
  </si>
  <si>
    <t>2025-26</t>
  </si>
  <si>
    <t>2026-27</t>
  </si>
  <si>
    <t>2027-28</t>
  </si>
  <si>
    <t>2028-29</t>
  </si>
  <si>
    <t>2029-30</t>
  </si>
  <si>
    <t>HDD</t>
  </si>
  <si>
    <t>SVE</t>
  </si>
  <si>
    <t>SWB</t>
  </si>
  <si>
    <t>AFW</t>
  </si>
  <si>
    <t>SSC</t>
  </si>
  <si>
    <t>Company</t>
  </si>
  <si>
    <t>Total length of potable mains (km)</t>
  </si>
  <si>
    <t>Total mains renewed (km)</t>
  </si>
  <si>
    <t>Renewals delivered through base (km)</t>
  </si>
  <si>
    <t>Renewals delivered through CACs (km)</t>
  </si>
  <si>
    <t>Renewals delivered through enhancement (km)</t>
  </si>
  <si>
    <t xml:space="preserve">Total renewal rate </t>
  </si>
  <si>
    <t>Base funded renewal rate</t>
  </si>
  <si>
    <t>Enhancement renewal rate</t>
  </si>
  <si>
    <t>ANH12</t>
  </si>
  <si>
    <t>2011-12</t>
  </si>
  <si>
    <t>ANH13</t>
  </si>
  <si>
    <t>2012-13</t>
  </si>
  <si>
    <t>ANH14</t>
  </si>
  <si>
    <t>2013-14</t>
  </si>
  <si>
    <t>ANH15</t>
  </si>
  <si>
    <t>2014-15</t>
  </si>
  <si>
    <t>ANH16</t>
  </si>
  <si>
    <t>2015-16</t>
  </si>
  <si>
    <t>ANH17</t>
  </si>
  <si>
    <t>2016-17</t>
  </si>
  <si>
    <t>ANH18</t>
  </si>
  <si>
    <t>2017-18</t>
  </si>
  <si>
    <t>ANH19</t>
  </si>
  <si>
    <t>2018-19</t>
  </si>
  <si>
    <t>ANH20</t>
  </si>
  <si>
    <t>2019-20</t>
  </si>
  <si>
    <t>ANH21</t>
  </si>
  <si>
    <t>2020-21</t>
  </si>
  <si>
    <t>ANH22</t>
  </si>
  <si>
    <t>2021-22</t>
  </si>
  <si>
    <t>ANH23</t>
  </si>
  <si>
    <t>ANH24</t>
  </si>
  <si>
    <t>ANH25</t>
  </si>
  <si>
    <t>ANH26</t>
  </si>
  <si>
    <t>ANH27</t>
  </si>
  <si>
    <t>ANH28</t>
  </si>
  <si>
    <t>ANH29</t>
  </si>
  <si>
    <t>ANH30</t>
  </si>
  <si>
    <t>AFW12</t>
  </si>
  <si>
    <t>AFW13</t>
  </si>
  <si>
    <t>AFW14</t>
  </si>
  <si>
    <t>AFW15</t>
  </si>
  <si>
    <t>AFW16</t>
  </si>
  <si>
    <t>AFW17</t>
  </si>
  <si>
    <t>AFW18</t>
  </si>
  <si>
    <t>AFW19</t>
  </si>
  <si>
    <t>AFW20</t>
  </si>
  <si>
    <t>AFW21</t>
  </si>
  <si>
    <t>AFW22</t>
  </si>
  <si>
    <t>AFW23</t>
  </si>
  <si>
    <t>AFW24</t>
  </si>
  <si>
    <t>AFW25</t>
  </si>
  <si>
    <t>AFW26</t>
  </si>
  <si>
    <t>AFW27</t>
  </si>
  <si>
    <t>AFW28</t>
  </si>
  <si>
    <t>AFW29</t>
  </si>
  <si>
    <t>AFW30</t>
  </si>
  <si>
    <t>BRL12</t>
  </si>
  <si>
    <t>BRL13</t>
  </si>
  <si>
    <t>BRL14</t>
  </si>
  <si>
    <t>BRL15</t>
  </si>
  <si>
    <t>BRL16</t>
  </si>
  <si>
    <t>BRL17</t>
  </si>
  <si>
    <t>BRL18</t>
  </si>
  <si>
    <t>BRL19</t>
  </si>
  <si>
    <t>BRL20</t>
  </si>
  <si>
    <t>BRL21</t>
  </si>
  <si>
    <t>BRL22</t>
  </si>
  <si>
    <t>BRL23</t>
  </si>
  <si>
    <t>BRL24</t>
  </si>
  <si>
    <t>BRL25</t>
  </si>
  <si>
    <t>BRL26</t>
  </si>
  <si>
    <t>BRL27</t>
  </si>
  <si>
    <t>BRL28</t>
  </si>
  <si>
    <t>BRL29</t>
  </si>
  <si>
    <t>BRL30</t>
  </si>
  <si>
    <t>HDD12</t>
  </si>
  <si>
    <t>HDD13</t>
  </si>
  <si>
    <t>HDD14</t>
  </si>
  <si>
    <t>HDD15</t>
  </si>
  <si>
    <t>HDD16</t>
  </si>
  <si>
    <t>HDD17</t>
  </si>
  <si>
    <t>HDD18</t>
  </si>
  <si>
    <t>HDD19</t>
  </si>
  <si>
    <t>HDD20</t>
  </si>
  <si>
    <t>HDD21</t>
  </si>
  <si>
    <t>HDD22</t>
  </si>
  <si>
    <t>HDD23</t>
  </si>
  <si>
    <t>HDD24</t>
  </si>
  <si>
    <t>HDD25</t>
  </si>
  <si>
    <t>HDD26</t>
  </si>
  <si>
    <t>HDD27</t>
  </si>
  <si>
    <t>HDD28</t>
  </si>
  <si>
    <t>HDD29</t>
  </si>
  <si>
    <t>HDD30</t>
  </si>
  <si>
    <t>NES12</t>
  </si>
  <si>
    <t>NES13</t>
  </si>
  <si>
    <t>NES14</t>
  </si>
  <si>
    <t>NES15</t>
  </si>
  <si>
    <t>NES16</t>
  </si>
  <si>
    <t>NES17</t>
  </si>
  <si>
    <t>NES18</t>
  </si>
  <si>
    <t>NES19</t>
  </si>
  <si>
    <t>NES20</t>
  </si>
  <si>
    <t>NES21</t>
  </si>
  <si>
    <t>NES22</t>
  </si>
  <si>
    <t>NES23</t>
  </si>
  <si>
    <t>NES24</t>
  </si>
  <si>
    <t>NES25</t>
  </si>
  <si>
    <t>NES26</t>
  </si>
  <si>
    <t>NES27</t>
  </si>
  <si>
    <t>NES28</t>
  </si>
  <si>
    <t>NES29</t>
  </si>
  <si>
    <t>NES30</t>
  </si>
  <si>
    <t>NWT12</t>
  </si>
  <si>
    <t>NWT13</t>
  </si>
  <si>
    <t>NWT14</t>
  </si>
  <si>
    <t>NWT15</t>
  </si>
  <si>
    <t>NWT16</t>
  </si>
  <si>
    <t>NWT17</t>
  </si>
  <si>
    <t>NWT18</t>
  </si>
  <si>
    <t>NWT19</t>
  </si>
  <si>
    <t>NWT20</t>
  </si>
  <si>
    <t>NWT21</t>
  </si>
  <si>
    <t>NWT22</t>
  </si>
  <si>
    <t>NWT23</t>
  </si>
  <si>
    <t>NWT24</t>
  </si>
  <si>
    <t>NWT25</t>
  </si>
  <si>
    <t>NWT26</t>
  </si>
  <si>
    <t>NWT27</t>
  </si>
  <si>
    <t>NWT28</t>
  </si>
  <si>
    <t>NWT29</t>
  </si>
  <si>
    <t>NWT30</t>
  </si>
  <si>
    <t>PRT12</t>
  </si>
  <si>
    <t>PRT13</t>
  </si>
  <si>
    <t>PRT14</t>
  </si>
  <si>
    <t>PRT15</t>
  </si>
  <si>
    <t>PRT16</t>
  </si>
  <si>
    <t>PRT17</t>
  </si>
  <si>
    <t>PRT18</t>
  </si>
  <si>
    <t>PRT19</t>
  </si>
  <si>
    <t>PRT20</t>
  </si>
  <si>
    <t>PRT21</t>
  </si>
  <si>
    <t>PRT22</t>
  </si>
  <si>
    <t>PRT23</t>
  </si>
  <si>
    <t>PRT24</t>
  </si>
  <si>
    <t>PRT25</t>
  </si>
  <si>
    <t>PRT26</t>
  </si>
  <si>
    <t>PRT27</t>
  </si>
  <si>
    <t>PRT28</t>
  </si>
  <si>
    <t>PRT29</t>
  </si>
  <si>
    <t>PRT30</t>
  </si>
  <si>
    <t>SES12</t>
  </si>
  <si>
    <t>SES13</t>
  </si>
  <si>
    <t>SES14</t>
  </si>
  <si>
    <t>SES15</t>
  </si>
  <si>
    <t>SES16</t>
  </si>
  <si>
    <t>SES17</t>
  </si>
  <si>
    <t>SES18</t>
  </si>
  <si>
    <t>SES19</t>
  </si>
  <si>
    <t>SES20</t>
  </si>
  <si>
    <t>SES21</t>
  </si>
  <si>
    <t>SES22</t>
  </si>
  <si>
    <t>SES23</t>
  </si>
  <si>
    <t>SES24</t>
  </si>
  <si>
    <t>SES25</t>
  </si>
  <si>
    <t>SES26</t>
  </si>
  <si>
    <t>SES27</t>
  </si>
  <si>
    <t>SES28</t>
  </si>
  <si>
    <t>SES29</t>
  </si>
  <si>
    <t>SES30</t>
  </si>
  <si>
    <t>SEW12</t>
  </si>
  <si>
    <t>SEW13</t>
  </si>
  <si>
    <t>SEW14</t>
  </si>
  <si>
    <t>SEW15</t>
  </si>
  <si>
    <t>SEW16</t>
  </si>
  <si>
    <t>SEW17</t>
  </si>
  <si>
    <t>SEW18</t>
  </si>
  <si>
    <t>SEW19</t>
  </si>
  <si>
    <t>SEW20</t>
  </si>
  <si>
    <t>SEW21</t>
  </si>
  <si>
    <t>SEW22</t>
  </si>
  <si>
    <t>SEW23</t>
  </si>
  <si>
    <t>SEW24</t>
  </si>
  <si>
    <t>SEW25</t>
  </si>
  <si>
    <t>SEW26</t>
  </si>
  <si>
    <t>SEW27</t>
  </si>
  <si>
    <t>SEW28</t>
  </si>
  <si>
    <t>SEW29</t>
  </si>
  <si>
    <t>SEW30</t>
  </si>
  <si>
    <t>SRN12</t>
  </si>
  <si>
    <t>SRN13</t>
  </si>
  <si>
    <t>SRN14</t>
  </si>
  <si>
    <t>SRN15</t>
  </si>
  <si>
    <t>SRN16</t>
  </si>
  <si>
    <t>SRN17</t>
  </si>
  <si>
    <t>SRN18</t>
  </si>
  <si>
    <t>SRN19</t>
  </si>
  <si>
    <t>SRN20</t>
  </si>
  <si>
    <t>SRN21</t>
  </si>
  <si>
    <t>SRN22</t>
  </si>
  <si>
    <t>SRN23</t>
  </si>
  <si>
    <t>SRN24</t>
  </si>
  <si>
    <t>SRN25</t>
  </si>
  <si>
    <t>SRN26</t>
  </si>
  <si>
    <t>SRN27</t>
  </si>
  <si>
    <t>SRN28</t>
  </si>
  <si>
    <t>SRN29</t>
  </si>
  <si>
    <t>SRN30</t>
  </si>
  <si>
    <t>SSC12</t>
  </si>
  <si>
    <t>SSC13</t>
  </si>
  <si>
    <t>SSC14</t>
  </si>
  <si>
    <t>SSC15</t>
  </si>
  <si>
    <t>SSC16</t>
  </si>
  <si>
    <t>SSC17</t>
  </si>
  <si>
    <t>SSC18</t>
  </si>
  <si>
    <t>SSC19</t>
  </si>
  <si>
    <t>SSC20</t>
  </si>
  <si>
    <t>SSC21</t>
  </si>
  <si>
    <t>SSC22</t>
  </si>
  <si>
    <t>SSC23</t>
  </si>
  <si>
    <t>SSC24</t>
  </si>
  <si>
    <t>SSC25</t>
  </si>
  <si>
    <t>SSC26</t>
  </si>
  <si>
    <t>SSC27</t>
  </si>
  <si>
    <t>SSC28</t>
  </si>
  <si>
    <t>SSC29</t>
  </si>
  <si>
    <t>SSC30</t>
  </si>
  <si>
    <t>SVE12</t>
  </si>
  <si>
    <t>SVE13</t>
  </si>
  <si>
    <t>SVE14</t>
  </si>
  <si>
    <t>SVE15</t>
  </si>
  <si>
    <t>SVE16</t>
  </si>
  <si>
    <t>SVE17</t>
  </si>
  <si>
    <t>SVE18</t>
  </si>
  <si>
    <t>SVE19</t>
  </si>
  <si>
    <t>SVE20</t>
  </si>
  <si>
    <t>SVE21</t>
  </si>
  <si>
    <t>SVE22</t>
  </si>
  <si>
    <t>SVE23</t>
  </si>
  <si>
    <t>SVE24</t>
  </si>
  <si>
    <t>SVE25</t>
  </si>
  <si>
    <t>SVE26</t>
  </si>
  <si>
    <t>SVE27</t>
  </si>
  <si>
    <t>SVE28</t>
  </si>
  <si>
    <t>SVE29</t>
  </si>
  <si>
    <t>SVE30</t>
  </si>
  <si>
    <t>SWB12</t>
  </si>
  <si>
    <t>SWB13</t>
  </si>
  <si>
    <t>SWB14</t>
  </si>
  <si>
    <t>SWB15</t>
  </si>
  <si>
    <t>SWB16</t>
  </si>
  <si>
    <t>SWB17</t>
  </si>
  <si>
    <t>SWB18</t>
  </si>
  <si>
    <t>SWB19</t>
  </si>
  <si>
    <t>SWB20</t>
  </si>
  <si>
    <t>SWB21</t>
  </si>
  <si>
    <t>SWB22</t>
  </si>
  <si>
    <t>SWB23</t>
  </si>
  <si>
    <t>SWB24</t>
  </si>
  <si>
    <t>SWB25</t>
  </si>
  <si>
    <t>SWB26</t>
  </si>
  <si>
    <t>SWB27</t>
  </si>
  <si>
    <t>SWB28</t>
  </si>
  <si>
    <t>SWB29</t>
  </si>
  <si>
    <t>SWB30</t>
  </si>
  <si>
    <t>TMS12</t>
  </si>
  <si>
    <t>TMS13</t>
  </si>
  <si>
    <t>TMS14</t>
  </si>
  <si>
    <t>TMS15</t>
  </si>
  <si>
    <t>TMS16</t>
  </si>
  <si>
    <t>TMS17</t>
  </si>
  <si>
    <t>TMS18</t>
  </si>
  <si>
    <t>TMS19</t>
  </si>
  <si>
    <t>TMS20</t>
  </si>
  <si>
    <t>TMS21</t>
  </si>
  <si>
    <t>TMS22</t>
  </si>
  <si>
    <t>TMS23</t>
  </si>
  <si>
    <t>TMS24</t>
  </si>
  <si>
    <t>TMS25</t>
  </si>
  <si>
    <t>TMS26</t>
  </si>
  <si>
    <t>TMS27</t>
  </si>
  <si>
    <t>TMS28</t>
  </si>
  <si>
    <t>TMS29</t>
  </si>
  <si>
    <t>TMS30</t>
  </si>
  <si>
    <t>WSH12</t>
  </si>
  <si>
    <t>WSH13</t>
  </si>
  <si>
    <t>WSH14</t>
  </si>
  <si>
    <t>WSH15</t>
  </si>
  <si>
    <t>WSH16</t>
  </si>
  <si>
    <t>WSH17</t>
  </si>
  <si>
    <t>WSH18</t>
  </si>
  <si>
    <t>WSH19</t>
  </si>
  <si>
    <t>WSH20</t>
  </si>
  <si>
    <t>WSH21</t>
  </si>
  <si>
    <t>WSH22</t>
  </si>
  <si>
    <t>WSH23</t>
  </si>
  <si>
    <t>WSH24</t>
  </si>
  <si>
    <t>WSH25</t>
  </si>
  <si>
    <t>WSH26</t>
  </si>
  <si>
    <t>WSH27</t>
  </si>
  <si>
    <t>WSH28</t>
  </si>
  <si>
    <t>WSH29</t>
  </si>
  <si>
    <t>WSH30</t>
  </si>
  <si>
    <t>WSX12</t>
  </si>
  <si>
    <t>WSX13</t>
  </si>
  <si>
    <t>WSX14</t>
  </si>
  <si>
    <t>WSX15</t>
  </si>
  <si>
    <t>WSX16</t>
  </si>
  <si>
    <t>WSX17</t>
  </si>
  <si>
    <t>WSX18</t>
  </si>
  <si>
    <t>WSX19</t>
  </si>
  <si>
    <t>WSX20</t>
  </si>
  <si>
    <t>WSX21</t>
  </si>
  <si>
    <t>WSX22</t>
  </si>
  <si>
    <t>WSX23</t>
  </si>
  <si>
    <t>WSX24</t>
  </si>
  <si>
    <t>WSX25</t>
  </si>
  <si>
    <t>WSX26</t>
  </si>
  <si>
    <t>WSX27</t>
  </si>
  <si>
    <t>WSX28</t>
  </si>
  <si>
    <t>WSX29</t>
  </si>
  <si>
    <t>WSX30</t>
  </si>
  <si>
    <t>YKY12</t>
  </si>
  <si>
    <t>YKY13</t>
  </si>
  <si>
    <t>YKY14</t>
  </si>
  <si>
    <t>YKY15</t>
  </si>
  <si>
    <t>YKY16</t>
  </si>
  <si>
    <t>YKY17</t>
  </si>
  <si>
    <t>YKY18</t>
  </si>
  <si>
    <t>YKY19</t>
  </si>
  <si>
    <t>YKY20</t>
  </si>
  <si>
    <t>YKY21</t>
  </si>
  <si>
    <t>YKY22</t>
  </si>
  <si>
    <t>YKY23</t>
  </si>
  <si>
    <t>YKY24</t>
  </si>
  <si>
    <t>YKY25</t>
  </si>
  <si>
    <t>YKY26</t>
  </si>
  <si>
    <t>YKY27</t>
  </si>
  <si>
    <t>YKY28</t>
  </si>
  <si>
    <t>YKY29</t>
  </si>
  <si>
    <t>YKY30</t>
  </si>
  <si>
    <t>Renewal rate (renewals delivered through base)</t>
  </si>
  <si>
    <t>Historical</t>
  </si>
  <si>
    <t>PR24 BP Forecast (DD)</t>
  </si>
  <si>
    <t>Averages</t>
  </si>
  <si>
    <t>2012 - 2019</t>
  </si>
  <si>
    <t>2012-2023</t>
  </si>
  <si>
    <t>2020-2024</t>
  </si>
  <si>
    <t>2021-2025</t>
  </si>
  <si>
    <t>2012-2030</t>
  </si>
  <si>
    <t>2026-2030</t>
  </si>
  <si>
    <t>2016-2024</t>
  </si>
  <si>
    <t>X SWB, WSH</t>
  </si>
  <si>
    <t>Renewal rate (total)</t>
  </si>
  <si>
    <t>Forecast</t>
  </si>
  <si>
    <t>DD representations forecast (FD)</t>
  </si>
  <si>
    <t>Averages (incl. FD data)</t>
  </si>
  <si>
    <t>2011-2024</t>
  </si>
  <si>
    <t>2019-2024</t>
  </si>
  <si>
    <t>2020-2025</t>
  </si>
  <si>
    <t>2011- 2030</t>
  </si>
  <si>
    <t>2025-2030</t>
  </si>
  <si>
    <t>Assumed base funded renewal rate (DD reps)</t>
  </si>
  <si>
    <t>Renewal rate (p.a.)</t>
  </si>
  <si>
    <t>Source</t>
  </si>
  <si>
    <t>AFW101</t>
  </si>
  <si>
    <t>ANH_DD_010-Mains-Renewals-CAC</t>
  </si>
  <si>
    <t>SBBDD80_L5_CEAPP Base potable mains appendix</t>
  </si>
  <si>
    <t>BP view</t>
  </si>
  <si>
    <t>NES80</t>
  </si>
  <si>
    <t>PRT EA 00</t>
  </si>
  <si>
    <t>SEWDD2h - Base expenditure</t>
  </si>
  <si>
    <t>SRN-DDR-029-Water resources - Demand (leakage)</t>
  </si>
  <si>
    <t>TMS-DD-037 Cost efficiency</t>
  </si>
  <si>
    <t>WSH-DD-06- Mains renewals</t>
  </si>
  <si>
    <t>WSX-002-PCDs</t>
  </si>
  <si>
    <t>YKY-PR24-DDR-02a-Cost efficiency</t>
  </si>
  <si>
    <t>Average</t>
  </si>
  <si>
    <t>1. PR09 CG Data Summary</t>
  </si>
  <si>
    <t>2b. PR24 proportions</t>
  </si>
  <si>
    <t>2. Consolidated PR24 CW20 data table with CW20 additional cohort analysis table</t>
  </si>
  <si>
    <t>Row Labels</t>
  </si>
  <si>
    <t>Sum of Gr 1</t>
  </si>
  <si>
    <t>Sum of Gr 2</t>
  </si>
  <si>
    <t>Sum of Gr 3</t>
  </si>
  <si>
    <t>Sum of Gr 4</t>
  </si>
  <si>
    <t>Sum of Gr 5</t>
  </si>
  <si>
    <t>Sum of Total</t>
  </si>
  <si>
    <t>Total length in CG 4&amp;5</t>
  </si>
  <si>
    <t>% in CG 4&amp;5</t>
  </si>
  <si>
    <t>% Gr 1</t>
  </si>
  <si>
    <t>% Gr 2</t>
  </si>
  <si>
    <t>% Gr 3</t>
  </si>
  <si>
    <t>% Gr 4</t>
  </si>
  <si>
    <t>% Gr 5</t>
  </si>
  <si>
    <t>% Total</t>
  </si>
  <si>
    <t xml:space="preserve">% Total </t>
  </si>
  <si>
    <t>excl. TMS</t>
  </si>
  <si>
    <t>Grand Total</t>
  </si>
  <si>
    <t>Totals</t>
  </si>
  <si>
    <t>ex TMS</t>
  </si>
  <si>
    <t>3. Comparative summary: PR09 vs. PR24</t>
  </si>
  <si>
    <t>4. PR24 Summary: Base renewal rates</t>
  </si>
  <si>
    <t>PR Period</t>
  </si>
  <si>
    <t>Company + PR</t>
  </si>
  <si>
    <t>Gr1</t>
  </si>
  <si>
    <t>Gr2</t>
  </si>
  <si>
    <t>Gr3</t>
  </si>
  <si>
    <t>Gr4</t>
  </si>
  <si>
    <t>Gr5</t>
  </si>
  <si>
    <t>%4&amp;5s</t>
  </si>
  <si>
    <t>Difference in % CG4&amp;5: PR09 vs. PR24</t>
  </si>
  <si>
    <t>Annualised %</t>
  </si>
  <si>
    <t>Decision on whether to apply annualised rate</t>
  </si>
  <si>
    <t>Ofwat DD renewal from Base%</t>
  </si>
  <si>
    <t>Base rate</t>
  </si>
  <si>
    <t>PR09</t>
  </si>
  <si>
    <t>PR24</t>
  </si>
  <si>
    <t>Reject</t>
  </si>
  <si>
    <t>Apply</t>
  </si>
  <si>
    <t>Mergers</t>
  </si>
  <si>
    <t>PR24 Acronym</t>
  </si>
  <si>
    <t>Historic acronyms</t>
  </si>
  <si>
    <t>FLK, THD, TVN</t>
  </si>
  <si>
    <t>SWT, SBW</t>
  </si>
  <si>
    <t>CAM, SSC</t>
  </si>
  <si>
    <t>Total sector condition grade 4 &amp; 5 mains</t>
  </si>
  <si>
    <t>Years to renew all CG4&amp;5</t>
  </si>
  <si>
    <t>Renewals from base</t>
  </si>
  <si>
    <t>Uplift to 0.3% base rate</t>
  </si>
  <si>
    <t>Additional renewal for LT AH</t>
  </si>
  <si>
    <t>Total renewals</t>
  </si>
  <si>
    <t>Companies</t>
  </si>
  <si>
    <t>Total base adjustment</t>
  </si>
  <si>
    <t>Renewal rate</t>
  </si>
  <si>
    <t>Note</t>
  </si>
  <si>
    <t>Water quality enhancement takes WSH to 0.43%</t>
  </si>
  <si>
    <t>Accepted CAC rate</t>
  </si>
  <si>
    <t>Accepted TMS representations rate (see below)</t>
  </si>
  <si>
    <t>Thames Water</t>
  </si>
  <si>
    <t>Proposed total length of renewals (km)</t>
  </si>
  <si>
    <t xml:space="preserve">Proposed annual renewal rate </t>
  </si>
  <si>
    <t>Base model rate (p.a.)</t>
  </si>
  <si>
    <t>Required base uplift (% p.a.)</t>
  </si>
  <si>
    <t>Base model (kms)</t>
  </si>
  <si>
    <t>Renewals to be delivered through uplift (p.a.)</t>
  </si>
  <si>
    <t>Combined view of unit costs</t>
  </si>
  <si>
    <t>Unit cost (£/m)</t>
  </si>
  <si>
    <t>Source/comments</t>
  </si>
  <si>
    <t>ANH_DD_010</t>
  </si>
  <si>
    <t>HDD1.3 Draft determination proforma</t>
  </si>
  <si>
    <t>NES35 - BP submission</t>
  </si>
  <si>
    <t>NES35 - BP submission - Leakage renewals</t>
  </si>
  <si>
    <t>UUWR44 - support median and exclusion of TMS from range</t>
  </si>
  <si>
    <t>SRN Draft Determination Response</t>
  </si>
  <si>
    <t>SBBDD80</t>
  </si>
  <si>
    <t>SVE1.04 Draft determination proforma</t>
  </si>
  <si>
    <t>WSH-DD-06  - Mains renewals</t>
  </si>
  <si>
    <t>WSH62 - BP Submission - AC mains - &lt; 100</t>
  </si>
  <si>
    <t>WSH62 - BP Submission - AC mains - &gt; 100 - 150</t>
  </si>
  <si>
    <t>WSH62 - BP Submission - AC mains - &gt; 150 - 200</t>
  </si>
  <si>
    <t>WSH62 - BP Submission - AC mains - &gt; 200 - 250</t>
  </si>
  <si>
    <t>WSH62 - BP Submission - AC mains - &gt; 250 - 300</t>
  </si>
  <si>
    <t>WSX - M04 - Support median</t>
  </si>
  <si>
    <t>AFW114 Draft determination proforma</t>
  </si>
  <si>
    <t>PRT Draft determination response</t>
  </si>
  <si>
    <t>SES118</t>
  </si>
  <si>
    <t>SSC-DD-05 - Not considered as not a material issue.</t>
  </si>
  <si>
    <t>TMS-DD-37 pp.50: London</t>
  </si>
  <si>
    <t>TMS-DD-37 pp.51: Thames Valley</t>
  </si>
  <si>
    <t>Median</t>
  </si>
  <si>
    <t>UQ</t>
  </si>
  <si>
    <t>Northumbrian Water</t>
  </si>
  <si>
    <t>Mains replacement</t>
  </si>
  <si>
    <t>A</t>
  </si>
  <si>
    <t>The claim</t>
  </si>
  <si>
    <t>Final determination assessment</t>
  </si>
  <si>
    <t>Draft determination assessment</t>
  </si>
  <si>
    <t>Description of claim</t>
  </si>
  <si>
    <t>Materiality thresholds</t>
  </si>
  <si>
    <t>Summary of claim</t>
  </si>
  <si>
    <t>Northumbrian Water submitted this claim as an enhancement investment case, which we have reallocated to base expenditure to assess as a base cost adjustment claim. We made the reallocation because mains renewals to improve asset health is a base cost activity. We refer to this case as a cost adjustment claim throughout our assessment.
Northumbrian Water have submitted a claim for £87m to increase the rate at which mains are replaced. The company expresses its concern with the current levels of mains replacements across the sector, and believe that a 0.205% replacement rate from base is consistent with Ofwat's cost assessment base model efficiency calculations. 
Northumbrian Water proposes to carry out an additional 0.031% of mains replacement, driven by the WRMP reducing leakage, and a further 0.2% over and above this to make 0.437% total replacements per year. 
In our assessment of this cost adjustment claim, we assessed if Northumbrian Water provided compelling evidence that it needs to replace more than 0.43% of its water network per annum that we allowed through the sector wide mains replacement cost adjustment.</t>
  </si>
  <si>
    <t>Water resources</t>
  </si>
  <si>
    <t>Symmetrical or non-symmetrical?</t>
  </si>
  <si>
    <t>Non-symmetrical</t>
  </si>
  <si>
    <t>Water network plus</t>
  </si>
  <si>
    <t>Reference to business plan evidence</t>
  </si>
  <si>
    <t>A3-21 Asset Health Investment (NES35)</t>
  </si>
  <si>
    <t>Wastewater network plus</t>
  </si>
  <si>
    <t>Price control</t>
  </si>
  <si>
    <t>Bioresources</t>
  </si>
  <si>
    <t>Gross value of claim (£m 22-23)</t>
  </si>
  <si>
    <t>Residential retail</t>
  </si>
  <si>
    <t>Implicit allowance (£m 22-23)</t>
  </si>
  <si>
    <t>Net value of claim (£m 22-23)</t>
  </si>
  <si>
    <t>Totex for control (£m 22-23)</t>
  </si>
  <si>
    <t>Materiality</t>
  </si>
  <si>
    <t>Material?</t>
  </si>
  <si>
    <t>B</t>
  </si>
  <si>
    <t>Overall assessment result</t>
  </si>
  <si>
    <t>Fail</t>
  </si>
  <si>
    <t>Ofwat view of cost adjustment (£m 22-23)</t>
  </si>
  <si>
    <t>Are other companies affected?</t>
  </si>
  <si>
    <t>No</t>
  </si>
  <si>
    <t>C</t>
  </si>
  <si>
    <t>Assessment gates</t>
  </si>
  <si>
    <t>Need for adjustment</t>
  </si>
  <si>
    <t>See sector wide mains renewals base cost adjustment in 'PR24 final determinations: Expenditure allowances'</t>
  </si>
  <si>
    <t>1.1 - 1.4</t>
  </si>
  <si>
    <t>Unique circumstances</t>
  </si>
  <si>
    <t xml:space="preserve">Northumbrian Water does not provide compelling evidence that it has unique circumstances. Rather, Northumbrian Water states that it is concerned that there is insufficient investment in mains replacements across the entire water sector in England and Wales. </t>
  </si>
  <si>
    <t>Management control</t>
  </si>
  <si>
    <t xml:space="preserve">Northumbrian Water has not provided compelling evidence that this claim sits outside of management control or that the need to increase mains replacement rates in the next regulatory period is driven by exogeneous factors.  
Companies have to manage a mix of assets, and mains are a part of this. Companies have control over which mains they replace, and when. We expect companies to carry out these replacements using their base allowances. </t>
  </si>
  <si>
    <t xml:space="preserve">The cost adjustment claim is material based on Northumbrian Water's calculations. </t>
  </si>
  <si>
    <t>Adjustment to allowances</t>
  </si>
  <si>
    <t>Northumbrian Water assumes the implicit allowance allows it to replace 0.205% of mains annually. But we consider the base cost models fund a mains renewal rate of 0.3% per annum based on mains renewals delivered through base expenditure allowances over the full sample (2011-12 to 2022-23). 
We expect all companies to replace at least 0.3% of their network annually during the 2025-2030 period through base allowances. 
Northumbrian Water has below industry average mains asset health. Therefore, as part of the sector wide cost adjustment to improve mains asset health, Northumbrian Water will receive an additional allowance to deliver additional mains replacements at a rate of 0.13% per year. This cost adjustment should be used solely to target mains with the highest burst rate, defined as grade 4 and 5 mains. Further details are provided in our draft determinations cost assessment main document.
The total mains renewal rate we are funding Northumbrian Water to deliver with base expenditure allowances is 0.43% per year. We do not consider Northumbrian Water has presented compelling evidence to demonstrate the need to replace more than 0.43% of the water network per year.</t>
  </si>
  <si>
    <t>Cost efficiency</t>
  </si>
  <si>
    <t>2.1 - 2.3</t>
  </si>
  <si>
    <t>Does the company explain how it arrived at the cost estimate?</t>
  </si>
  <si>
    <t xml:space="preserve">Northumbrian Water has set out its approach to calculating the implicit allowance clearly. 
Northumbrian Water states it has determined its unit rate for mains renewals of £209.23 per meter (before company overheads) using benchmarking of three comparable water and wastewater companies, utilising different diameter and material types combinations and weighted for the proportion of the network in each of the two operating areas. Overheads were applied at 30.7%, giving a unit rate (post overhead) of £273.47 per meter. </t>
  </si>
  <si>
    <t>Is there compelling evidence that cost estimates are efficient?</t>
  </si>
  <si>
    <t xml:space="preserve">Northumbrian Water provides compelling evidence that its proposed costs are efficient. The company has provided evidence of the benchmarking analysis that was undertaken to demonstrate that its proposed costs are efficient.
Our analysis of unit costs for mains renewals shows that costs proposed by Northumbrian Water are lower than the sector median (£273.47 per metre compared to the sector median of £292 per metre). </t>
  </si>
  <si>
    <t>Does the company provide third party assurance for robustness of the cost estimates? </t>
  </si>
  <si>
    <t>Northumbrian Water commissioned a technical partner to work with to develop this claim. The claim discusses assurance carried out by its technical partner, but does not provide evidence of a third party signed assurance statement.</t>
  </si>
  <si>
    <t>Customer protection</t>
  </si>
  <si>
    <t>We apply a PCD for mains renewals. Details of the PCD is set out in the 'PR24 final determinations: price control deliverables' document.</t>
  </si>
  <si>
    <t>Step change in mains replacement</t>
  </si>
  <si>
    <t>Thames Water have submitted a cost adjustment claim for an increase in mains replacements in order to deliver the step-change needed to deliver the sustainable ongoing level of mains replacement. The company predicates it claim on the following factors:
•	Its water network is the oldest with over 80% of the current pipes installed in London pre-dating privatisation.
•	Its network is under the most stress, with the highest hydraulic load and volume per length of main 
•	Its network has poor asset health, with the highest levels of leakage and mains repairs compared to other companies.
•	Consequentially, the company spend significantly more on reactive operating cost activities relative to other companies. 
•	Thames Water's base mains replacement activity has varied over time as it has necessarily needed to use base funds to undertake higher levels of short-term fixes to address the immediate network challenges at the expense of longer-term replacement activity.
•	Its distribution mains are in asset deficit and asset health will continue to deteriorate further unless there is an increased level of replacement activity.
In our assessment of this cost adjustment claim, we assessed if Thames Water provided compelling evidence that it needs to replace more than 0.43% of its water network per annum that we allowed through the sector wide mains replacement cost adjustment.</t>
  </si>
  <si>
    <t>TMS Cost Adjustment Claim - Mains Replacement</t>
  </si>
  <si>
    <t xml:space="preserve">Thames Water does not provide compelling evidence that it has unique circumstances. Thames Water argues that there are several factors related to its distribution mains that puts it in a unique position, including
•	a greater proportion of the company's mains are older when compared to other companies (note that data source has not been referenced). 
•	a higher proportion of ferrous mains than other companies by using the percentage of mains laid pre-1960 as a proxy for industry comparison (note: that data source has not been referenced)
•	its network is under the most stress with the highest hydraulic load and volume of distribution input per length of main
•	the company incurs significantly more on reactive operating costs activities compared to other companies. 
•	hazardous soil conditions affect pipe failure and leakage in the region more than other parts of the country.
We note that most of these factors are inside of company control (age of network; higher reactive operating costs) and are not unique to Thames Water. </t>
  </si>
  <si>
    <t xml:space="preserve">Thames Water has not provided compelling evidence that this claim sits outside of management control or that the need to increase mains renewal rates in the next regulatory period is driven by exogeneous factors.  
Companies have to manage a mix of assets, and mains are a part of this. Companies have control over which mains they replace, and when. We expect companies to carry out these replacements using their base allowances. </t>
  </si>
  <si>
    <t>The cost adjustment claim is material based on Thames Water's calculations.</t>
  </si>
  <si>
    <t>Thames Water does not provide compelling evidence for an adjustment to allowances.
Thames Water assumes the base cost models fund an implicit mains renewal rate of 0.17% per annum. But we consider the base cost models fund a mains renewal rate of 0.3% per annum based on mains renewals delivered through base expenditure allowances over the full sample (2011-12 to 2022-23).
Thames Water does not provide compelling evidence that the proposed 50:50 rate of mains replacements between London and Thames Valley is reasonable. Analysis of condition of the company water mains, as submitted in its CW20 data table submission, shows that 93.2% of its condition 4 and 5 mains are located in the London area with the remaining 6.8% in Thames Valley. 
In addition, the company did not provide compelling evidence on the factors that impact the health of its network, and are driving the need for adjustment. 
•	As we outline in our letter to the National Infrastructure Commission (20230612-Ltr-from-David-Black-to-James-Heath_NIC.pdf (ofwat.gov.uk)) age on its own is not the best indicator of asset condition. The data does show that the company is an outlier compared to rest of the industry but does not show how these impacts on network performance. The company presents no discernible relationship between the age of the mains and its current asset condition, and network age is endogenous (as discussed above). 
•	We do not recognize mains laid pre-1960 as a suitable proxy for industry comparison. The company does not present compelling evidence that its ferrous mains are associated with a higher rate of failures than compared with the non-ferrous cohort.
•	The Mott Macdonald report (LWI.G2.E1 - Rationale for London Additional Expenditure Factors Affecting Performance and Costs, section 4.3, p63-69) that the company refers to does demonstrate a correlation between hazardous soils and repair density. The company outlines that it has a higher percentage of soil corrosivity and fractivity in their operating area (ref 3.2.1 TMS18 Cost Adjustment Claim p19). However, the company does not present compelling evidence that mains with the poorest condition correspond to mains laid in higher corrosivity or higher activity of soil. In addition, the company can prioritise mains renewals in areas with high soil corrosivity, so again is somewhat inside of company control.
•	Thames Water states it has a higher volume of distribution input per length of main (ref 3.2.1 TMS18 Cost Adjustment Claim p18), however it does not demonstrate how the volume distributed impacts performance across its cohort of water mains and that this cohort of mains is in worse condition compared with others. The volume of distribution input per length of main is not a good indication for volume of water pumped. And companies operating in highly dense urban areas require less network length to distribute to customers compared to companies operating in more sparsely populated areas. 
•	Thames Water states it has a high ratio of growth rate of connected properties to growth of lengths of main (ref 3.2.1 TMS18 Cost Adjustment Claim p19). The Mott Macdonald Report (section 4.7.2, p87) highlights that growth can be a factor. But it does not demonstrate that the worst performing distribution mains correspond to those with highest levels of new connections.
•	Thames Water's claim focuses on a step-change in renewal for mains across the entire company operating area. But the supporting evidence provided only focuses on the factors affecting London and does not demonstrate compelling evidence that these exogeneous factors appropriately affect the Thames Valley operating area. 
As part of the sector wide adjustment to improve mains asset health, Thames Water will receive an additional allowance to deliver additional mains replacements at a rate of 0.13% per annum. This cost adjustment should be used solely to target mains with the highest burst rate, defined as grade 4 and 5 mains in London. Further details are provided in our draft determinations cost assessment main document.
Thames Water must deliver a total mains replacement rate of 0.43% per annum in the 2025-26 to 2029-30 period with its efficient base expenditure allowance. We do not consider Thames Water has provided compelling evidence to demonstrate the need to replace more than 0.43% of its water network per year in the 2025-26 to 2029-30 period.</t>
  </si>
  <si>
    <t>The implicit allowance calculations are clear, but we do not agree with the approach taken for the reasons discussed above. 
The company provides a high-level explanation of its unit cost approach. For London, this is consistent with the unit rate agreed for the London Water Improvement Conditional Allowance at Stage Gate 4. For Thames Valley, it is a blended rate using recently completed work in rural locations combined with the London rate. The company states the rates have been market tested and had an additional efficiency challenge applied to them. But it does not provide any comparisons with costs incurred by other companies.</t>
  </si>
  <si>
    <t>Thames Water does not provide compelling evidence that its cost estimates are efficient. Thames Water proposes two separate unit costs for mains renewals delivered in London and Thames Valley. But the company does not provide any evidence or comparison of historical costs, or evidence of benchmarking to help demonstrate that its proposed unit costs are efficient.
The requested unit costs are much higher than the mains replacement unit costs currently incurred by Thames Water, as evidenced by a recent query response.</t>
  </si>
  <si>
    <t xml:space="preserve">Thames Water does not provide evidence of third-party assurance for its costs. </t>
  </si>
  <si>
    <t>Wessex Water</t>
  </si>
  <si>
    <t>Mains replacement costs</t>
  </si>
  <si>
    <t>Wessex Water have submitted a cost adjustment claim for £34.96m to increase the rate at which its mains are replaced over the 2025-30 period. The claim discusses the company's plan to increase the level of mains replacement activity, above the levels that it considers are implicitly funded through our base cost models. Wessex Water propose to deliver an average mains replacement rate of 0.4% per annum over the 2025-30 period.
In our assessment of this cost adjustment claim, we assessed if Wessex Water provided compelling evidence that it should replace more than 0.48% of its water network per annum that we assessed the company should deliver with its efficient base expenditure allowance. See ' PR24 draft determinations: Expenditure allowances' for more details.</t>
  </si>
  <si>
    <t>CAC2 - Mains replacement costs</t>
  </si>
  <si>
    <t>Wessex Water does not provide compelling evidence that it has unique circumstances. Wessex Water argues that unique circumstances do not apply to this claim as it considers low replacements rates to be sector wide issue which requires a step change in replacements.</t>
  </si>
  <si>
    <t xml:space="preserve">Wessex Water has not provided compelling evidence that this claim sits outside of management control or that the need to increase mains replacement rates in the next regulatory period is driven by exogeneous factors.  
Companies have to manage a mix of assets, and mains are a part of this. Companies have control over which mains they replace, and when. We expect companies to carry out these replacements using their base allowances. </t>
  </si>
  <si>
    <t>The cost adjustment claim is material based on Wessex Water's calculations.</t>
  </si>
  <si>
    <t>Wessex Water does not provide compelling evidence for an adjustment to allowances.
Wessex Water assumes the implicit allowance allows it to replace 0.24% of mains annually. But we consider the base cost models fund a mains replacement rate of 0.3% per annum based on mains replacements delivered through base expenditure allowances over the full sample (2011-12 to 2022-23). 
The company proposes to deliver an additional 0.16% of replacements on average across period 2025-2030, to take the total level of replacements to 0.4% on average. The company states that it has assessed the efficient level of mains replacement activity for the 2025-30 period in the context of its longer-term strategy and concluded that it should target an average level of 0.4% over the 2025-30 period. It goes on to state: "we believe targeting this level in AMP8 strikes the best balance between the need for a step change, the deliverability of the replacement programme and the impact on customer bills". 
The company provides no evidence of how it has determined this overall replacement rate, including no evidence of deterioration modelling to show the impact on mains repairs (and other performance measures) over the long-term. It also provides no evidence of alternative options to the proposed rate, options about types of mains it will target and no evidence of cost benefit analysis. 
Additionally, no evidence is presented of how its own historical replacements and other investment has impacted performance, and how that has informed its view of risk and its proposed renewal rate. The company does not provide compelling evidence that’s its proposed overall replacement rate is sustainable over the long-term to maintain performance and asset health. 
Wessex Water is required to replace an additional 0.18% of its network every year in the 2025-26 to 2029-30 period from its efficient base expenditure allowance on top of the 0.3% per annum mains replacement rate funded through the base models (discussed above). This is because Wessex Water has allowed its assets to deteriorate over time. This leads to a total mains replacement rate of 0.48% per annum over the 2025-26 to 2029-30 period. See 'PR24 draft determinations: Expenditure allowances' for more details. As a result, Wessex Water has not provided compelling evidence to demonstrate the need to replace more than 0.48% of its water network every year in the 2025-26 to 2029-30 period.</t>
  </si>
  <si>
    <t xml:space="preserve">Wessex Water has set out its approach to calculating the implicit allowance clearly. 
Wessex Water states it has determined its unit rate for mains replacements of £350 per meter using actual cost of schemes delivered under this programme over the last three years. It also states that it has employed independent cost consultants to benchmark the rate, which showed that they are 23% more efficient from a selection of recent delivered schemes. But the company provides no evidence of how this unit rate has been determined and no evidence of the benchmarking carried out. </t>
  </si>
  <si>
    <t xml:space="preserve">Wessex Water does not provide compelling evidence that its cost estimates are efficient. The company has not explained how its proposed unit rate has been determined or provided evidence of the benchmarking analysis that was undertaken to produce the business case.
In addition, our analysis of unit costs for mains replacement shows that costs proposed by Wessex Water are higher than the sector median (£350 per metre compared to the sector median of £292 per metre). </t>
  </si>
  <si>
    <t>Wessex Water provides a third party assurance statement relating to its cost estimates.</t>
  </si>
  <si>
    <t>Yorkshire Water</t>
  </si>
  <si>
    <t>Yorkshire Water have submitted a cost adjustment claim for £250.94m to increase the rate at which its mains are replaced over the 2025-30 period. The claim discusses the company's plan to increase the level of mains replacement activity to improve asset health in a sustainable way. 
Yorkshire Water proposes to deliver an average mains replacement rate of 0.66% per annum over the 2025-30 period. The company states that this would allow it to address all of the worst performing cast iron and asbestos cement mains in its network (over the next two price review periods) and enable it to achieve the 2025-30 period PC targets.
In our assessment of this cost adjustment claim, we assessed if Yorkshire Water provided compelling evidence that it should replace more than 0.44% of its water network per year that we assessed the company should deliver with its efficient base expenditure allowance. See ' PR24 draft determinations: Expenditure allowances' for more details.</t>
  </si>
  <si>
    <t>CW02a Targeted Allowances for Asset Health - Infra: Mains replacement</t>
  </si>
  <si>
    <t>Partial Pass</t>
  </si>
  <si>
    <t>Partial pass</t>
  </si>
  <si>
    <t xml:space="preserve">In the draft determination we said that the company provided compelling evidence that additional investment was required to improve the asset health of its water mains. However, it did not provide compelling evidence to demonstrate there is no overlap with historical allowances. We applied a sector wide adjustment which required all companies to replace 0.3% of their network annually during the 2025-2030 period through base allowances. Additionally, Yorkshire Water was required to increase its replacement rate from base allowances to 0.44% per annum because it has allowed its assets to deteriorate over time. However, because the company provided compelling evidence to demonstrate that additional investment was required, we also provided an additional asset health allowance (equivalent to 0.22%), requiring the company to replace 0.66% of its network in total annually. 
In its representation the company states that its assets have not deteriorated over time and that other measures, such as headline rate of mains repairs and the proportion of grade 1 condition mains it has underpins that. It states that it undertook relining during AMP3-5 which may explain higher proportion of assets in condition grades 4 and 5. It also states that companies were not funded specifically for mains renewals and companies may have to prioritise maintenance activities in order to meet their obligations within expenditure allowances. 
The company's headline performance of mains repairs fluctuates considerably, and has only marginally improved over time (its average performance since 2011-12 is 198 repairs per 1000km of main, in the last 5 years is 194 repairs per 1000km). Whilst the proportion of mains in condition grade 1 has increased since 2009, its proportion in condition grades 2 and 3 have decreased. This implies the company has been replacing condition grades 2 and 3 mains and not enough of the worst mains in condition grades 4 and 5. Overall, the company continues to have the second worst performance in mains repairs in the sector. The relining activity the company refers to was typically for done to improve water quality and not for structural improvements to the main, therefore it will not improve asset health. The company's other points in its representation that relate to the implicit allowance and reducing renewal rates to prioritise other activities are addressed in the mains renewals section of the PR24 Final determination expenditure allowances document.  
In sum, the company does not provide compelling additional evidence to demonstrate that the proposed investment does not overlap with historical allowances or that it has not allowed its network to deteriorate through low historical renewal rates. Therefore, for the final determination we retain our draft determination approach. The company will be required to replace 0.66% of its network annually, 0.44% of this from base allowances and we provide an additional allowance for 0.22%. </t>
  </si>
  <si>
    <t xml:space="preserve">Yorkshire Water does not provide compelling evidence that it has unique circumstances. The company discusses the main drivers for the need to increase in its replacement rates, but acknowledges that this is a sector wide issue.  </t>
  </si>
  <si>
    <t xml:space="preserve">Yorkshire Water has not provided compelling evidence that this claim sits outside of management control or that the need to increase mains replacement rates in the next regulatory period is driven by exogeneous factors.  
Companies have to manage a mix of assets, and mains are a part of this. Companies have control over which mains they replace, and when. We expect companies to carry out these replacements using their base allowances. </t>
  </si>
  <si>
    <t>The cost adjustment claim is material based on Yorkshire Water's calculations.</t>
  </si>
  <si>
    <t>The company provides compelling evidence that additional investment is required to improve the asset health of its water mains. However, it does not provide evidence to demonstrate there is no overlap with historical allowances. 
The company considers a range of alternative options and provides deterioration modelling results to show the rate of mains bursts with different levels of investment. The company states it has modelled the benefits of these on outcomes including leakage, supply interruptions and customer contacts, although it does not provide the outputs of this modelling. The company provides compelling evidence that there is a need to increase replacement rates to maintain stable bursts and asset health. It proposes to increase the mains replacement rate to 0.66% on average over a 10 year period (over its current 0.1%). 
Yorkshire Water assumes the implicit allowance allows it to replace 0.21% of mains annually. But we consider the base cost models fund a mains replacement rate of 0.3% per annum based on mains renewals delivered through base expenditure allowances over the full sample (2011-12 to 2022-23). 
Yorkshire Water does not provide evidence to demonstrate why it has not used historical allowances to replacement more mains to improve performance and maintain asset health. The company has previously received funding for mains replacements and has been replacing mains at a lower rate than the assuming funding (0.06% on average since 2015/16), choosing instead to fund improvements in other metrics. It states that it has good leakage and supply interruption performance, despite having mains repair rates that are worse than the sector average. 
We expect all companies to replace at least 0.3% of their network annually during the 2025-2030 period through base allowances. Additionally, Yorkshire Water will be required to increase its replacement rate from base allowances to 0.44% per annum because it has allowed its assets to deteriorate over time. 
Yorkshire Water provides compelling evidence that the overall mains replacement rate proposed is sustainable and will result in stable bursts and asset health, therefore we allow the company additional asset health funding to reach a replacement rate of 0.66% on average. We assume modelled base expenditure allowances fund a mains  replacement rate of 0.44% per annum (0.3% per annum + 0.14% per annum under-delivery adjustment) and allow a cost adjustment to fund additional mains replacements of 0.22% per annum to improve asset health. See 'PR24 draft determinations: Expenditure allowances' for more details.</t>
  </si>
  <si>
    <t xml:space="preserve">In our draft determination we did not consider that the company had provided compelling evidence that its costs were efficient. The company did not provide any evidence of historical costs, or of external benchmarking (except for against 2 companies). Its proposed costs were also higher than the sector median based on the available information (£336 per metre compared to the sector median of £292 per metre). We therefore applied an adjustment to the company's base allowance using the sector median unit cost of £292 per metre.
In its representation the company states the mean sector unit rate of £335 per metre is in line with its business plan proposal. It states that its outturn costs are £390.5 per metre, so it will be challenging to achieve our draft determination proposal. This outturn cost is based on a sample of 156 recent replacement schemes covering 137km of renewal based on mixed activity. The company states that applying our draft determination unit cost in our final determination will mean that companies will drive their mains renewals programmes based on unit cost, rather than cost benefit and service impacts and asset health priorities. 
In our final determination the sector median unit cost has increased to £300 per metre. In its response, the company provides evidence of its outturn costs to demonstrate its cost efficiency, but it does not provide compelling evidence to demonstrate why its costs are higher than the sector median and what unique factors are driving this. We therefore apply the sector wide median unit cost in our final determination adjustment for the company (£300 per metre). See the mains renewals section of the PR24 Final determination expenditure allowances document for more detail on the application of a sector wide unit rate.  </t>
  </si>
  <si>
    <t>Yorkshire Water provides insufficient evidence of how it arrived at its cost estimate. The company provides a general description of the process it followed, but does not provide specific information on how the unit rate it proposes for mains renewals has been determined.</t>
  </si>
  <si>
    <t>Yorkshire Water does not provide compelling evidence that its cost estimates are efficient. The company does not provide any evidence of historical costs, or evidence of benchmarking against peers (except for 2 companies), to help demonstrate that its proposed unit costs are efficient.
In addition, our analysis of unit costs for mains renewals shows that costs proposed by Yorkshire Water are higher than the sector median (£336 per metre compared to the sector median of £292 per metre). Therefore, the company does not provide compelling evidence to demonstrate that its proposed costs are efficient. We apply a median unit cost of £292 per metre to apply the asset health uplift cost adjustment.</t>
  </si>
  <si>
    <t xml:space="preserve">Yorkshire Water does not provide evidence of third party assurance of costs. </t>
  </si>
  <si>
    <t>Anglian Water</t>
  </si>
  <si>
    <t>Mains renewal</t>
  </si>
  <si>
    <t>New cost adjustment claim at final determination</t>
  </si>
  <si>
    <t>ANH_DD_010-Mains-Renewal-CAC</t>
  </si>
  <si>
    <t xml:space="preserve">In the draft determination we did not allow the proposed investment because the company did not provide compelling evidence to demonstrate that the climate change impacts described would have a material impact on mains bursts. Its evidence showed that the majority of bursts would be driven by asset deterioration due to ageing. The company also did not meet the criteria for the asset health base allowance uplift provided to companies with worse than average asset health. This is because the data provided by the company showed it had very few pipe cohorts in condition grade 4 or 5. 
In its representation the company changes the enhancement claim to a cost adjustment claim, changing the basis of the claim to one associated with deterioration of its network and climate change impacts (not just climate change impacts as in its original submission). The value of the claim remains broadly the same. It proposes a “sustainable” renewal rate of 0.54% on average over AMP8, ramping up to 0.87% per annum for the 2030-35 to 2045-50 period. With 0.2% from base and 0.34% from the cost adjustment claim. It states that it was an early adopter of pressure management which has kept burst rates low, hence why it has fewer pipe cohorts in condition grades 4 and 5. It states it has the highest proportion of asbestos cement (AC) pipe material of any water company and its pipes are laid in a higher proportion of highly (class 6) shrinkable soils than any other company. It states that “operational strategies have limited additional effectiveness in the future as we approach full coverage of pressure management in all our DMAs”. It provides data to show impacts of pressure management on different asset types. Additional evidence is also provided to show failure mechanisms on joints of AC pipes.
The company provides compelling evidence to demonstrate that the health of its network may be worse than the cohort condition data suggests. It also provides evidence to show how pressure management has impacted mains burst rates for different materials. The data shows a reduction in burst rates in pressure managed areas for most materials, compared to areas which are not pressure managed. However, the evidence provided shows the rate of AC mains bursts continues to increase in pressure managed or non-pressure managed areas. The combination of having the highest proportion of AC mains in the sector and the highest proportion of class 6 shrinkable soils increases the likelihood that this trend will continue. 
For the final determination we apply a sector wide adjustment, which requires all companies to renew at least 0.3% of their networks annually during the 2025-2030 period through base allowances. For the final determination we require the company to replace at least 0.3% per year from its base allowances. Additionally, because the company provides compelling evidence of the poor health of its network and increasing risk from AC mains, we provide additional allowance to enable the company to replace 0.54% annually in the 2025-2030 period (equivalent 0.24% more than the required renewal rate from base allowances). However, the analysis provided to determine the significant increase in renewal rates beyond AMP8 appears less certain. Therefore we will require the company to review its data and analysis to determine a long-term sustainable rate at the 2029 price review. </t>
  </si>
  <si>
    <t>Pass</t>
  </si>
  <si>
    <t xml:space="preserve">In our draft determination we considered that the company's costs were efficient when compared to other water companies. We stated that we had minor concerns relating to the level of detail in how the company's costs were determined, and the lack of cost benchmarking and third party assurance.   
The company has not presented any new evidence to demonstrate its mains replacement unit rate is efficient. But its unit costs are in line with the sector median unit rate of £300 per metre. 
For final determinations, we apply the sector wide median unit cost in our final determination adjustment for the company (£300 per metre). This is above the company's unit rate (£285 per metre). See the mains renewals section of the PR24 Final determination expenditure allowances document for more detail on the application of a sector wide unit rate.  </t>
  </si>
  <si>
    <t>Historical &amp; forecast renewal rates</t>
  </si>
  <si>
    <t xml:space="preserve">Unit: % total mains renewed per annum </t>
  </si>
  <si>
    <t xml:space="preserve">Historical </t>
  </si>
  <si>
    <t>PR24 Total 
Base + Enhancement</t>
  </si>
  <si>
    <t>PR24 Base activity</t>
  </si>
  <si>
    <t>Historical base renewal rate (11/12 - 22/24)</t>
  </si>
  <si>
    <t>PR19 base renewal rate (11/12 - 18/19)</t>
  </si>
  <si>
    <t>5Yr Base renewal rate (19/20 - 23/24)</t>
  </si>
  <si>
    <t>PR24 Forecast renewals 
(km)</t>
  </si>
  <si>
    <t>PR24 Total forecast renewal rate 
(% p.a.)</t>
  </si>
  <si>
    <t>PR24 Forecast Base renewals (km)</t>
  </si>
  <si>
    <t>PR24 BP Forecast base renewal rate
(% p.a.)</t>
  </si>
  <si>
    <t>Ofwat view of company proposal</t>
  </si>
  <si>
    <t>Ofwat view of base renewal rate (% p.a.)</t>
  </si>
  <si>
    <t>Accept</t>
  </si>
  <si>
    <t>BASE Cost adjustment assessment</t>
  </si>
  <si>
    <t>All</t>
  </si>
  <si>
    <t>Thames Water (Central London)</t>
  </si>
  <si>
    <t>Rounded median unit cost 
(see tab 'Unit costs'</t>
  </si>
  <si>
    <t>Based on LWICA burst driven mains renewals. See 'PR24 Final determinations: Expenditure allowances' for further information.</t>
  </si>
  <si>
    <t>Company view</t>
  </si>
  <si>
    <t>Ofwat view pre-adjustment</t>
  </si>
  <si>
    <t>Base adjustment
(p.a.)</t>
  </si>
  <si>
    <t>AMP8 base renewal rate (p.a.)</t>
  </si>
  <si>
    <t>AMP8 total base renewals (km)</t>
  </si>
  <si>
    <t>AMP8 additional base renewals (km)</t>
  </si>
  <si>
    <t>Adjustment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</si>
</sst>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8" formatCode="&quot;£&quot;#,##0.00;[Red]\-&quot;£&quot;#,##0.00"/>
    <numFmt numFmtId="43" formatCode="_-* #,##0.00_-;\-* #,##0.00_-;_-* &quot;-&quot;??_-;_-@_-"/>
    <numFmt numFmtId="164" formatCode="_(* #,##0.00_);_(* \(#,##0.00\);_(* &quot;-&quot;??_);_(@_)"/>
    <numFmt numFmtId="165" formatCode="0.000"/>
    <numFmt numFmtId="166" formatCode="#,##0_);\(#,##0\);&quot;-  &quot;;&quot; &quot;@&quot; &quot;"/>
    <numFmt numFmtId="167" formatCode="0.00%;\-0.00%_);&quot;-  &quot;;&quot; &quot;@&quot; &quot;"/>
    <numFmt numFmtId="168" formatCode="#,##0.0000;\(#,##0.0000\);&quot;-  &quot;;&quot; &quot;@&quot; &quot;"/>
    <numFmt numFmtId="169" formatCode="dd\ mmm\ yyyy_);\(###0\);&quot;-  &quot;;&quot; &quot;@&quot; &quot;"/>
    <numFmt numFmtId="170" formatCode="dd\ mmm\ yy_);\(###0\);&quot;-  &quot;;&quot; &quot;@&quot; &quot;"/>
    <numFmt numFmtId="171" formatCode="###0_);\(###0\);&quot;-  &quot;;&quot; &quot;@&quot; &quot;"/>
    <numFmt numFmtId="172" formatCode="#,##0.0"/>
    <numFmt numFmtId="173" formatCode="_-* #,##0_-;\-* #,##0_-;_-* &quot;-&quot;??_-;_-@_-"/>
    <numFmt numFmtId="174" formatCode="&quot;£&quot;#,##0.00"/>
    <numFmt numFmtId="175" formatCode="0.0%"/>
    <numFmt numFmtId="176" formatCode="0.0"/>
    <numFmt numFmtId="177" formatCode="mmmm\ yyyy;@"/>
    <numFmt numFmtId="178" formatCode="0.0000%"/>
    <numFmt numFmtId="179" formatCode="0.000%"/>
    <numFmt numFmtId="180" formatCode="&quot;£&quot;#,##0.000"/>
  </numFmts>
  <fonts count="54">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Calibri"/>
      <family val="2"/>
      <scheme val="minor"/>
    </font>
    <font>
      <sz val="10"/>
      <name val="Arial"/>
      <family val="2"/>
    </font>
    <font>
      <sz val="11"/>
      <color indexed="8"/>
      <name val="Calibri"/>
      <family val="2"/>
    </font>
    <font>
      <sz val="11"/>
      <color theme="1"/>
      <name val="Calibri"/>
      <family val="2"/>
      <scheme val="minor"/>
    </font>
    <font>
      <b/>
      <sz val="11"/>
      <color theme="1"/>
      <name val="Arial"/>
      <family val="2"/>
    </font>
    <font>
      <sz val="11"/>
      <color theme="1"/>
      <name val="Verdana"/>
      <family val="2"/>
    </font>
    <font>
      <sz val="11"/>
      <name val="Calibri"/>
      <family val="2"/>
    </font>
    <font>
      <b/>
      <sz val="11"/>
      <color theme="1"/>
      <name val="Gill Sans MT"/>
      <family val="2"/>
    </font>
    <font>
      <sz val="11"/>
      <color theme="1"/>
      <name val="Gill Sans MT"/>
      <family val="2"/>
    </font>
    <font>
      <b/>
      <sz val="11"/>
      <color theme="1"/>
      <name val="Calibri"/>
      <family val="2"/>
      <scheme val="minor"/>
    </font>
    <font>
      <sz val="10"/>
      <color theme="1"/>
      <name val="Gill Sans MT"/>
      <family val="2"/>
    </font>
    <font>
      <b/>
      <sz val="10"/>
      <color theme="1"/>
      <name val="Gill Sans MT"/>
      <family val="2"/>
    </font>
    <font>
      <u/>
      <sz val="11"/>
      <color theme="10"/>
      <name val="Calibri"/>
      <family val="2"/>
      <scheme val="minor"/>
    </font>
    <font>
      <sz val="11"/>
      <color theme="1"/>
      <name val="Calibri"/>
      <family val="2"/>
    </font>
    <font>
      <sz val="15"/>
      <color theme="0"/>
      <name val="Calibri"/>
      <family val="2"/>
    </font>
    <font>
      <sz val="10"/>
      <color theme="3"/>
      <name val="Calibri"/>
      <family val="2"/>
    </font>
    <font>
      <sz val="9"/>
      <color theme="1"/>
      <name val="Calibri"/>
      <family val="2"/>
    </font>
    <font>
      <sz val="9"/>
      <name val="Calibri"/>
      <family val="2"/>
    </font>
    <font>
      <sz val="9"/>
      <color rgb="FFFF0000"/>
      <name val="Calibri"/>
      <family val="2"/>
    </font>
    <font>
      <sz val="24"/>
      <color theme="0"/>
      <name val="Calibri"/>
      <family val="2"/>
      <scheme val="minor"/>
    </font>
    <font>
      <sz val="10"/>
      <name val="Calibri"/>
      <family val="2"/>
    </font>
    <font>
      <sz val="10"/>
      <name val="Calibri"/>
      <family val="2"/>
      <scheme val="minor"/>
    </font>
    <font>
      <sz val="18"/>
      <name val="Calibri"/>
      <family val="2"/>
      <scheme val="minor"/>
    </font>
    <font>
      <b/>
      <sz val="18"/>
      <name val="Calibri"/>
      <family val="2"/>
      <scheme val="minor"/>
    </font>
    <font>
      <u/>
      <sz val="8"/>
      <color theme="10"/>
      <name val="Tahoma"/>
      <family val="2"/>
    </font>
    <font>
      <sz val="10"/>
      <color theme="1"/>
      <name val="Calibri"/>
      <family val="2"/>
      <scheme val="minor"/>
    </font>
    <font>
      <sz val="11"/>
      <color rgb="FF000000"/>
      <name val="Calibri"/>
      <family val="2"/>
      <scheme val="minor"/>
    </font>
    <font>
      <b/>
      <sz val="10"/>
      <name val="Calibri"/>
      <family val="2"/>
    </font>
    <font>
      <b/>
      <sz val="10"/>
      <color rgb="FFFF0000"/>
      <name val="Calibri"/>
      <family val="2"/>
      <scheme val="minor"/>
    </font>
    <font>
      <b/>
      <sz val="10"/>
      <color theme="1"/>
      <name val="Calibri"/>
      <family val="2"/>
      <scheme val="minor"/>
    </font>
    <font>
      <sz val="8"/>
      <color theme="1"/>
      <name val="Tahoma"/>
      <family val="2"/>
    </font>
    <font>
      <b/>
      <sz val="10"/>
      <name val="Calibri"/>
      <family val="2"/>
      <scheme val="minor"/>
    </font>
    <font>
      <b/>
      <sz val="10"/>
      <color rgb="FF0071CE"/>
      <name val="Calibri"/>
      <family val="2"/>
    </font>
    <font>
      <b/>
      <sz val="10"/>
      <color indexed="8"/>
      <name val="Calibri"/>
      <family val="2"/>
      <scheme val="minor"/>
    </font>
    <font>
      <sz val="10"/>
      <color indexed="8"/>
      <name val="Calibri"/>
      <family val="2"/>
      <scheme val="minor"/>
    </font>
    <font>
      <sz val="10"/>
      <color indexed="8"/>
      <name val="Calibri"/>
      <family val="2"/>
    </font>
    <font>
      <sz val="10"/>
      <color indexed="9"/>
      <name val="Calibri"/>
      <family val="2"/>
    </font>
    <font>
      <sz val="10"/>
      <color indexed="9"/>
      <name val="Calibri"/>
      <family val="2"/>
      <scheme val="minor"/>
    </font>
    <font>
      <sz val="10"/>
      <color theme="1"/>
      <name val="Calibri"/>
      <family val="2"/>
    </font>
    <font>
      <b/>
      <sz val="10"/>
      <color indexed="8"/>
      <name val="Calibri"/>
      <family val="2"/>
    </font>
    <font>
      <u/>
      <sz val="11"/>
      <color theme="10"/>
      <name val="Arial"/>
      <family val="2"/>
    </font>
    <font>
      <b/>
      <sz val="11"/>
      <color rgb="FFFF0000"/>
      <name val="Calibri"/>
      <family val="2"/>
      <scheme val="minor"/>
    </font>
    <font>
      <b/>
      <sz val="11"/>
      <color theme="1"/>
      <name val="Calibri"/>
      <family val="2"/>
    </font>
    <font>
      <sz val="11"/>
      <color theme="0"/>
      <name val="Calibri"/>
      <family val="2"/>
    </font>
    <font>
      <sz val="9"/>
      <color theme="1"/>
      <name val="Calibri"/>
      <family val="2"/>
      <scheme val="minor"/>
    </font>
    <font>
      <sz val="9"/>
      <color rgb="FFFF0000"/>
      <name val="Calibri"/>
      <family val="2"/>
      <scheme val="minor"/>
    </font>
  </fonts>
  <fills count="18">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indexed="42"/>
        <bgColor indexed="42"/>
      </patternFill>
    </fill>
    <fill>
      <patternFill patternType="solid">
        <fgColor theme="0"/>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DCECF5"/>
        <bgColor indexed="64"/>
      </patternFill>
    </fill>
    <fill>
      <patternFill patternType="solid">
        <fgColor rgb="FFF0F3B3"/>
        <bgColor indexed="64"/>
      </patternFill>
    </fill>
    <fill>
      <patternFill patternType="solid">
        <fgColor rgb="FF003595"/>
        <bgColor indexed="64"/>
      </patternFill>
    </fill>
    <fill>
      <patternFill patternType="solid">
        <fgColor theme="4" tint="0.79998168889431442"/>
        <bgColor indexed="64"/>
      </patternFill>
    </fill>
    <fill>
      <patternFill patternType="solid">
        <fgColor rgb="FF002060"/>
        <bgColor indexed="64"/>
      </patternFill>
    </fill>
    <fill>
      <patternFill patternType="solid">
        <fgColor rgb="FFD9D9D9"/>
        <bgColor indexed="64"/>
      </patternFill>
    </fill>
    <fill>
      <patternFill patternType="solid">
        <fgColor rgb="FFFFFF00"/>
        <bgColor indexed="64"/>
      </patternFill>
    </fill>
    <fill>
      <patternFill patternType="solid">
        <fgColor theme="6"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right/>
      <top style="thin">
        <color indexed="64"/>
      </top>
      <bottom style="thin">
        <color theme="3"/>
      </bottom>
      <diagonal/>
    </border>
    <border>
      <left style="thin">
        <color theme="3"/>
      </left>
      <right/>
      <top style="thin">
        <color indexed="64"/>
      </top>
      <bottom style="thin">
        <color theme="3"/>
      </bottom>
      <diagonal/>
    </border>
    <border>
      <left/>
      <right/>
      <top/>
      <bottom style="thin">
        <color theme="4" tint="0.39997558519241921"/>
      </bottom>
      <diagonal/>
    </border>
    <border>
      <left/>
      <right/>
      <top style="thin">
        <color indexed="64"/>
      </top>
      <bottom style="double">
        <color indexed="64"/>
      </bottom>
      <diagonal/>
    </border>
    <border>
      <left style="thin">
        <color theme="3"/>
      </left>
      <right style="thin">
        <color theme="3"/>
      </right>
      <top/>
      <bottom style="thin">
        <color theme="3"/>
      </bottom>
      <diagonal/>
    </border>
    <border>
      <left style="thin">
        <color theme="3"/>
      </left>
      <right style="thin">
        <color theme="3"/>
      </right>
      <top/>
      <bottom/>
      <diagonal/>
    </border>
  </borders>
  <cellStyleXfs count="61">
    <xf numFmtId="0" fontId="0" fillId="0" borderId="0"/>
    <xf numFmtId="0" fontId="9" fillId="0" borderId="0"/>
    <xf numFmtId="0" fontId="7" fillId="0" borderId="0"/>
    <xf numFmtId="0" fontId="7" fillId="0" borderId="0"/>
    <xf numFmtId="0" fontId="10" fillId="4" borderId="0" applyNumberFormat="0" applyBorder="0" applyAlignment="0" applyProtection="0"/>
    <xf numFmtId="0" fontId="6" fillId="0" borderId="0"/>
    <xf numFmtId="0" fontId="11" fillId="0" borderId="0"/>
    <xf numFmtId="0" fontId="5" fillId="0" borderId="0"/>
    <xf numFmtId="0" fontId="13" fillId="0" borderId="0"/>
    <xf numFmtId="166" fontId="11" fillId="0" borderId="0" applyFont="0" applyFill="0" applyBorder="0" applyProtection="0">
      <alignment vertical="top"/>
    </xf>
    <xf numFmtId="0" fontId="4" fillId="0" borderId="0"/>
    <xf numFmtId="0" fontId="4" fillId="0" borderId="0"/>
    <xf numFmtId="0" fontId="4" fillId="0" borderId="0"/>
    <xf numFmtId="166" fontId="11" fillId="0" borderId="0" applyFont="0" applyFill="0" applyBorder="0" applyProtection="0">
      <alignment vertical="top"/>
    </xf>
    <xf numFmtId="0" fontId="4" fillId="0" borderId="0"/>
    <xf numFmtId="166" fontId="11" fillId="0" borderId="0" applyFont="0" applyFill="0" applyBorder="0" applyProtection="0">
      <alignment vertical="top"/>
    </xf>
    <xf numFmtId="167" fontId="11" fillId="0" borderId="0" applyFont="0" applyFill="0" applyBorder="0" applyProtection="0">
      <alignment vertical="top"/>
    </xf>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166" fontId="4" fillId="0" borderId="0" applyFont="0" applyFill="0" applyBorder="0" applyProtection="0">
      <alignment vertical="top"/>
    </xf>
    <xf numFmtId="0" fontId="1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0" fontId="13" fillId="0" borderId="0"/>
    <xf numFmtId="0" fontId="11" fillId="0" borderId="0"/>
    <xf numFmtId="166" fontId="9" fillId="0" borderId="0" applyFont="0" applyFill="0" applyBorder="0" applyProtection="0">
      <alignment vertical="top"/>
    </xf>
    <xf numFmtId="170" fontId="11" fillId="0" borderId="0" applyFont="0" applyFill="0" applyBorder="0" applyProtection="0">
      <alignment vertical="top"/>
    </xf>
    <xf numFmtId="0" fontId="13" fillId="0" borderId="0"/>
    <xf numFmtId="0" fontId="9" fillId="0" borderId="0"/>
    <xf numFmtId="168" fontId="11" fillId="0" borderId="0" applyFont="0" applyFill="0" applyBorder="0" applyProtection="0">
      <alignment vertical="top"/>
    </xf>
    <xf numFmtId="169" fontId="11" fillId="0" borderId="0" applyFont="0" applyFill="0" applyBorder="0" applyProtection="0">
      <alignment vertical="top"/>
    </xf>
    <xf numFmtId="171" fontId="11" fillId="0" borderId="0" applyFont="0" applyFill="0" applyBorder="0" applyProtection="0">
      <alignment vertical="top"/>
    </xf>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166" fontId="11" fillId="0" borderId="0" applyFont="0" applyFill="0" applyBorder="0" applyProtection="0">
      <alignment vertical="top"/>
    </xf>
    <xf numFmtId="166" fontId="11" fillId="0" borderId="0" applyFont="0" applyFill="0" applyBorder="0" applyProtection="0">
      <alignment vertical="top"/>
    </xf>
    <xf numFmtId="166" fontId="11" fillId="0" borderId="0" applyFont="0" applyFill="0" applyBorder="0" applyProtection="0">
      <alignment vertical="top"/>
    </xf>
    <xf numFmtId="0" fontId="3" fillId="0" borderId="0"/>
    <xf numFmtId="43" fontId="11" fillId="0" borderId="0" applyFont="0" applyFill="0" applyBorder="0" applyAlignment="0" applyProtection="0"/>
    <xf numFmtId="9" fontId="11" fillId="0" borderId="0" applyFont="0" applyFill="0" applyBorder="0" applyAlignment="0" applyProtection="0"/>
    <xf numFmtId="0" fontId="20" fillId="0" borderId="0" applyNumberFormat="0" applyFill="0" applyBorder="0" applyAlignment="0" applyProtection="0"/>
    <xf numFmtId="0" fontId="2" fillId="0" borderId="0"/>
    <xf numFmtId="0" fontId="2" fillId="0" borderId="0"/>
    <xf numFmtId="166" fontId="28" fillId="0" borderId="0" applyFill="0" applyBorder="0" applyProtection="0">
      <alignment vertical="top"/>
    </xf>
    <xf numFmtId="0" fontId="32" fillId="0" borderId="0" applyNumberFormat="0" applyFill="0" applyBorder="0" applyAlignment="0" applyProtection="0"/>
    <xf numFmtId="166" fontId="38" fillId="0" borderId="0" applyFont="0" applyFill="0" applyBorder="0" applyProtection="0">
      <alignment vertical="top"/>
    </xf>
    <xf numFmtId="166" fontId="38" fillId="0" borderId="0" applyFont="0" applyFill="0" applyBorder="0" applyProtection="0">
      <alignment vertical="top"/>
    </xf>
    <xf numFmtId="0" fontId="1" fillId="0" borderId="0"/>
    <xf numFmtId="0" fontId="48" fillId="0" borderId="0" applyNumberFormat="0" applyFill="0" applyBorder="0" applyAlignment="0" applyProtection="0"/>
    <xf numFmtId="9" fontId="1" fillId="0" borderId="0" applyFont="0" applyFill="0" applyBorder="0" applyAlignment="0" applyProtection="0"/>
  </cellStyleXfs>
  <cellXfs count="312">
    <xf numFmtId="0" fontId="0" fillId="0" borderId="0" xfId="0"/>
    <xf numFmtId="0" fontId="0" fillId="0" borderId="1" xfId="0" applyBorder="1"/>
    <xf numFmtId="0" fontId="0" fillId="2" borderId="3" xfId="0" applyFill="1" applyBorder="1"/>
    <xf numFmtId="0" fontId="0" fillId="5" borderId="0" xfId="0" applyFill="1"/>
    <xf numFmtId="0" fontId="15" fillId="0" borderId="0" xfId="0" applyFont="1"/>
    <xf numFmtId="0" fontId="16" fillId="0" borderId="0" xfId="0" applyFont="1"/>
    <xf numFmtId="0" fontId="16" fillId="0" borderId="4" xfId="0" applyFont="1" applyBorder="1"/>
    <xf numFmtId="0" fontId="17" fillId="0" borderId="0" xfId="0" applyFont="1"/>
    <xf numFmtId="0" fontId="18" fillId="0" borderId="1" xfId="0" applyFont="1" applyBorder="1" applyAlignment="1">
      <alignment vertical="center" wrapText="1"/>
    </xf>
    <xf numFmtId="0" fontId="18" fillId="0" borderId="1" xfId="0" applyFont="1" applyBorder="1"/>
    <xf numFmtId="0" fontId="18" fillId="0" borderId="3" xfId="0" applyFont="1" applyBorder="1" applyAlignment="1">
      <alignment horizontal="center" vertical="center" wrapText="1"/>
    </xf>
    <xf numFmtId="10" fontId="18" fillId="0" borderId="1" xfId="50" applyNumberFormat="1" applyFont="1" applyBorder="1"/>
    <xf numFmtId="0" fontId="17" fillId="0" borderId="1" xfId="0" applyFont="1" applyBorder="1"/>
    <xf numFmtId="173" fontId="18" fillId="0" borderId="1" xfId="49" applyNumberFormat="1" applyFont="1" applyBorder="1"/>
    <xf numFmtId="0" fontId="18" fillId="0" borderId="15" xfId="0" applyFont="1" applyBorder="1"/>
    <xf numFmtId="0" fontId="19" fillId="0" borderId="16" xfId="0" applyFont="1" applyBorder="1"/>
    <xf numFmtId="173" fontId="19" fillId="0" borderId="16" xfId="49" applyNumberFormat="1" applyFont="1" applyBorder="1"/>
    <xf numFmtId="10" fontId="19" fillId="0" borderId="16" xfId="50" applyNumberFormat="1" applyFont="1" applyBorder="1"/>
    <xf numFmtId="10" fontId="19" fillId="0" borderId="16" xfId="0" applyNumberFormat="1" applyFont="1" applyBorder="1" applyAlignment="1">
      <alignment vertical="center"/>
    </xf>
    <xf numFmtId="10" fontId="16" fillId="0" borderId="16" xfId="50" applyNumberFormat="1" applyFont="1" applyBorder="1"/>
    <xf numFmtId="10" fontId="16" fillId="0" borderId="16" xfId="50" applyNumberFormat="1" applyFont="1" applyFill="1" applyBorder="1"/>
    <xf numFmtId="10" fontId="16" fillId="0" borderId="1" xfId="50" applyNumberFormat="1" applyFont="1" applyBorder="1"/>
    <xf numFmtId="10" fontId="15" fillId="0" borderId="1" xfId="0" applyNumberFormat="1" applyFont="1" applyBorder="1"/>
    <xf numFmtId="2" fontId="16" fillId="0" borderId="18" xfId="50" applyNumberFormat="1" applyFont="1" applyBorder="1"/>
    <xf numFmtId="0" fontId="20" fillId="0" borderId="0" xfId="51"/>
    <xf numFmtId="10" fontId="16" fillId="0" borderId="18" xfId="50" applyNumberFormat="1" applyFont="1" applyFill="1" applyBorder="1"/>
    <xf numFmtId="10" fontId="16" fillId="0" borderId="1" xfId="50" applyNumberFormat="1" applyFont="1" applyFill="1" applyBorder="1"/>
    <xf numFmtId="1" fontId="0" fillId="0" borderId="1" xfId="0" applyNumberFormat="1" applyBorder="1"/>
    <xf numFmtId="0" fontId="0" fillId="0" borderId="0" xfId="0" applyAlignment="1">
      <alignment vertical="center"/>
    </xf>
    <xf numFmtId="173" fontId="18" fillId="0" borderId="1" xfId="49" applyNumberFormat="1" applyFont="1" applyBorder="1" applyAlignment="1">
      <alignment horizontal="center"/>
    </xf>
    <xf numFmtId="0" fontId="0" fillId="0" borderId="0" xfId="0" pivotButton="1"/>
    <xf numFmtId="0" fontId="17" fillId="6" borderId="22" xfId="0" applyFont="1" applyFill="1" applyBorder="1"/>
    <xf numFmtId="0" fontId="0" fillId="0" borderId="0" xfId="0" applyAlignment="1">
      <alignment horizontal="left"/>
    </xf>
    <xf numFmtId="175" fontId="0" fillId="0" borderId="0" xfId="50" applyNumberFormat="1" applyFont="1"/>
    <xf numFmtId="175" fontId="0" fillId="0" borderId="0" xfId="0" applyNumberFormat="1"/>
    <xf numFmtId="0" fontId="0" fillId="0" borderId="0" xfId="0" applyAlignment="1">
      <alignment horizontal="center"/>
    </xf>
    <xf numFmtId="0" fontId="0" fillId="0" borderId="1" xfId="0" applyBorder="1" applyAlignment="1">
      <alignment horizontal="left"/>
    </xf>
    <xf numFmtId="175" fontId="0" fillId="0" borderId="0" xfId="50" applyNumberFormat="1" applyFont="1" applyAlignment="1">
      <alignment horizontal="center"/>
    </xf>
    <xf numFmtId="0" fontId="17" fillId="0" borderId="23" xfId="0" applyFont="1" applyBorder="1"/>
    <xf numFmtId="0" fontId="17" fillId="6" borderId="22" xfId="0" applyFont="1" applyFill="1" applyBorder="1" applyAlignment="1">
      <alignment horizontal="center"/>
    </xf>
    <xf numFmtId="2" fontId="0" fillId="0" borderId="0" xfId="0" applyNumberFormat="1" applyAlignment="1">
      <alignment horizontal="center"/>
    </xf>
    <xf numFmtId="10" fontId="0" fillId="0" borderId="0" xfId="50" applyNumberFormat="1" applyFont="1" applyAlignment="1">
      <alignment horizontal="center"/>
    </xf>
    <xf numFmtId="9" fontId="0" fillId="0" borderId="0" xfId="0" applyNumberFormat="1" applyAlignment="1">
      <alignment horizontal="center"/>
    </xf>
    <xf numFmtId="2" fontId="17" fillId="0" borderId="23" xfId="0" applyNumberFormat="1" applyFont="1" applyBorder="1" applyAlignment="1">
      <alignment horizontal="center"/>
    </xf>
    <xf numFmtId="10" fontId="17" fillId="0" borderId="23" xfId="50" applyNumberFormat="1" applyFont="1" applyBorder="1" applyAlignment="1">
      <alignment horizontal="center"/>
    </xf>
    <xf numFmtId="9" fontId="0" fillId="0" borderId="0" xfId="50" applyFont="1" applyAlignment="1">
      <alignment horizontal="center"/>
    </xf>
    <xf numFmtId="0" fontId="17" fillId="0" borderId="0" xfId="0" applyFont="1" applyAlignment="1">
      <alignment horizontal="left"/>
    </xf>
    <xf numFmtId="0" fontId="17" fillId="0" borderId="1" xfId="0" applyFont="1" applyBorder="1" applyAlignment="1">
      <alignment horizontal="left"/>
    </xf>
    <xf numFmtId="0" fontId="12" fillId="0" borderId="1" xfId="0" applyFont="1" applyBorder="1" applyAlignment="1">
      <alignment vertical="center"/>
    </xf>
    <xf numFmtId="0" fontId="0" fillId="0" borderId="5" xfId="0" applyBorder="1"/>
    <xf numFmtId="0" fontId="0" fillId="2" borderId="5" xfId="0" applyFill="1" applyBorder="1"/>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2" xfId="0" applyFont="1" applyBorder="1" applyAlignment="1">
      <alignment horizontal="center" vertical="center"/>
    </xf>
    <xf numFmtId="175" fontId="0" fillId="0" borderId="7" xfId="0" applyNumberFormat="1" applyBorder="1" applyAlignment="1">
      <alignment horizontal="center"/>
    </xf>
    <xf numFmtId="175" fontId="0" fillId="0" borderId="11" xfId="0" applyNumberFormat="1" applyBorder="1" applyAlignment="1">
      <alignment horizontal="center"/>
    </xf>
    <xf numFmtId="175" fontId="0" fillId="0" borderId="12" xfId="50" applyNumberFormat="1" applyFont="1" applyFill="1" applyBorder="1" applyAlignment="1">
      <alignment horizontal="center"/>
    </xf>
    <xf numFmtId="175" fontId="0" fillId="2" borderId="8" xfId="0" applyNumberFormat="1" applyFill="1" applyBorder="1" applyAlignment="1">
      <alignment horizontal="center"/>
    </xf>
    <xf numFmtId="175" fontId="0" fillId="2" borderId="0" xfId="0" applyNumberFormat="1" applyFill="1" applyAlignment="1">
      <alignment horizontal="center"/>
    </xf>
    <xf numFmtId="175" fontId="0" fillId="2" borderId="13" xfId="50" applyNumberFormat="1" applyFont="1" applyFill="1" applyBorder="1" applyAlignment="1">
      <alignment horizontal="center"/>
    </xf>
    <xf numFmtId="175" fontId="0" fillId="0" borderId="8" xfId="50" applyNumberFormat="1" applyFont="1" applyFill="1" applyBorder="1" applyAlignment="1">
      <alignment horizontal="center"/>
    </xf>
    <xf numFmtId="175" fontId="0" fillId="0" borderId="0" xfId="50" applyNumberFormat="1" applyFont="1" applyFill="1" applyBorder="1" applyAlignment="1">
      <alignment horizontal="center"/>
    </xf>
    <xf numFmtId="175" fontId="0" fillId="0" borderId="13" xfId="50" applyNumberFormat="1" applyFont="1" applyFill="1" applyBorder="1" applyAlignment="1">
      <alignment horizontal="center"/>
    </xf>
    <xf numFmtId="175" fontId="0" fillId="0" borderId="8" xfId="0" applyNumberFormat="1" applyBorder="1" applyAlignment="1">
      <alignment horizontal="center"/>
    </xf>
    <xf numFmtId="175" fontId="0" fillId="0" borderId="0" xfId="0" applyNumberFormat="1" applyAlignment="1">
      <alignment horizontal="center"/>
    </xf>
    <xf numFmtId="175" fontId="0" fillId="2" borderId="9" xfId="0" applyNumberFormat="1" applyFill="1" applyBorder="1" applyAlignment="1">
      <alignment horizontal="center"/>
    </xf>
    <xf numFmtId="175" fontId="0" fillId="2" borderId="10" xfId="0" applyNumberFormat="1" applyFill="1" applyBorder="1" applyAlignment="1">
      <alignment horizontal="center"/>
    </xf>
    <xf numFmtId="175" fontId="0" fillId="2" borderId="14" xfId="50" applyNumberFormat="1" applyFont="1" applyFill="1" applyBorder="1" applyAlignment="1">
      <alignment horizontal="center"/>
    </xf>
    <xf numFmtId="0" fontId="17" fillId="0" borderId="4" xfId="0" applyFont="1" applyBorder="1" applyAlignment="1">
      <alignment vertical="center" wrapText="1"/>
    </xf>
    <xf numFmtId="0" fontId="0" fillId="0" borderId="7" xfId="0" applyBorder="1" applyAlignment="1">
      <alignment horizontal="center"/>
    </xf>
    <xf numFmtId="0" fontId="0" fillId="0" borderId="8" xfId="0" applyBorder="1" applyAlignment="1">
      <alignment horizontal="center"/>
    </xf>
    <xf numFmtId="175" fontId="0" fillId="0" borderId="9" xfId="0" applyNumberFormat="1" applyBorder="1" applyAlignment="1">
      <alignment horizontal="center"/>
    </xf>
    <xf numFmtId="10" fontId="0" fillId="0" borderId="5" xfId="50" applyNumberFormat="1" applyFont="1" applyBorder="1"/>
    <xf numFmtId="10" fontId="0" fillId="0" borderId="3" xfId="50" applyNumberFormat="1" applyFont="1" applyBorder="1"/>
    <xf numFmtId="0" fontId="12" fillId="0" borderId="1" xfId="0" applyFont="1" applyBorder="1" applyAlignment="1">
      <alignment vertical="center" wrapText="1"/>
    </xf>
    <xf numFmtId="10" fontId="0" fillId="0" borderId="5" xfId="50" applyNumberFormat="1" applyFont="1" applyFill="1" applyBorder="1"/>
    <xf numFmtId="10" fontId="0" fillId="3" borderId="5" xfId="50" applyNumberFormat="1" applyFont="1" applyFill="1" applyBorder="1"/>
    <xf numFmtId="10" fontId="0" fillId="3" borderId="3" xfId="50" applyNumberFormat="1" applyFont="1" applyFill="1" applyBorder="1"/>
    <xf numFmtId="10" fontId="0" fillId="5" borderId="5" xfId="50" applyNumberFormat="1" applyFont="1" applyFill="1" applyBorder="1"/>
    <xf numFmtId="10" fontId="0" fillId="7" borderId="5" xfId="50" applyNumberFormat="1" applyFont="1" applyFill="1" applyBorder="1"/>
    <xf numFmtId="0" fontId="0" fillId="0" borderId="3" xfId="0" applyBorder="1"/>
    <xf numFmtId="0" fontId="0" fillId="0" borderId="1" xfId="0" applyBorder="1" applyAlignment="1">
      <alignment vertical="center"/>
    </xf>
    <xf numFmtId="0" fontId="18" fillId="0" borderId="0" xfId="0" applyFont="1" applyAlignment="1">
      <alignment vertical="top"/>
    </xf>
    <xf numFmtId="0" fontId="0" fillId="0" borderId="1" xfId="0" applyBorder="1" applyAlignment="1">
      <alignment vertical="center" wrapText="1"/>
    </xf>
    <xf numFmtId="0" fontId="20" fillId="0" borderId="0" xfId="51" applyAlignment="1">
      <alignment vertical="center" wrapText="1"/>
    </xf>
    <xf numFmtId="0" fontId="0" fillId="0" borderId="0" xfId="0" applyAlignment="1">
      <alignment vertical="center" wrapText="1"/>
    </xf>
    <xf numFmtId="0" fontId="21" fillId="0" borderId="0" xfId="24" applyFont="1" applyAlignment="1">
      <alignment vertical="center"/>
    </xf>
    <xf numFmtId="0" fontId="21" fillId="0" borderId="0" xfId="24" applyFont="1" applyAlignment="1">
      <alignment vertical="center" wrapText="1"/>
    </xf>
    <xf numFmtId="0" fontId="23" fillId="10" borderId="17" xfId="24" applyFont="1" applyFill="1" applyBorder="1" applyAlignment="1">
      <alignment horizontal="center" vertical="center"/>
    </xf>
    <xf numFmtId="0" fontId="23" fillId="10" borderId="17" xfId="24" applyFont="1" applyFill="1" applyBorder="1" applyAlignment="1">
      <alignment vertical="center"/>
    </xf>
    <xf numFmtId="0" fontId="23" fillId="10" borderId="16" xfId="24" applyFont="1" applyFill="1" applyBorder="1" applyAlignment="1">
      <alignment vertical="center"/>
    </xf>
    <xf numFmtId="0" fontId="24" fillId="0" borderId="16" xfId="24" applyFont="1" applyBorder="1" applyAlignment="1">
      <alignment horizontal="center" vertical="center"/>
    </xf>
    <xf numFmtId="0" fontId="24" fillId="0" borderId="16" xfId="24" applyFont="1" applyBorder="1" applyAlignment="1">
      <alignment vertical="center"/>
    </xf>
    <xf numFmtId="0" fontId="24" fillId="11" borderId="16" xfId="24" applyFont="1" applyFill="1" applyBorder="1" applyAlignment="1">
      <alignment horizontal="left" vertical="center"/>
    </xf>
    <xf numFmtId="0" fontId="24" fillId="0" borderId="24" xfId="24" applyFont="1" applyBorder="1" applyAlignment="1">
      <alignment vertical="center"/>
    </xf>
    <xf numFmtId="9" fontId="24" fillId="0" borderId="16" xfId="24" applyNumberFormat="1" applyFont="1" applyBorder="1" applyAlignment="1">
      <alignment vertical="center"/>
    </xf>
    <xf numFmtId="165" fontId="24" fillId="11" borderId="16" xfId="24" applyNumberFormat="1" applyFont="1" applyFill="1" applyBorder="1" applyAlignment="1">
      <alignment horizontal="left" vertical="center"/>
    </xf>
    <xf numFmtId="10" fontId="24" fillId="11" borderId="16" xfId="50" applyNumberFormat="1" applyFont="1" applyFill="1" applyBorder="1" applyAlignment="1">
      <alignment horizontal="left" vertical="center"/>
    </xf>
    <xf numFmtId="0" fontId="24" fillId="0" borderId="16" xfId="24" applyFont="1" applyBorder="1" applyAlignment="1">
      <alignment horizontal="left" vertical="center" wrapText="1"/>
    </xf>
    <xf numFmtId="0" fontId="24" fillId="0" borderId="18" xfId="24" applyFont="1" applyBorder="1" applyAlignment="1">
      <alignment vertical="center"/>
    </xf>
    <xf numFmtId="0" fontId="24" fillId="0" borderId="16" xfId="24" applyFont="1" applyBorder="1" applyAlignment="1">
      <alignment vertical="center" wrapText="1"/>
    </xf>
    <xf numFmtId="0" fontId="24" fillId="11" borderId="16" xfId="24" applyFont="1" applyFill="1" applyBorder="1" applyAlignment="1">
      <alignment horizontal="left" vertical="center" wrapText="1"/>
    </xf>
    <xf numFmtId="0" fontId="25" fillId="0" borderId="0" xfId="1" applyFont="1" applyAlignment="1">
      <alignment horizontal="center" vertical="center" wrapText="1"/>
    </xf>
    <xf numFmtId="0" fontId="25" fillId="0" borderId="0" xfId="1" applyFont="1" applyAlignment="1">
      <alignment horizontal="center" vertical="center"/>
    </xf>
    <xf numFmtId="176" fontId="25" fillId="0" borderId="16" xfId="1" applyNumberFormat="1" applyFont="1" applyBorder="1" applyAlignment="1">
      <alignment horizontal="center" vertical="center"/>
    </xf>
    <xf numFmtId="0" fontId="25" fillId="0" borderId="16" xfId="1" applyFont="1" applyBorder="1" applyAlignment="1">
      <alignment horizontal="left" vertical="center"/>
    </xf>
    <xf numFmtId="0" fontId="25" fillId="0" borderId="16" xfId="1" applyFont="1" applyBorder="1" applyAlignment="1">
      <alignment horizontal="center" vertical="center"/>
    </xf>
    <xf numFmtId="0" fontId="25" fillId="11" borderId="16" xfId="1" applyFont="1" applyFill="1" applyBorder="1" applyAlignment="1">
      <alignment horizontal="left" vertical="center" wrapText="1"/>
    </xf>
    <xf numFmtId="0" fontId="25" fillId="0" borderId="16" xfId="1" applyFont="1" applyBorder="1" applyAlignment="1">
      <alignment horizontal="left" vertical="center" wrapText="1"/>
    </xf>
    <xf numFmtId="2" fontId="24" fillId="11" borderId="16" xfId="24" applyNumberFormat="1" applyFont="1" applyFill="1" applyBorder="1" applyAlignment="1">
      <alignment horizontal="left" vertical="center" wrapText="1"/>
    </xf>
    <xf numFmtId="0" fontId="24" fillId="11" borderId="24" xfId="24" applyFont="1" applyFill="1" applyBorder="1" applyAlignment="1">
      <alignment horizontal="left" vertical="center" wrapText="1"/>
    </xf>
    <xf numFmtId="176" fontId="24" fillId="11" borderId="16" xfId="24" applyNumberFormat="1" applyFont="1" applyFill="1" applyBorder="1" applyAlignment="1">
      <alignment horizontal="left" vertical="center"/>
    </xf>
    <xf numFmtId="0" fontId="26" fillId="11" borderId="16" xfId="24" applyFont="1" applyFill="1" applyBorder="1" applyAlignment="1">
      <alignment horizontal="left" vertical="center"/>
    </xf>
    <xf numFmtId="0" fontId="27" fillId="12" borderId="0" xfId="19" applyFont="1" applyFill="1" applyAlignment="1">
      <alignment vertical="top"/>
    </xf>
    <xf numFmtId="166" fontId="29" fillId="12" borderId="0" xfId="54" applyFont="1" applyFill="1">
      <alignment vertical="top"/>
    </xf>
    <xf numFmtId="166" fontId="29" fillId="0" borderId="0" xfId="54" applyFont="1" applyFill="1">
      <alignment vertical="top"/>
    </xf>
    <xf numFmtId="166" fontId="30" fillId="0" borderId="0" xfId="54" applyFont="1" applyFill="1">
      <alignment vertical="top"/>
    </xf>
    <xf numFmtId="166" fontId="29" fillId="5" borderId="0" xfId="54" applyFont="1" applyFill="1">
      <alignment vertical="top"/>
    </xf>
    <xf numFmtId="166" fontId="30" fillId="5" borderId="0" xfId="54" applyFont="1" applyFill="1">
      <alignment vertical="top"/>
    </xf>
    <xf numFmtId="0" fontId="31" fillId="5" borderId="0" xfId="54" applyNumberFormat="1" applyFont="1" applyFill="1">
      <alignment vertical="top"/>
    </xf>
    <xf numFmtId="0" fontId="29" fillId="5" borderId="0" xfId="54" applyNumberFormat="1" applyFont="1" applyFill="1">
      <alignment vertical="top"/>
    </xf>
    <xf numFmtId="0" fontId="29" fillId="5" borderId="0" xfId="54" applyNumberFormat="1" applyFont="1" applyFill="1" applyAlignment="1">
      <alignment horizontal="left" vertical="top"/>
    </xf>
    <xf numFmtId="0" fontId="29" fillId="5" borderId="0" xfId="54" applyNumberFormat="1" applyFont="1" applyFill="1" applyAlignment="1">
      <alignment horizontal="left" vertical="center"/>
    </xf>
    <xf numFmtId="177" fontId="29" fillId="5" borderId="0" xfId="37" applyNumberFormat="1" applyFont="1" applyFill="1" applyAlignment="1">
      <alignment horizontal="left" vertical="top"/>
    </xf>
    <xf numFmtId="166" fontId="32" fillId="5" borderId="0" xfId="55" applyNumberFormat="1" applyFill="1" applyAlignment="1">
      <alignment vertical="top"/>
    </xf>
    <xf numFmtId="0" fontId="33" fillId="5" borderId="0" xfId="19" applyFont="1" applyFill="1"/>
    <xf numFmtId="0" fontId="34" fillId="0" borderId="10" xfId="0" applyFont="1" applyBorder="1" applyAlignment="1">
      <alignment vertical="center" wrapText="1"/>
    </xf>
    <xf numFmtId="0" fontId="34" fillId="0" borderId="10" xfId="0" applyFont="1" applyBorder="1" applyAlignment="1">
      <alignment vertical="center"/>
    </xf>
    <xf numFmtId="0" fontId="34" fillId="0" borderId="14" xfId="0" applyFont="1" applyBorder="1" applyAlignment="1">
      <alignment vertical="center" wrapText="1"/>
    </xf>
    <xf numFmtId="0" fontId="34" fillId="0" borderId="0" xfId="0" applyFont="1" applyAlignment="1">
      <alignment vertical="center"/>
    </xf>
    <xf numFmtId="0" fontId="34" fillId="0" borderId="0" xfId="0" applyFont="1"/>
    <xf numFmtId="0" fontId="34" fillId="0" borderId="13" xfId="0" applyFont="1" applyBorder="1"/>
    <xf numFmtId="0" fontId="33" fillId="0" borderId="0" xfId="0" applyFont="1"/>
    <xf numFmtId="0" fontId="35" fillId="0" borderId="0" xfId="0" applyFont="1"/>
    <xf numFmtId="0" fontId="28" fillId="0" borderId="0" xfId="0" applyFont="1" applyAlignment="1">
      <alignment vertical="center" wrapText="1"/>
    </xf>
    <xf numFmtId="0" fontId="33" fillId="0" borderId="0" xfId="0" applyFont="1" applyAlignment="1">
      <alignment vertical="center"/>
    </xf>
    <xf numFmtId="0" fontId="28" fillId="0" borderId="0" xfId="0" applyFont="1" applyAlignment="1">
      <alignment vertical="top" wrapText="1"/>
    </xf>
    <xf numFmtId="0" fontId="36" fillId="0" borderId="0" xfId="0" applyFont="1" applyAlignment="1">
      <alignment wrapText="1"/>
    </xf>
    <xf numFmtId="0" fontId="28" fillId="0" borderId="0" xfId="0" applyFont="1" applyAlignment="1">
      <alignment vertical="center"/>
    </xf>
    <xf numFmtId="172" fontId="33" fillId="0" borderId="0" xfId="0" applyNumberFormat="1" applyFont="1"/>
    <xf numFmtId="10" fontId="33" fillId="0" borderId="0" xfId="50" applyNumberFormat="1" applyFont="1" applyFill="1"/>
    <xf numFmtId="0" fontId="33" fillId="0" borderId="10" xfId="0" applyFont="1" applyBorder="1" applyAlignment="1">
      <alignment vertical="center" wrapText="1"/>
    </xf>
    <xf numFmtId="0" fontId="33" fillId="0" borderId="6" xfId="0" applyFont="1" applyBorder="1" applyAlignment="1">
      <alignment vertical="center" wrapText="1"/>
    </xf>
    <xf numFmtId="0" fontId="33" fillId="0" borderId="2" xfId="0" applyFont="1" applyBorder="1" applyAlignment="1">
      <alignment vertical="center" wrapText="1"/>
    </xf>
    <xf numFmtId="0" fontId="33" fillId="0" borderId="0" xfId="0" applyFont="1" applyAlignment="1">
      <alignment vertical="center" wrapText="1"/>
    </xf>
    <xf numFmtId="0" fontId="33" fillId="0" borderId="13" xfId="0" applyFont="1" applyBorder="1"/>
    <xf numFmtId="165" fontId="33" fillId="0" borderId="0" xfId="0" applyNumberFormat="1" applyFont="1"/>
    <xf numFmtId="0" fontId="28" fillId="0" borderId="13" xfId="0" applyFont="1" applyBorder="1" applyAlignment="1">
      <alignment vertical="center" wrapText="1"/>
    </xf>
    <xf numFmtId="0" fontId="35" fillId="0" borderId="13" xfId="0" applyFont="1" applyBorder="1"/>
    <xf numFmtId="0" fontId="28" fillId="0" borderId="10" xfId="0" applyFont="1" applyBorder="1" applyAlignment="1">
      <alignment vertical="center" wrapText="1"/>
    </xf>
    <xf numFmtId="0" fontId="28" fillId="0" borderId="14" xfId="0" applyFont="1" applyBorder="1" applyAlignment="1">
      <alignment vertical="center" wrapText="1"/>
    </xf>
    <xf numFmtId="0" fontId="37" fillId="0" borderId="0" xfId="0" applyFont="1"/>
    <xf numFmtId="0" fontId="33" fillId="0" borderId="4" xfId="0" applyFont="1" applyBorder="1"/>
    <xf numFmtId="0" fontId="33" fillId="0" borderId="6" xfId="0" applyFont="1" applyBorder="1"/>
    <xf numFmtId="0" fontId="33" fillId="0" borderId="8" xfId="0" applyFont="1" applyBorder="1"/>
    <xf numFmtId="10" fontId="33" fillId="0" borderId="0" xfId="50" applyNumberFormat="1" applyFont="1" applyBorder="1"/>
    <xf numFmtId="10" fontId="33" fillId="0" borderId="10" xfId="50" applyNumberFormat="1" applyFont="1" applyBorder="1"/>
    <xf numFmtId="0" fontId="37" fillId="0" borderId="4" xfId="0" applyFont="1" applyBorder="1"/>
    <xf numFmtId="10" fontId="37" fillId="0" borderId="10" xfId="0" applyNumberFormat="1" applyFont="1" applyBorder="1"/>
    <xf numFmtId="0" fontId="33" fillId="0" borderId="21" xfId="0" applyFont="1" applyBorder="1"/>
    <xf numFmtId="0" fontId="33" fillId="0" borderId="20" xfId="0" applyFont="1" applyBorder="1"/>
    <xf numFmtId="10" fontId="33" fillId="0" borderId="0" xfId="0" applyNumberFormat="1" applyFont="1"/>
    <xf numFmtId="0" fontId="33" fillId="0" borderId="2" xfId="0" applyFont="1" applyBorder="1"/>
    <xf numFmtId="10" fontId="33" fillId="0" borderId="13" xfId="0" applyNumberFormat="1" applyFont="1" applyBorder="1"/>
    <xf numFmtId="10" fontId="33" fillId="0" borderId="8" xfId="50" applyNumberFormat="1" applyFont="1" applyBorder="1"/>
    <xf numFmtId="10" fontId="33" fillId="0" borderId="13" xfId="50" applyNumberFormat="1" applyFont="1" applyBorder="1"/>
    <xf numFmtId="10" fontId="33" fillId="0" borderId="9" xfId="50" applyNumberFormat="1" applyFont="1" applyBorder="1"/>
    <xf numFmtId="10" fontId="33" fillId="0" borderId="14" xfId="50" applyNumberFormat="1" applyFont="1" applyBorder="1"/>
    <xf numFmtId="10" fontId="37" fillId="0" borderId="9" xfId="0" applyNumberFormat="1" applyFont="1" applyBorder="1"/>
    <xf numFmtId="10" fontId="37" fillId="0" borderId="2" xfId="0" applyNumberFormat="1" applyFont="1" applyBorder="1"/>
    <xf numFmtId="175" fontId="37" fillId="8" borderId="1" xfId="50" applyNumberFormat="1" applyFont="1" applyFill="1" applyBorder="1"/>
    <xf numFmtId="175" fontId="33" fillId="0" borderId="0" xfId="50" applyNumberFormat="1" applyFont="1" applyFill="1"/>
    <xf numFmtId="0" fontId="37" fillId="0" borderId="1" xfId="0" applyFont="1" applyBorder="1" applyAlignment="1">
      <alignment vertical="center" wrapText="1"/>
    </xf>
    <xf numFmtId="0" fontId="37" fillId="0" borderId="1" xfId="0" applyFont="1" applyBorder="1" applyAlignment="1">
      <alignment horizontal="center" vertical="center" wrapText="1"/>
    </xf>
    <xf numFmtId="0" fontId="37" fillId="0" borderId="1" xfId="0" applyFont="1" applyBorder="1" applyAlignment="1">
      <alignment vertical="center"/>
    </xf>
    <xf numFmtId="0" fontId="29" fillId="7" borderId="1" xfId="0" applyFont="1" applyFill="1" applyBorder="1" applyAlignment="1">
      <alignment horizontal="left"/>
    </xf>
    <xf numFmtId="10" fontId="29" fillId="7" borderId="1" xfId="50" applyNumberFormat="1" applyFont="1" applyFill="1" applyBorder="1" applyAlignment="1">
      <alignment horizontal="center"/>
    </xf>
    <xf numFmtId="0" fontId="33" fillId="0" borderId="18" xfId="0" applyFont="1" applyBorder="1"/>
    <xf numFmtId="0" fontId="33" fillId="0" borderId="16" xfId="0" applyFont="1" applyBorder="1"/>
    <xf numFmtId="0" fontId="33" fillId="0" borderId="9" xfId="0" applyFont="1" applyBorder="1"/>
    <xf numFmtId="0" fontId="33" fillId="2" borderId="16" xfId="0" applyFont="1" applyFill="1" applyBorder="1"/>
    <xf numFmtId="1" fontId="33" fillId="2" borderId="16" xfId="0" applyNumberFormat="1" applyFont="1" applyFill="1" applyBorder="1"/>
    <xf numFmtId="0" fontId="37" fillId="0" borderId="16" xfId="0" applyFont="1" applyBorder="1"/>
    <xf numFmtId="10" fontId="18" fillId="0" borderId="1" xfId="50" applyNumberFormat="1" applyFont="1" applyBorder="1" applyAlignment="1">
      <alignment horizontal="center"/>
    </xf>
    <xf numFmtId="0" fontId="15" fillId="13" borderId="4" xfId="0" applyFont="1" applyFill="1" applyBorder="1" applyAlignment="1">
      <alignment vertical="center" wrapText="1"/>
    </xf>
    <xf numFmtId="0" fontId="15" fillId="13" borderId="1" xfId="0" applyFont="1" applyFill="1" applyBorder="1" applyAlignment="1">
      <alignment vertical="center" wrapText="1"/>
    </xf>
    <xf numFmtId="0" fontId="15" fillId="13" borderId="16" xfId="0" applyFont="1" applyFill="1" applyBorder="1" applyAlignment="1">
      <alignment vertical="center" wrapText="1"/>
    </xf>
    <xf numFmtId="0" fontId="15" fillId="13" borderId="18" xfId="0" applyFont="1" applyFill="1" applyBorder="1" applyAlignment="1">
      <alignment vertical="center" wrapText="1"/>
    </xf>
    <xf numFmtId="0" fontId="22" fillId="14" borderId="0" xfId="24" applyFont="1" applyFill="1" applyAlignment="1">
      <alignment vertical="center"/>
    </xf>
    <xf numFmtId="0" fontId="21" fillId="14" borderId="0" xfId="24" applyFont="1" applyFill="1" applyAlignment="1">
      <alignment vertical="center"/>
    </xf>
    <xf numFmtId="166" fontId="27" fillId="12" borderId="0" xfId="56" applyFont="1" applyFill="1">
      <alignment vertical="top"/>
    </xf>
    <xf numFmtId="166" fontId="33" fillId="0" borderId="0" xfId="9" applyFont="1" applyAlignment="1"/>
    <xf numFmtId="166" fontId="39" fillId="5" borderId="0" xfId="9" applyFont="1" applyFill="1">
      <alignment vertical="top"/>
    </xf>
    <xf numFmtId="166" fontId="29" fillId="5" borderId="0" xfId="9" applyFont="1" applyFill="1">
      <alignment vertical="top"/>
    </xf>
    <xf numFmtId="166" fontId="28" fillId="5" borderId="0" xfId="9" applyFont="1" applyFill="1">
      <alignment vertical="top"/>
    </xf>
    <xf numFmtId="166" fontId="28" fillId="5" borderId="0" xfId="9" applyFont="1" applyFill="1" applyAlignment="1">
      <alignment horizontal="center" vertical="top"/>
    </xf>
    <xf numFmtId="166" fontId="33" fillId="5" borderId="0" xfId="9" applyFont="1" applyFill="1" applyAlignment="1"/>
    <xf numFmtId="166" fontId="40" fillId="10" borderId="0" xfId="57" applyFont="1" applyFill="1" applyAlignment="1">
      <alignment vertical="center"/>
    </xf>
    <xf numFmtId="166" fontId="41" fillId="5" borderId="0" xfId="9" applyFont="1" applyFill="1">
      <alignment vertical="top"/>
    </xf>
    <xf numFmtId="166" fontId="42" fillId="5" borderId="0" xfId="9" applyFont="1" applyFill="1">
      <alignment vertical="top"/>
    </xf>
    <xf numFmtId="166" fontId="43" fillId="5" borderId="0" xfId="9" applyFont="1" applyFill="1">
      <alignment vertical="top"/>
    </xf>
    <xf numFmtId="166" fontId="35" fillId="5" borderId="0" xfId="9" applyFont="1" applyFill="1" applyAlignment="1">
      <alignment horizontal="centerContinuous" vertical="top"/>
    </xf>
    <xf numFmtId="166" fontId="44" fillId="5" borderId="0" xfId="9" applyFont="1" applyFill="1" applyAlignment="1">
      <alignment horizontal="centerContinuous" vertical="top"/>
    </xf>
    <xf numFmtId="166" fontId="28" fillId="5" borderId="0" xfId="9" applyFont="1" applyFill="1" applyAlignment="1">
      <alignment horizontal="centerContinuous" vertical="top"/>
    </xf>
    <xf numFmtId="166" fontId="45" fillId="5" borderId="0" xfId="9" applyFont="1" applyFill="1" applyAlignment="1">
      <alignment horizontal="centerContinuous" vertical="top"/>
    </xf>
    <xf numFmtId="166" fontId="35" fillId="5" borderId="0" xfId="9" applyFont="1" applyFill="1" applyAlignment="1">
      <alignment horizontal="center" vertical="top"/>
    </xf>
    <xf numFmtId="166" fontId="46" fillId="5" borderId="0" xfId="9" applyFont="1" applyFill="1">
      <alignment vertical="top"/>
    </xf>
    <xf numFmtId="166" fontId="47" fillId="5" borderId="0" xfId="9" applyFont="1" applyFill="1" applyAlignment="1">
      <alignment horizontal="centerContinuous" vertical="top"/>
    </xf>
    <xf numFmtId="166" fontId="43" fillId="5" borderId="0" xfId="9" applyFont="1" applyFill="1" applyAlignment="1">
      <alignment horizontal="centerContinuous" vertical="top"/>
    </xf>
    <xf numFmtId="166" fontId="42" fillId="5" borderId="0" xfId="9" applyFont="1" applyFill="1" applyAlignment="1">
      <alignment horizontal="centerContinuous" vertical="top"/>
    </xf>
    <xf numFmtId="166" fontId="29" fillId="5" borderId="0" xfId="9" applyFont="1" applyFill="1" applyAlignment="1">
      <alignment horizontal="center" vertical="top"/>
    </xf>
    <xf numFmtId="166" fontId="37" fillId="15" borderId="0" xfId="9" applyFont="1" applyFill="1">
      <alignment vertical="top"/>
    </xf>
    <xf numFmtId="166" fontId="37" fillId="15" borderId="0" xfId="9" applyFont="1" applyFill="1" applyAlignment="1">
      <alignment wrapText="1"/>
    </xf>
    <xf numFmtId="166" fontId="37" fillId="15" borderId="0" xfId="9" applyFont="1" applyFill="1" applyAlignment="1">
      <alignment horizontal="left" vertical="center" wrapText="1"/>
    </xf>
    <xf numFmtId="166" fontId="37" fillId="15" borderId="0" xfId="9" applyFont="1" applyFill="1" applyAlignment="1">
      <alignment vertical="top" wrapText="1"/>
    </xf>
    <xf numFmtId="166" fontId="33" fillId="0" borderId="0" xfId="9" applyFont="1">
      <alignment vertical="top"/>
    </xf>
    <xf numFmtId="0" fontId="14" fillId="0" borderId="0" xfId="0" applyFont="1"/>
    <xf numFmtId="10" fontId="37" fillId="0" borderId="6" xfId="0" applyNumberFormat="1" applyFont="1" applyBorder="1"/>
    <xf numFmtId="10" fontId="37" fillId="0" borderId="4" xfId="0" applyNumberFormat="1" applyFont="1" applyBorder="1"/>
    <xf numFmtId="0" fontId="33" fillId="0" borderId="10" xfId="0" applyFont="1" applyBorder="1"/>
    <xf numFmtId="0" fontId="28" fillId="0" borderId="9" xfId="0" applyFont="1" applyBorder="1" applyAlignment="1">
      <alignment vertical="center" wrapText="1"/>
    </xf>
    <xf numFmtId="178" fontId="33" fillId="0" borderId="0" xfId="0" applyNumberFormat="1" applyFont="1"/>
    <xf numFmtId="0" fontId="33" fillId="0" borderId="7" xfId="0" applyFont="1" applyBorder="1"/>
    <xf numFmtId="0" fontId="33" fillId="0" borderId="11" xfId="0" applyFont="1" applyBorder="1"/>
    <xf numFmtId="0" fontId="33" fillId="0" borderId="12" xfId="0" applyFont="1" applyBorder="1"/>
    <xf numFmtId="10" fontId="33" fillId="0" borderId="7" xfId="50" applyNumberFormat="1" applyFont="1" applyBorder="1"/>
    <xf numFmtId="10" fontId="33" fillId="0" borderId="11" xfId="50" applyNumberFormat="1" applyFont="1" applyBorder="1"/>
    <xf numFmtId="10" fontId="33" fillId="0" borderId="12" xfId="50" applyNumberFormat="1" applyFont="1" applyBorder="1"/>
    <xf numFmtId="10" fontId="33" fillId="0" borderId="0" xfId="50" applyNumberFormat="1" applyFont="1"/>
    <xf numFmtId="0" fontId="34" fillId="16" borderId="0" xfId="0" applyFont="1" applyFill="1"/>
    <xf numFmtId="172" fontId="33" fillId="16" borderId="0" xfId="0" applyNumberFormat="1" applyFont="1" applyFill="1"/>
    <xf numFmtId="10" fontId="0" fillId="0" borderId="15" xfId="50" applyNumberFormat="1" applyFont="1" applyBorder="1"/>
    <xf numFmtId="10" fontId="0" fillId="5" borderId="8" xfId="50" applyNumberFormat="1" applyFont="1" applyFill="1" applyBorder="1"/>
    <xf numFmtId="10" fontId="0" fillId="9" borderId="8" xfId="50" applyNumberFormat="1" applyFont="1" applyFill="1" applyBorder="1"/>
    <xf numFmtId="10" fontId="0" fillId="3" borderId="8" xfId="50" applyNumberFormat="1" applyFont="1" applyFill="1" applyBorder="1"/>
    <xf numFmtId="10" fontId="0" fillId="0" borderId="8" xfId="50" applyNumberFormat="1" applyFont="1" applyBorder="1"/>
    <xf numFmtId="10" fontId="0" fillId="3" borderId="9" xfId="50" applyNumberFormat="1" applyFont="1" applyFill="1" applyBorder="1"/>
    <xf numFmtId="0" fontId="12" fillId="0" borderId="15" xfId="0" applyFont="1" applyBorder="1" applyAlignment="1">
      <alignment vertical="center" wrapText="1"/>
    </xf>
    <xf numFmtId="0" fontId="0" fillId="0" borderId="0" xfId="0" applyAlignment="1">
      <alignment vertical="top" wrapText="1"/>
    </xf>
    <xf numFmtId="173" fontId="18" fillId="0" borderId="3" xfId="49" applyNumberFormat="1" applyFont="1" applyBorder="1"/>
    <xf numFmtId="10" fontId="18" fillId="0" borderId="3" xfId="50" applyNumberFormat="1" applyFont="1" applyBorder="1"/>
    <xf numFmtId="10" fontId="18" fillId="0" borderId="3" xfId="50" applyNumberFormat="1" applyFont="1" applyBorder="1" applyAlignment="1">
      <alignment horizontal="center"/>
    </xf>
    <xf numFmtId="0" fontId="18" fillId="0" borderId="1" xfId="0" applyFont="1" applyBorder="1" applyAlignment="1">
      <alignment horizontal="center" vertical="center" wrapText="1"/>
    </xf>
    <xf numFmtId="0" fontId="33" fillId="0" borderId="1" xfId="0" applyFont="1" applyBorder="1" applyAlignment="1">
      <alignment vertical="center" wrapText="1"/>
    </xf>
    <xf numFmtId="0" fontId="33" fillId="0" borderId="1" xfId="0" applyFont="1" applyBorder="1"/>
    <xf numFmtId="10" fontId="33" fillId="0" borderId="1" xfId="50" applyNumberFormat="1" applyFont="1" applyBorder="1"/>
    <xf numFmtId="10" fontId="33" fillId="0" borderId="1" xfId="0" applyNumberFormat="1" applyFont="1" applyBorder="1"/>
    <xf numFmtId="0" fontId="33" fillId="2" borderId="1" xfId="0" applyFont="1" applyFill="1" applyBorder="1"/>
    <xf numFmtId="10" fontId="33" fillId="2" borderId="1" xfId="50" applyNumberFormat="1" applyFont="1" applyFill="1" applyBorder="1"/>
    <xf numFmtId="10" fontId="33" fillId="2" borderId="1" xfId="0" applyNumberFormat="1" applyFont="1" applyFill="1" applyBorder="1"/>
    <xf numFmtId="2" fontId="33" fillId="0" borderId="1" xfId="50" applyNumberFormat="1" applyFont="1" applyBorder="1"/>
    <xf numFmtId="2" fontId="33" fillId="0" borderId="1" xfId="0" applyNumberFormat="1" applyFont="1" applyBorder="1"/>
    <xf numFmtId="0" fontId="37" fillId="0" borderId="1" xfId="0" applyFont="1" applyBorder="1"/>
    <xf numFmtId="10" fontId="37" fillId="0" borderId="1" xfId="0" applyNumberFormat="1" applyFont="1" applyBorder="1"/>
    <xf numFmtId="0" fontId="49" fillId="0" borderId="0" xfId="0" applyFont="1"/>
    <xf numFmtId="0" fontId="37" fillId="0" borderId="18" xfId="0" applyFont="1" applyBorder="1"/>
    <xf numFmtId="2" fontId="33" fillId="2" borderId="16" xfId="0" applyNumberFormat="1" applyFont="1" applyFill="1" applyBorder="1"/>
    <xf numFmtId="0" fontId="15" fillId="0" borderId="1" xfId="0" applyFont="1" applyBorder="1"/>
    <xf numFmtId="2" fontId="15" fillId="0" borderId="1" xfId="50" applyNumberFormat="1" applyFont="1" applyBorder="1"/>
    <xf numFmtId="179" fontId="33" fillId="2" borderId="1" xfId="0" applyNumberFormat="1" applyFont="1" applyFill="1" applyBorder="1"/>
    <xf numFmtId="8" fontId="0" fillId="0" borderId="0" xfId="0" applyNumberFormat="1"/>
    <xf numFmtId="174" fontId="16" fillId="0" borderId="1" xfId="0" applyNumberFormat="1" applyFont="1" applyBorder="1"/>
    <xf numFmtId="180" fontId="16" fillId="0" borderId="1" xfId="0" applyNumberFormat="1" applyFont="1" applyBorder="1"/>
    <xf numFmtId="174" fontId="16" fillId="16" borderId="1" xfId="0" applyNumberFormat="1" applyFont="1" applyFill="1" applyBorder="1"/>
    <xf numFmtId="1" fontId="0" fillId="0" borderId="0" xfId="0" applyNumberFormat="1"/>
    <xf numFmtId="0" fontId="36" fillId="0" borderId="0" xfId="0" applyFont="1"/>
    <xf numFmtId="0" fontId="33" fillId="0" borderId="14" xfId="0" applyFont="1" applyBorder="1"/>
    <xf numFmtId="0" fontId="50" fillId="0" borderId="0" xfId="24" applyFont="1" applyAlignment="1">
      <alignment vertical="center"/>
    </xf>
    <xf numFmtId="1" fontId="24" fillId="11" borderId="16" xfId="24" applyNumberFormat="1" applyFont="1" applyFill="1" applyBorder="1" applyAlignment="1">
      <alignment horizontal="left" vertical="center"/>
    </xf>
    <xf numFmtId="0" fontId="51" fillId="14" borderId="0" xfId="24" applyFont="1" applyFill="1" applyAlignment="1">
      <alignment vertical="center"/>
    </xf>
    <xf numFmtId="0" fontId="25" fillId="11" borderId="16" xfId="1" applyFont="1" applyFill="1" applyBorder="1" applyAlignment="1">
      <alignment horizontal="left" vertical="top" wrapText="1"/>
    </xf>
    <xf numFmtId="0" fontId="33" fillId="0" borderId="1" xfId="0" applyFont="1" applyBorder="1" applyAlignment="1">
      <alignment horizontal="left"/>
    </xf>
    <xf numFmtId="0" fontId="37" fillId="0" borderId="1" xfId="0" applyFont="1" applyBorder="1" applyAlignment="1">
      <alignment horizontal="left" vertical="center"/>
    </xf>
    <xf numFmtId="0" fontId="37" fillId="7" borderId="4" xfId="0" applyFont="1" applyFill="1" applyBorder="1" applyAlignment="1">
      <alignment horizontal="center"/>
    </xf>
    <xf numFmtId="0" fontId="37" fillId="7" borderId="6" xfId="0" applyFont="1" applyFill="1" applyBorder="1" applyAlignment="1">
      <alignment horizontal="center"/>
    </xf>
    <xf numFmtId="0" fontId="37" fillId="7" borderId="2" xfId="0" applyFont="1" applyFill="1" applyBorder="1" applyAlignment="1">
      <alignment horizontal="center"/>
    </xf>
    <xf numFmtId="0" fontId="37" fillId="2" borderId="4" xfId="0" applyFont="1" applyFill="1" applyBorder="1" applyAlignment="1">
      <alignment horizontal="center"/>
    </xf>
    <xf numFmtId="0" fontId="37" fillId="2" borderId="6" xfId="0" applyFont="1" applyFill="1" applyBorder="1" applyAlignment="1">
      <alignment horizontal="center"/>
    </xf>
    <xf numFmtId="0" fontId="37" fillId="3" borderId="4" xfId="0" applyFont="1" applyFill="1" applyBorder="1" applyAlignment="1">
      <alignment horizontal="center"/>
    </xf>
    <xf numFmtId="0" fontId="37" fillId="3" borderId="6" xfId="0" applyFont="1" applyFill="1" applyBorder="1" applyAlignment="1">
      <alignment horizontal="center"/>
    </xf>
    <xf numFmtId="0" fontId="37" fillId="3" borderId="2" xfId="0" applyFont="1" applyFill="1" applyBorder="1" applyAlignment="1">
      <alignment horizontal="center"/>
    </xf>
    <xf numFmtId="0" fontId="37" fillId="2" borderId="2" xfId="0" applyFont="1" applyFill="1" applyBorder="1" applyAlignment="1">
      <alignment horizontal="center"/>
    </xf>
    <xf numFmtId="0" fontId="37" fillId="17" borderId="4" xfId="0" applyFont="1" applyFill="1" applyBorder="1" applyAlignment="1">
      <alignment horizontal="center"/>
    </xf>
    <xf numFmtId="0" fontId="37" fillId="17" borderId="6" xfId="0" applyFont="1" applyFill="1" applyBorder="1" applyAlignment="1">
      <alignment horizontal="center"/>
    </xf>
    <xf numFmtId="0" fontId="37" fillId="17" borderId="2" xfId="0" applyFont="1" applyFill="1" applyBorder="1" applyAlignment="1">
      <alignment horizontal="center"/>
    </xf>
    <xf numFmtId="0" fontId="33" fillId="0" borderId="1" xfId="0" applyFont="1" applyBorder="1" applyAlignment="1">
      <alignment horizontal="left" vertical="center" wrapText="1"/>
    </xf>
    <xf numFmtId="0" fontId="37" fillId="8" borderId="4" xfId="0" applyFont="1" applyFill="1" applyBorder="1" applyAlignment="1">
      <alignment horizontal="left"/>
    </xf>
    <xf numFmtId="0" fontId="37" fillId="8" borderId="2" xfId="0" applyFont="1" applyFill="1" applyBorder="1" applyAlignment="1">
      <alignment horizontal="left"/>
    </xf>
    <xf numFmtId="0" fontId="33" fillId="0" borderId="1" xfId="0" applyFont="1" applyBorder="1" applyAlignment="1">
      <alignment horizontal="center" vertical="center" wrapText="1"/>
    </xf>
    <xf numFmtId="0" fontId="23" fillId="10" borderId="18" xfId="24" applyFont="1" applyFill="1" applyBorder="1" applyAlignment="1">
      <alignment horizontal="left" vertical="center"/>
    </xf>
    <xf numFmtId="0" fontId="23" fillId="10" borderId="19" xfId="24" applyFont="1" applyFill="1" applyBorder="1" applyAlignment="1">
      <alignment horizontal="left" vertical="center"/>
    </xf>
    <xf numFmtId="0" fontId="25" fillId="11" borderId="17" xfId="1" applyFont="1" applyFill="1" applyBorder="1" applyAlignment="1">
      <alignment horizontal="center" vertical="center" wrapText="1"/>
    </xf>
    <xf numFmtId="0" fontId="25" fillId="11" borderId="25" xfId="1" applyFont="1" applyFill="1" applyBorder="1" applyAlignment="1">
      <alignment horizontal="center" vertical="center" wrapText="1"/>
    </xf>
    <xf numFmtId="0" fontId="25" fillId="11" borderId="24" xfId="1" applyFont="1" applyFill="1" applyBorder="1" applyAlignment="1">
      <alignment horizontal="center" vertical="center" wrapText="1"/>
    </xf>
    <xf numFmtId="0" fontId="25" fillId="0" borderId="17" xfId="1" applyFont="1" applyBorder="1" applyAlignment="1">
      <alignment horizontal="center" vertical="center" wrapText="1"/>
    </xf>
    <xf numFmtId="0" fontId="25" fillId="0" borderId="25" xfId="1" applyFont="1" applyBorder="1" applyAlignment="1">
      <alignment horizontal="center" vertical="center" wrapText="1"/>
    </xf>
    <xf numFmtId="0" fontId="25" fillId="0" borderId="24" xfId="1" applyFont="1" applyBorder="1" applyAlignment="1">
      <alignment horizontal="center" vertical="center" wrapText="1"/>
    </xf>
    <xf numFmtId="0" fontId="25" fillId="0" borderId="17" xfId="1" applyFont="1" applyBorder="1" applyAlignment="1">
      <alignment horizontal="center" vertical="center"/>
    </xf>
    <xf numFmtId="0" fontId="25" fillId="0" borderId="25" xfId="1" applyFont="1" applyBorder="1" applyAlignment="1">
      <alignment horizontal="center" vertical="center"/>
    </xf>
    <xf numFmtId="0" fontId="25" fillId="0" borderId="24" xfId="1" applyFont="1" applyBorder="1" applyAlignment="1">
      <alignment horizontal="center" vertical="center"/>
    </xf>
    <xf numFmtId="0" fontId="25" fillId="11" borderId="17" xfId="1" applyFont="1" applyFill="1" applyBorder="1" applyAlignment="1">
      <alignment horizontal="left" vertical="top" wrapText="1"/>
    </xf>
    <xf numFmtId="0" fontId="25" fillId="11" borderId="25" xfId="1" applyFont="1" applyFill="1" applyBorder="1" applyAlignment="1">
      <alignment horizontal="left" vertical="top" wrapText="1"/>
    </xf>
    <xf numFmtId="0" fontId="25" fillId="11" borderId="24" xfId="1" applyFont="1" applyFill="1" applyBorder="1" applyAlignment="1">
      <alignment horizontal="left" vertical="top" wrapText="1"/>
    </xf>
    <xf numFmtId="0" fontId="21" fillId="8" borderId="0" xfId="24" applyFont="1" applyFill="1" applyAlignment="1">
      <alignment horizontal="center" vertical="center" wrapText="1"/>
    </xf>
    <xf numFmtId="0" fontId="19" fillId="7" borderId="16" xfId="0" applyFont="1" applyFill="1" applyBorder="1" applyAlignment="1">
      <alignment horizontal="center" vertical="center" wrapText="1"/>
    </xf>
    <xf numFmtId="0" fontId="19" fillId="7" borderId="18" xfId="0" applyFont="1" applyFill="1" applyBorder="1" applyAlignment="1">
      <alignment horizontal="center" vertical="center" wrapText="1"/>
    </xf>
    <xf numFmtId="0" fontId="19" fillId="2" borderId="16" xfId="0" applyFont="1" applyFill="1" applyBorder="1" applyAlignment="1">
      <alignment horizontal="center" vertical="center"/>
    </xf>
    <xf numFmtId="0" fontId="19" fillId="8" borderId="4" xfId="0" applyFont="1" applyFill="1" applyBorder="1" applyAlignment="1">
      <alignment horizontal="center" vertical="center"/>
    </xf>
    <xf numFmtId="0" fontId="19" fillId="8" borderId="6" xfId="0" applyFont="1" applyFill="1" applyBorder="1" applyAlignment="1">
      <alignment horizontal="center" vertical="center"/>
    </xf>
    <xf numFmtId="1" fontId="53" fillId="0" borderId="1" xfId="0" applyNumberFormat="1" applyFont="1" applyBorder="1" applyAlignment="1">
      <alignment horizontal="center" vertical="top" wrapText="1"/>
    </xf>
    <xf numFmtId="0" fontId="52" fillId="0" borderId="15" xfId="0" applyFont="1" applyBorder="1" applyAlignment="1">
      <alignment horizontal="center" vertical="top"/>
    </xf>
    <xf numFmtId="0" fontId="52" fillId="0" borderId="3" xfId="0" applyFont="1" applyBorder="1" applyAlignment="1">
      <alignment horizontal="center" vertical="top"/>
    </xf>
  </cellXfs>
  <cellStyles count="61">
    <cellStyle name="Accent3 - 40%" xfId="4" xr:uid="{9703113D-50F5-4E58-AC8D-5CB7753BED5D}"/>
    <cellStyle name="Comma" xfId="49" builtinId="3"/>
    <cellStyle name="Comma 2" xfId="25" xr:uid="{73A757C1-99DC-45B9-94F4-B7E68777D6F0}"/>
    <cellStyle name="Comma 2 2" xfId="28" xr:uid="{F970F9D3-B182-4AEE-9AD8-89821FF9C2EA}"/>
    <cellStyle name="Comma 3" xfId="27" xr:uid="{6A85A001-785D-47C4-B5AB-DCE13B9BE157}"/>
    <cellStyle name="Comma 4" xfId="18" xr:uid="{FC6EFF3F-59BD-40A9-861E-E82171CED7AA}"/>
    <cellStyle name="DateLong" xfId="36" xr:uid="{83221AB6-0B27-4AA3-907D-D3992E25FF4A}"/>
    <cellStyle name="DateShort" xfId="32" xr:uid="{557A3F17-8A02-409A-BE1C-45513CF209E7}"/>
    <cellStyle name="Factor" xfId="35" xr:uid="{443218B4-D99D-410C-AAB1-CFC9B49FAC30}"/>
    <cellStyle name="Hyperlink" xfId="51" builtinId="8"/>
    <cellStyle name="Hyperlink 2" xfId="55" xr:uid="{53F5CC50-224E-40EB-BF17-F99ECDF646E4}"/>
    <cellStyle name="Hyperlink 3" xfId="59" xr:uid="{3B8D4FB1-3735-4808-B63C-734B73536140}"/>
    <cellStyle name="Normal" xfId="0" builtinId="0"/>
    <cellStyle name="Normal 10" xfId="5" xr:uid="{939C3AB3-D512-446C-A15F-EBA82081FC66}"/>
    <cellStyle name="Normal 10 2" xfId="8" xr:uid="{FF1CD0A2-B52D-4D04-8582-CB471D9AC212}"/>
    <cellStyle name="Normal 10 3" xfId="21" xr:uid="{8C056441-07A8-427C-BC9A-43539C5092A8}"/>
    <cellStyle name="Normal 10 4" xfId="43" xr:uid="{133E9D2E-B989-4029-A689-5567F7C4011B}"/>
    <cellStyle name="Normal 10 5" xfId="12" xr:uid="{FFCF7E70-584F-45D3-B55A-636BB5999B96}"/>
    <cellStyle name="Normal 10 6" xfId="48" xr:uid="{CA62F624-3DEB-4B0D-ABAB-6BE6B83D7924}"/>
    <cellStyle name="Normal 11" xfId="45" xr:uid="{89B6C451-1514-4D3A-937C-F536ECB5C3EE}"/>
    <cellStyle name="Normal 12" xfId="29" xr:uid="{E5DEA537-54AE-4052-B182-1B8200DC7C12}"/>
    <cellStyle name="Normal 13" xfId="47" xr:uid="{AFE68663-A8E4-4787-8368-22CEA43DBE0D}"/>
    <cellStyle name="Normal 14" xfId="46" xr:uid="{E3C2C02B-148B-4107-AE7F-8813CC6B6E97}"/>
    <cellStyle name="Normal 15" xfId="15" xr:uid="{36156386-5684-46CA-9837-598C00E3912E}"/>
    <cellStyle name="Normal 16" xfId="58" xr:uid="{E45288A0-0650-4989-8A8E-A2D5E4D9A58C}"/>
    <cellStyle name="Normal 2" xfId="2" xr:uid="{AB27FEA2-F4D2-422A-9C47-A28AB059537E}"/>
    <cellStyle name="Normal 2 2" xfId="1" xr:uid="{2F687AFC-9164-4B50-A4C8-68D48D816894}"/>
    <cellStyle name="Normal 2 3" xfId="19" xr:uid="{0CE4AB86-1F3C-4B9A-8CE3-D206384E6BE9}"/>
    <cellStyle name="Normal 2 3 2" xfId="54" xr:uid="{540D10C0-C32B-445C-8072-F660123121EF}"/>
    <cellStyle name="Normal 2 4" xfId="41" xr:uid="{DC2EBDCA-4380-4C5A-AEC6-F8D218FBC722}"/>
    <cellStyle name="Normal 2 4 2" xfId="53" xr:uid="{6C015E96-7ABF-41A9-AF42-44FA0154BCA7}"/>
    <cellStyle name="Normal 2 5" xfId="10" xr:uid="{04D1ED47-3676-4EFE-BFA6-59A959069993}"/>
    <cellStyle name="Normal 2 6" xfId="6" xr:uid="{2DE9A6DC-4E91-4622-8F4A-C8E42D7738AE}"/>
    <cellStyle name="Normal 20" xfId="23" xr:uid="{987CB8AC-E3B9-4840-B46C-20AF562F67A5}"/>
    <cellStyle name="Normal 3" xfId="24" xr:uid="{80622877-81C7-4067-9536-837C11836489}"/>
    <cellStyle name="Normal 30" xfId="31" xr:uid="{30F1B43D-7D58-412A-B9DA-F35A527C9F92}"/>
    <cellStyle name="Normal 4" xfId="38" xr:uid="{F5F39423-86C1-4449-8BD1-DB01DD8828BA}"/>
    <cellStyle name="Normal 5" xfId="39" xr:uid="{E2E95D9C-9D52-4310-9F3E-EBA6E095D799}"/>
    <cellStyle name="Normal 6" xfId="34" xr:uid="{3A53D7A5-D199-41A7-B77C-959ECC8F65D8}"/>
    <cellStyle name="Normal 6 2" xfId="33" xr:uid="{743F33C9-9082-4BB6-8130-50778E5C42AD}"/>
    <cellStyle name="Normal 7" xfId="40" xr:uid="{D7B13B1E-4E5C-42DE-ACF5-044F5EDE565E}"/>
    <cellStyle name="Normal 7 2" xfId="56" xr:uid="{CAD9E97D-1FE1-409A-B81A-FDCA4F538B42}"/>
    <cellStyle name="Normal 7 2 2" xfId="57" xr:uid="{B7B759B3-E525-41F9-A9BD-35179F15407F}"/>
    <cellStyle name="Normal 7 2 3" xfId="30" xr:uid="{AFFC95CA-AFF6-43C1-AA23-D318528B75C5}"/>
    <cellStyle name="Normal 8" xfId="9" xr:uid="{B2E24CFC-82A9-4923-ACD1-BEBBBFF026F4}"/>
    <cellStyle name="Normal 87" xfId="26" xr:uid="{6E309C3B-2875-4F7D-8F12-7BE8E5B3E4A4}"/>
    <cellStyle name="Normal 87 2" xfId="7" xr:uid="{D99D75C8-CF94-44B2-A597-80FA2583A58F}"/>
    <cellStyle name="Normal 87 2 2" xfId="22" xr:uid="{543E04E4-CD7E-4F15-B4B0-B07EBFC1A35E}"/>
    <cellStyle name="Normal 87 2 3" xfId="44" xr:uid="{4B6FD015-B764-46E7-A989-DA16C4677D86}"/>
    <cellStyle name="Normal 87 2 4" xfId="14" xr:uid="{16EF7DC5-9B3D-4EB1-BD3A-8BD445FF1159}"/>
    <cellStyle name="Normal 88" xfId="3" xr:uid="{6A1917D5-E555-4F1B-98D1-B062F0E4BB59}"/>
    <cellStyle name="Normal 88 2" xfId="20" xr:uid="{CCB035C9-E3DB-497A-8D1C-19900C4F05B6}"/>
    <cellStyle name="Normal 88 3" xfId="42" xr:uid="{BCBD09FD-8B1A-4543-8596-5B74A76AB1D5}"/>
    <cellStyle name="Normal 88 4" xfId="11" xr:uid="{448AC555-275D-41C3-B7D1-D822F977880D}"/>
    <cellStyle name="Normal 9" xfId="13" xr:uid="{6341637B-4B02-489F-9962-4FF39C38EB21}"/>
    <cellStyle name="Normal 9 2" xfId="52" xr:uid="{4F10985D-2614-45B7-8F54-C9CEE267A156}"/>
    <cellStyle name="Per cent 2" xfId="60" xr:uid="{0B56D6BE-CB3F-48FD-AF9F-59B052D5882D}"/>
    <cellStyle name="Percent" xfId="50" builtinId="5"/>
    <cellStyle name="Percent 2" xfId="17" xr:uid="{9D8CCEBD-7668-4DDC-9E78-7137494E1A64}"/>
    <cellStyle name="Percent 3" xfId="16" xr:uid="{2CAA52A5-F909-4A4F-AEBA-B46C4C3B151D}"/>
    <cellStyle name="Year" xfId="37" xr:uid="{4892A8D4-7B10-4113-A687-31DBF537349C}"/>
  </cellStyles>
  <dxfs count="86">
    <dxf>
      <fill>
        <patternFill>
          <bgColor theme="5" tint="0.79998168889431442"/>
        </patternFill>
      </fill>
    </dxf>
    <dxf>
      <fill>
        <patternFill>
          <bgColor theme="9" tint="0.7999816888943144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5" tint="0.79998168889431442"/>
        </patternFill>
      </fill>
    </dxf>
  </dxfs>
  <tableStyles count="0" defaultTableStyle="TableStyleMedium2" defaultPivotStyle="PivotStyleLight16"/>
  <colors>
    <mruColors>
      <color rgb="FFCCCCCE"/>
      <color rgb="FFCCCCFF"/>
      <color rgb="FFFFCCCC"/>
      <color rgb="FFFFCCFF"/>
      <color rgb="FFFF99FF"/>
      <color rgb="FFFF66FF"/>
      <color rgb="FFFFDB8E"/>
      <color rgb="FF98C5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 Id="rId27" Type="http://schemas.openxmlformats.org/officeDocument/2006/relationships/powerPivotData" Target="model/item.data"/><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619941</xdr:colOff>
      <xdr:row>13</xdr:row>
      <xdr:rowOff>74839</xdr:rowOff>
    </xdr:from>
    <xdr:to>
      <xdr:col>8</xdr:col>
      <xdr:colOff>519620</xdr:colOff>
      <xdr:row>108</xdr:row>
      <xdr:rowOff>57151</xdr:rowOff>
    </xdr:to>
    <xdr:sp macro="" textlink="">
      <xdr:nvSpPr>
        <xdr:cNvPr id="2" name="TextBox 2">
          <a:extLst>
            <a:ext uri="{FF2B5EF4-FFF2-40B4-BE49-F238E27FC236}">
              <a16:creationId xmlns:a16="http://schemas.microsoft.com/office/drawing/2014/main" id="{61D7E630-546A-444F-BD8E-E0B667CBA865}"/>
            </a:ext>
          </a:extLst>
        </xdr:cNvPr>
        <xdr:cNvSpPr txBox="1"/>
      </xdr:nvSpPr>
      <xdr:spPr>
        <a:xfrm>
          <a:off x="581841" y="2475139"/>
          <a:ext cx="8857941" cy="13469711"/>
        </a:xfrm>
        <a:prstGeom prst="rect">
          <a:avLst/>
        </a:prstGeom>
        <a:noFill/>
        <a:ln>
          <a:noFill/>
        </a:ln>
      </xdr:spPr>
      <xdr:txBody>
        <a:bodyPr lIns="27432" tIns="22860" rIns="0" bIns="0" rtlCol="0"/>
        <a:lstStyle/>
        <a:p>
          <a:pPr algn="l"/>
          <a:r>
            <a:rPr lang="en-US" sz="1100" b="1">
              <a:solidFill>
                <a:srgbClr val="002060"/>
              </a:solidFill>
              <a:latin typeface="+mn-lt"/>
            </a:rPr>
            <a:t>Summary of the model:</a:t>
          </a:r>
          <a:endParaRPr lang="en-US" sz="1100">
            <a:solidFill>
              <a:srgbClr val="002060"/>
            </a:solidFill>
          </a:endParaRPr>
        </a:p>
        <a:p>
          <a:pPr algn="l"/>
          <a:endParaRPr lang="en-US" sz="1000" b="1">
            <a:solidFill>
              <a:srgbClr val="000000"/>
            </a:solidFill>
            <a:latin typeface="+mn-lt"/>
          </a:endParaRPr>
        </a:p>
        <a:p>
          <a:pPr algn="l"/>
          <a:r>
            <a:rPr lang="en-US" sz="1000">
              <a:latin typeface="+mn-lt"/>
            </a:rPr>
            <a:t>This</a:t>
          </a:r>
          <a:r>
            <a:rPr lang="en-US" sz="1000" baseline="0">
              <a:latin typeface="+mn-lt"/>
            </a:rPr>
            <a:t> </a:t>
          </a:r>
          <a:r>
            <a:rPr lang="en-US" sz="1000" baseline="0">
              <a:latin typeface="+mn-lt"/>
              <a:ea typeface="+mn-ea"/>
              <a:cs typeface="+mn-cs"/>
            </a:rPr>
            <a:t>model </a:t>
          </a:r>
          <a:r>
            <a:rPr lang="en-GB" sz="1000" baseline="0">
              <a:latin typeface="+mn-lt"/>
              <a:ea typeface="+mn-ea"/>
              <a:cs typeface="+mn-cs"/>
            </a:rPr>
            <a:t>calculates the mains replacement adjustment to base costs allowances to target improving mains asset health condition. It also includes our written assessment of the submitted mains replacement cost adjustment claims.</a:t>
          </a:r>
        </a:p>
        <a:p>
          <a:pPr algn="l"/>
          <a:endParaRPr lang="en-US" sz="1000">
            <a:latin typeface="+mn-lt"/>
          </a:endParaRPr>
        </a:p>
        <a:p>
          <a:pPr algn="l"/>
          <a:r>
            <a:rPr lang="en-US" sz="1100" b="1">
              <a:solidFill>
                <a:srgbClr val="002060"/>
              </a:solidFill>
              <a:latin typeface="+mn-lt"/>
            </a:rPr>
            <a:t>Quality assurance: </a:t>
          </a:r>
        </a:p>
        <a:p>
          <a:pPr algn="l"/>
          <a:endParaRPr lang="en-US" sz="1000">
            <a:latin typeface="+mn-lt"/>
          </a:endParaRPr>
        </a:p>
        <a:p>
          <a:pPr algn="l"/>
          <a:r>
            <a:rPr lang="en-US" sz="1000">
              <a:latin typeface="+mn-lt"/>
            </a:rPr>
            <a:t>The file has been reviewed internally and by our delivery partner.</a:t>
          </a:r>
        </a:p>
        <a:p>
          <a:pPr algn="l"/>
          <a:endParaRPr lang="en-US" sz="10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100" b="1">
              <a:solidFill>
                <a:srgbClr val="002060"/>
              </a:solidFill>
              <a:effectLst/>
              <a:latin typeface="+mn-lt"/>
              <a:ea typeface="+mn-ea"/>
              <a:cs typeface="+mn-cs"/>
            </a:rPr>
            <a:t>Contents:</a:t>
          </a:r>
        </a:p>
        <a:p>
          <a:pPr algn="l"/>
          <a:endParaRPr lang="en-US" sz="1000">
            <a:latin typeface="+mn-lt"/>
            <a:ea typeface="+mn-ea"/>
            <a:cs typeface="+mn-cs"/>
          </a:endParaRPr>
        </a:p>
        <a:p>
          <a:pPr algn="l"/>
          <a:r>
            <a:rPr lang="en-GB" sz="1000" b="1">
              <a:latin typeface="+mn-lt"/>
              <a:ea typeface="+mn-ea"/>
              <a:cs typeface="+mn-cs"/>
            </a:rPr>
            <a:t>Inputs</a:t>
          </a:r>
          <a:r>
            <a:rPr lang="en-GB" sz="1000">
              <a:latin typeface="+mn-lt"/>
              <a:ea typeface="+mn-ea"/>
              <a:cs typeface="+mn-cs"/>
            </a:rPr>
            <a:t>:</a:t>
          </a:r>
        </a:p>
        <a:p>
          <a:pPr algn="l"/>
          <a:r>
            <a:rPr lang="en-GB" sz="1000" baseline="0">
              <a:latin typeface="+mn-lt"/>
              <a:ea typeface="+mn-ea"/>
              <a:cs typeface="+mn-cs"/>
            </a:rPr>
            <a:t>PR09 CG Data: Mains condition grade data submitted by companies at PR09</a:t>
          </a:r>
        </a:p>
        <a:p>
          <a:pPr algn="l"/>
          <a:r>
            <a:rPr lang="en-GB" sz="1000" baseline="0">
              <a:latin typeface="+mn-lt"/>
              <a:ea typeface="+mn-ea"/>
              <a:cs typeface="+mn-cs"/>
            </a:rPr>
            <a:t>PR24 forecast: Company PR24 business plan forecast data relating to mains replacements</a:t>
          </a:r>
        </a:p>
        <a:p>
          <a:pPr algn="l"/>
          <a:r>
            <a:rPr lang="en-GB" sz="1000" baseline="0">
              <a:latin typeface="+mn-lt"/>
              <a:ea typeface="+mn-ea"/>
              <a:cs typeface="+mn-cs"/>
            </a:rPr>
            <a:t>Base_Enh_PR24Query: Responses to an all company query to split mains renewals by base and enhancement (historical and forecast)</a:t>
          </a:r>
        </a:p>
        <a:p>
          <a:pPr algn="l"/>
          <a:endParaRPr lang="en-GB" sz="1000" baseline="0">
            <a:latin typeface="+mn-lt"/>
            <a:ea typeface="+mn-ea"/>
            <a:cs typeface="+mn-cs"/>
          </a:endParaRPr>
        </a:p>
        <a:p>
          <a:pPr algn="l"/>
          <a:r>
            <a:rPr lang="en-GB" sz="1000" b="1" baseline="0">
              <a:latin typeface="+mn-lt"/>
              <a:ea typeface="+mn-ea"/>
              <a:cs typeface="+mn-cs"/>
            </a:rPr>
            <a:t>What base buys:</a:t>
          </a:r>
        </a:p>
        <a:p>
          <a:pPr algn="l"/>
          <a:r>
            <a:rPr lang="en-GB" sz="1000" b="0" baseline="0">
              <a:latin typeface="+mn-lt"/>
              <a:ea typeface="+mn-ea"/>
              <a:cs typeface="+mn-cs"/>
            </a:rPr>
            <a:t>Renewal rates: Summary of replacement rates</a:t>
          </a:r>
        </a:p>
        <a:p>
          <a:pPr algn="l"/>
          <a:r>
            <a:rPr lang="en-GB" sz="1000" b="0" baseline="0">
              <a:latin typeface="+mn-lt"/>
              <a:ea typeface="+mn-ea"/>
              <a:cs typeface="+mn-cs"/>
            </a:rPr>
            <a:t>PR09 vs PR24: Comparison of PR09 and PR24 condition grade data</a:t>
          </a:r>
        </a:p>
        <a:p>
          <a:pPr algn="l"/>
          <a:r>
            <a:rPr lang="en-GB" sz="1000" b="0" baseline="0">
              <a:latin typeface="+mn-lt"/>
              <a:ea typeface="+mn-ea"/>
              <a:cs typeface="+mn-cs"/>
            </a:rPr>
            <a:t>CG uplift: Calculation of the allowance adjustment </a:t>
          </a:r>
        </a:p>
        <a:p>
          <a:pPr algn="l"/>
          <a:endParaRPr lang="en-GB" sz="1000" b="0" baseline="0">
            <a:latin typeface="+mn-lt"/>
            <a:ea typeface="+mn-ea"/>
            <a:cs typeface="+mn-cs"/>
          </a:endParaRPr>
        </a:p>
        <a:p>
          <a:pPr algn="l"/>
          <a:r>
            <a:rPr lang="en-GB" sz="1000" b="1" baseline="0">
              <a:latin typeface="+mn-lt"/>
              <a:ea typeface="+mn-ea"/>
              <a:cs typeface="+mn-cs"/>
            </a:rPr>
            <a:t>Unit costs:</a:t>
          </a:r>
        </a:p>
        <a:p>
          <a:pPr algn="l"/>
          <a:r>
            <a:rPr lang="en-GB" sz="1000" b="0" baseline="0">
              <a:latin typeface="+mn-lt"/>
              <a:ea typeface="+mn-ea"/>
              <a:cs typeface="+mn-cs"/>
            </a:rPr>
            <a:t>Unit costs: Summary of available unit cost data used to inform adjustment</a:t>
          </a:r>
        </a:p>
        <a:p>
          <a:pPr algn="l"/>
          <a:endParaRPr lang="en-GB" sz="1000" b="0" baseline="0">
            <a:latin typeface="+mn-lt"/>
            <a:ea typeface="+mn-ea"/>
            <a:cs typeface="+mn-cs"/>
          </a:endParaRPr>
        </a:p>
        <a:p>
          <a:pPr algn="l"/>
          <a:r>
            <a:rPr lang="en-GB" sz="1000" b="1" baseline="0">
              <a:latin typeface="+mn-lt"/>
              <a:ea typeface="+mn-ea"/>
              <a:cs typeface="+mn-cs"/>
            </a:rPr>
            <a:t>Outputs:</a:t>
          </a:r>
        </a:p>
        <a:p>
          <a:pPr algn="l"/>
          <a:r>
            <a:rPr lang="en-GB" sz="1000" b="0" baseline="0">
              <a:latin typeface="+mn-lt"/>
              <a:ea typeface="+mn-ea"/>
              <a:cs typeface="+mn-cs"/>
            </a:rPr>
            <a:t>Base adjustment: Summary of final renewal rates and base cost allowances adjustments</a:t>
          </a:r>
        </a:p>
        <a:p>
          <a:pPr algn="l"/>
          <a:endParaRPr lang="en-GB" sz="1000" b="0" baseline="0">
            <a:latin typeface="+mn-lt"/>
            <a:ea typeface="+mn-ea"/>
            <a:cs typeface="+mn-cs"/>
          </a:endParaRPr>
        </a:p>
        <a:p>
          <a:pPr algn="l"/>
          <a:r>
            <a:rPr lang="en-GB" sz="1000" b="1" baseline="0">
              <a:latin typeface="+mn-lt"/>
              <a:ea typeface="+mn-ea"/>
              <a:cs typeface="+mn-cs"/>
            </a:rPr>
            <a:t>CAC assessments:</a:t>
          </a:r>
        </a:p>
        <a:p>
          <a:pPr algn="l"/>
          <a:r>
            <a:rPr lang="en-GB" sz="1000" b="0" baseline="0">
              <a:latin typeface="+mn-lt"/>
              <a:ea typeface="+mn-ea"/>
              <a:cs typeface="+mn-cs"/>
            </a:rPr>
            <a:t>Written assessment of cost adjustment claims submitted by Northumbrian Water, Thames Water, Wessex Water and Yorkshire Water</a:t>
          </a:r>
        </a:p>
        <a:p>
          <a:pPr algn="l"/>
          <a:endParaRPr lang="en-US" sz="1000" b="1">
            <a:solidFill>
              <a:srgbClr val="000000"/>
            </a:solidFill>
            <a:latin typeface="+mn-lt"/>
          </a:endParaRPr>
        </a:p>
        <a:p>
          <a:pPr algn="l"/>
          <a:r>
            <a:rPr lang="en-US" sz="1000" b="1">
              <a:solidFill>
                <a:srgbClr val="000000"/>
              </a:solidFill>
              <a:latin typeface="+mn-lt"/>
            </a:rPr>
            <a:t>Disclaimer:</a:t>
          </a:r>
        </a:p>
        <a:p>
          <a:pPr algn="l"/>
          <a:endParaRPr lang="en-US" sz="1000" b="1">
            <a:solidFill>
              <a:srgbClr val="000000"/>
            </a:solidFill>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000" i="0">
              <a:effectLst/>
              <a:latin typeface="+mn-lt"/>
              <a:ea typeface="+mn-ea"/>
              <a:cs typeface="+mn-cs"/>
            </a:rPr>
            <a:t>This model is part of our final determinations setting out the price, service, and incentive package for water companies for the period 2025-30. It should be read together with the other documents and information that we have now published.</a:t>
          </a:r>
          <a:endParaRPr lang="en-GB" sz="1000">
            <a:effectLst/>
          </a:endParaRPr>
        </a:p>
        <a:p>
          <a:pPr algn="l"/>
          <a:endParaRPr lang="en-US" sz="1000" b="1">
            <a:solidFill>
              <a:srgbClr val="000000"/>
            </a:solidFill>
            <a:latin typeface="+mn-lt"/>
          </a:endParaRPr>
        </a:p>
      </xdr:txBody>
    </xdr:sp>
    <xdr:clientData/>
  </xdr:twoCellAnchor>
  <xdr:twoCellAnchor editAs="oneCell">
    <xdr:from>
      <xdr:col>6</xdr:col>
      <xdr:colOff>238125</xdr:colOff>
      <xdr:row>1</xdr:row>
      <xdr:rowOff>9524</xdr:rowOff>
    </xdr:from>
    <xdr:to>
      <xdr:col>6</xdr:col>
      <xdr:colOff>238125</xdr:colOff>
      <xdr:row>6</xdr:row>
      <xdr:rowOff>7682</xdr:rowOff>
    </xdr:to>
    <xdr:pic>
      <xdr:nvPicPr>
        <xdr:cNvPr id="3" name="Picture 2">
          <a:extLst>
            <a:ext uri="{FF2B5EF4-FFF2-40B4-BE49-F238E27FC236}">
              <a16:creationId xmlns:a16="http://schemas.microsoft.com/office/drawing/2014/main" id="{6695FB84-20D8-4C76-B5BD-7A46620D6AEB}"/>
            </a:ext>
          </a:extLst>
        </xdr:cNvPr>
        <xdr:cNvPicPr>
          <a:picLocks noChangeAspect="1"/>
        </xdr:cNvPicPr>
      </xdr:nvPicPr>
      <xdr:blipFill>
        <a:blip xmlns:r="http://schemas.openxmlformats.org/officeDocument/2006/relationships" r:embed="rId1"/>
        <a:stretch>
          <a:fillRect/>
        </a:stretch>
      </xdr:blipFill>
      <xdr:spPr>
        <a:xfrm>
          <a:off x="7934325" y="400049"/>
          <a:ext cx="1934023" cy="88398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1808559</xdr:colOff>
      <xdr:row>3</xdr:row>
      <xdr:rowOff>112709</xdr:rowOff>
    </xdr:from>
    <xdr:to>
      <xdr:col>11</xdr:col>
      <xdr:colOff>464740</xdr:colOff>
      <xdr:row>7</xdr:row>
      <xdr:rowOff>75008</xdr:rowOff>
    </xdr:to>
    <xdr:sp macro="" textlink="">
      <xdr:nvSpPr>
        <xdr:cNvPr id="3" name="Rectangle 2">
          <a:extLst>
            <a:ext uri="{FF2B5EF4-FFF2-40B4-BE49-F238E27FC236}">
              <a16:creationId xmlns:a16="http://schemas.microsoft.com/office/drawing/2014/main" id="{F7E8FDB1-3A93-4CDA-9725-0D57C4A0D9D4}"/>
            </a:ext>
            <a:ext uri="{147F2762-F138-4A5C-976F-8EAC2B608ADB}">
              <a16:predDERef xmlns:a16="http://schemas.microsoft.com/office/drawing/2014/main" pred="{2FB62842-4C2F-4945-9F61-8B15D1D910D7}"/>
            </a:ext>
          </a:extLst>
        </xdr:cNvPr>
        <xdr:cNvSpPr/>
      </xdr:nvSpPr>
      <xdr:spPr>
        <a:xfrm>
          <a:off x="2827734" y="846134"/>
          <a:ext cx="1332706" cy="648099"/>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Inputs 2:</a:t>
          </a:r>
        </a:p>
        <a:p>
          <a:pPr marL="0" indent="0" algn="ctr"/>
          <a:r>
            <a:rPr lang="en-GB" sz="1050">
              <a:solidFill>
                <a:schemeClr val="tx1"/>
              </a:solidFill>
              <a:latin typeface="+mn-lt"/>
              <a:ea typeface="+mn-ea"/>
              <a:cs typeface="+mn-cs"/>
            </a:rPr>
            <a:t>PR24 business plan data (FY23-FY30)</a:t>
          </a:r>
        </a:p>
      </xdr:txBody>
    </xdr:sp>
    <xdr:clientData/>
  </xdr:twoCellAnchor>
  <xdr:twoCellAnchor>
    <xdr:from>
      <xdr:col>7</xdr:col>
      <xdr:colOff>1906589</xdr:colOff>
      <xdr:row>23</xdr:row>
      <xdr:rowOff>47625</xdr:rowOff>
    </xdr:from>
    <xdr:to>
      <xdr:col>11</xdr:col>
      <xdr:colOff>458789</xdr:colOff>
      <xdr:row>27</xdr:row>
      <xdr:rowOff>86109</xdr:rowOff>
    </xdr:to>
    <xdr:sp macro="" textlink="">
      <xdr:nvSpPr>
        <xdr:cNvPr id="4" name="Rectangle 3">
          <a:extLst>
            <a:ext uri="{FF2B5EF4-FFF2-40B4-BE49-F238E27FC236}">
              <a16:creationId xmlns:a16="http://schemas.microsoft.com/office/drawing/2014/main" id="{138B2546-8191-4CE0-AD72-59DB3E377063}"/>
            </a:ext>
            <a:ext uri="{147F2762-F138-4A5C-976F-8EAC2B608ADB}">
              <a16:predDERef xmlns:a16="http://schemas.microsoft.com/office/drawing/2014/main" pred="{DEB0D8AE-3D0C-4F4F-898A-6219006E1000}"/>
            </a:ext>
          </a:extLst>
        </xdr:cNvPr>
        <xdr:cNvSpPr/>
      </xdr:nvSpPr>
      <xdr:spPr>
        <a:xfrm>
          <a:off x="2925764" y="4210050"/>
          <a:ext cx="1228725" cy="724284"/>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Summary of expected renwal rates</a:t>
          </a:r>
        </a:p>
      </xdr:txBody>
    </xdr:sp>
    <xdr:clientData/>
  </xdr:twoCellAnchor>
  <xdr:twoCellAnchor>
    <xdr:from>
      <xdr:col>7</xdr:col>
      <xdr:colOff>1914527</xdr:colOff>
      <xdr:row>30</xdr:row>
      <xdr:rowOff>47625</xdr:rowOff>
    </xdr:from>
    <xdr:to>
      <xdr:col>11</xdr:col>
      <xdr:colOff>476252</xdr:colOff>
      <xdr:row>34</xdr:row>
      <xdr:rowOff>9525</xdr:rowOff>
    </xdr:to>
    <xdr:sp macro="" textlink="">
      <xdr:nvSpPr>
        <xdr:cNvPr id="10" name="Rectangle 9">
          <a:extLst>
            <a:ext uri="{FF2B5EF4-FFF2-40B4-BE49-F238E27FC236}">
              <a16:creationId xmlns:a16="http://schemas.microsoft.com/office/drawing/2014/main" id="{47A9D791-5F94-41D2-AFE8-2B2CC75468CA}"/>
            </a:ext>
            <a:ext uri="{147F2762-F138-4A5C-976F-8EAC2B608ADB}">
              <a16:predDERef xmlns:a16="http://schemas.microsoft.com/office/drawing/2014/main" pred="{4033968F-2126-4A99-8A74-3C524A86F154}"/>
            </a:ext>
          </a:extLst>
        </xdr:cNvPr>
        <xdr:cNvSpPr/>
      </xdr:nvSpPr>
      <xdr:spPr>
        <a:xfrm>
          <a:off x="2933702" y="5410200"/>
          <a:ext cx="1238250" cy="64770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Calculation</a:t>
          </a:r>
          <a:r>
            <a:rPr lang="en-GB" sz="1050" baseline="0">
              <a:solidFill>
                <a:schemeClr val="tx1"/>
              </a:solidFill>
              <a:latin typeface="+mn-lt"/>
              <a:ea typeface="+mn-ea"/>
              <a:cs typeface="+mn-cs"/>
            </a:rPr>
            <a:t> of adjustment</a:t>
          </a:r>
          <a:endParaRPr lang="en-GB" sz="1050">
            <a:solidFill>
              <a:schemeClr val="tx1"/>
            </a:solidFill>
            <a:latin typeface="+mn-lt"/>
            <a:ea typeface="+mn-ea"/>
            <a:cs typeface="+mn-cs"/>
          </a:endParaRPr>
        </a:p>
      </xdr:txBody>
    </xdr:sp>
    <xdr:clientData/>
  </xdr:twoCellAnchor>
  <xdr:twoCellAnchor>
    <xdr:from>
      <xdr:col>9</xdr:col>
      <xdr:colOff>291900</xdr:colOff>
      <xdr:row>20</xdr:row>
      <xdr:rowOff>123415</xdr:rowOff>
    </xdr:from>
    <xdr:to>
      <xdr:col>10</xdr:col>
      <xdr:colOff>15877</xdr:colOff>
      <xdr:row>23</xdr:row>
      <xdr:rowOff>47625</xdr:rowOff>
    </xdr:to>
    <xdr:cxnSp macro="">
      <xdr:nvCxnSpPr>
        <xdr:cNvPr id="11" name="Straight Arrow Connector 10">
          <a:extLst>
            <a:ext uri="{FF2B5EF4-FFF2-40B4-BE49-F238E27FC236}">
              <a16:creationId xmlns:a16="http://schemas.microsoft.com/office/drawing/2014/main" id="{D8874FD5-0CF3-404E-8995-E297B93BADD7}"/>
            </a:ext>
            <a:ext uri="{147F2762-F138-4A5C-976F-8EAC2B608ADB}">
              <a16:predDERef xmlns:a16="http://schemas.microsoft.com/office/drawing/2014/main" pred="{53E05966-D415-4CC4-8CBE-43F9D584E964}"/>
            </a:ext>
          </a:extLst>
        </xdr:cNvPr>
        <xdr:cNvCxnSpPr>
          <a:stCxn id="20" idx="2"/>
          <a:endCxn id="4" idx="0"/>
        </xdr:cNvCxnSpPr>
      </xdr:nvCxnSpPr>
      <xdr:spPr>
        <a:xfrm>
          <a:off x="3520875" y="3771490"/>
          <a:ext cx="19252" cy="43856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182562</xdr:colOff>
      <xdr:row>3</xdr:row>
      <xdr:rowOff>104775</xdr:rowOff>
    </xdr:from>
    <xdr:to>
      <xdr:col>17</xdr:col>
      <xdr:colOff>630237</xdr:colOff>
      <xdr:row>7</xdr:row>
      <xdr:rowOff>47625</xdr:rowOff>
    </xdr:to>
    <xdr:sp macro="" textlink="">
      <xdr:nvSpPr>
        <xdr:cNvPr id="12" name="TextBox 11">
          <a:extLst>
            <a:ext uri="{FF2B5EF4-FFF2-40B4-BE49-F238E27FC236}">
              <a16:creationId xmlns:a16="http://schemas.microsoft.com/office/drawing/2014/main" id="{870CAE63-2A7A-40C0-BFB7-FA0C5A45612B}"/>
            </a:ext>
            <a:ext uri="{147F2762-F138-4A5C-976F-8EAC2B608ADB}">
              <a16:predDERef xmlns:a16="http://schemas.microsoft.com/office/drawing/2014/main" pred="{ED15684A-C195-40E9-978E-7900458D4444}"/>
            </a:ext>
          </a:extLst>
        </xdr:cNvPr>
        <xdr:cNvSpPr txBox="1"/>
      </xdr:nvSpPr>
      <xdr:spPr>
        <a:xfrm>
          <a:off x="6726237" y="838200"/>
          <a:ext cx="2486025" cy="628650"/>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GB" sz="1100"/>
            <a:t>The adjustment uses</a:t>
          </a:r>
          <a:r>
            <a:rPr lang="en-GB" sz="1100" baseline="0"/>
            <a:t> a range of sources to assess historical and forecast mains renewals activity</a:t>
          </a:r>
          <a:endParaRPr lang="en-GB" sz="1100"/>
        </a:p>
      </xdr:txBody>
    </xdr:sp>
    <xdr:clientData/>
  </xdr:twoCellAnchor>
  <xdr:twoCellAnchor>
    <xdr:from>
      <xdr:col>10</xdr:col>
      <xdr:colOff>19052</xdr:colOff>
      <xdr:row>27</xdr:row>
      <xdr:rowOff>83739</xdr:rowOff>
    </xdr:from>
    <xdr:to>
      <xdr:col>10</xdr:col>
      <xdr:colOff>28577</xdr:colOff>
      <xdr:row>30</xdr:row>
      <xdr:rowOff>47625</xdr:rowOff>
    </xdr:to>
    <xdr:cxnSp macro="">
      <xdr:nvCxnSpPr>
        <xdr:cNvPr id="15" name="Straight Arrow Connector 14">
          <a:extLst>
            <a:ext uri="{FF2B5EF4-FFF2-40B4-BE49-F238E27FC236}">
              <a16:creationId xmlns:a16="http://schemas.microsoft.com/office/drawing/2014/main" id="{DE10DB9D-E7C9-4D76-A7F3-2815C4601D36}"/>
            </a:ext>
            <a:ext uri="{147F2762-F138-4A5C-976F-8EAC2B608ADB}">
              <a16:predDERef xmlns:a16="http://schemas.microsoft.com/office/drawing/2014/main" pred="{ADF2C45C-6B24-4CFF-92BA-58BEAA7B8E6D}"/>
            </a:ext>
          </a:extLst>
        </xdr:cNvPr>
        <xdr:cNvCxnSpPr>
          <a:endCxn id="10" idx="0"/>
        </xdr:cNvCxnSpPr>
      </xdr:nvCxnSpPr>
      <xdr:spPr>
        <a:xfrm>
          <a:off x="3543302" y="4931964"/>
          <a:ext cx="9525" cy="47823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731044</xdr:colOff>
      <xdr:row>3</xdr:row>
      <xdr:rowOff>76201</xdr:rowOff>
    </xdr:from>
    <xdr:to>
      <xdr:col>13</xdr:col>
      <xdr:colOff>161925</xdr:colOff>
      <xdr:row>7</xdr:row>
      <xdr:rowOff>95251</xdr:rowOff>
    </xdr:to>
    <xdr:sp macro="" textlink="">
      <xdr:nvSpPr>
        <xdr:cNvPr id="18" name="Rectangle 17">
          <a:extLst>
            <a:ext uri="{FF2B5EF4-FFF2-40B4-BE49-F238E27FC236}">
              <a16:creationId xmlns:a16="http://schemas.microsoft.com/office/drawing/2014/main" id="{78E89664-D344-40DE-BD58-ECFFF8C19DCA}"/>
            </a:ext>
            <a:ext uri="{147F2762-F138-4A5C-976F-8EAC2B608ADB}">
              <a16:predDERef xmlns:a16="http://schemas.microsoft.com/office/drawing/2014/main" pred="{EADDF8A3-CB02-44BD-9A6F-7D4356F8FBA0}"/>
            </a:ext>
          </a:extLst>
        </xdr:cNvPr>
        <xdr:cNvSpPr/>
      </xdr:nvSpPr>
      <xdr:spPr>
        <a:xfrm>
          <a:off x="4426744" y="809626"/>
          <a:ext cx="1640681" cy="704850"/>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Inputs</a:t>
          </a:r>
          <a:r>
            <a:rPr lang="en-GB" sz="1050" baseline="0">
              <a:solidFill>
                <a:schemeClr val="tx1"/>
              </a:solidFill>
              <a:latin typeface="+mn-lt"/>
              <a:ea typeface="+mn-ea"/>
              <a:cs typeface="+mn-cs"/>
            </a:rPr>
            <a:t> 3:</a:t>
          </a:r>
        </a:p>
        <a:p>
          <a:pPr marL="0" indent="0" algn="ctr"/>
          <a:r>
            <a:rPr lang="en-GB" sz="1050" baseline="0">
              <a:solidFill>
                <a:schemeClr val="tx1"/>
              </a:solidFill>
              <a:latin typeface="+mn-lt"/>
              <a:ea typeface="+mn-ea"/>
              <a:cs typeface="+mn-cs"/>
            </a:rPr>
            <a:t>Query response data - historical &amp; forecast mains renewals </a:t>
          </a:r>
          <a:endParaRPr lang="en-GB" sz="1050">
            <a:solidFill>
              <a:schemeClr val="tx1"/>
            </a:solidFill>
            <a:latin typeface="+mn-lt"/>
            <a:ea typeface="+mn-ea"/>
            <a:cs typeface="+mn-cs"/>
          </a:endParaRPr>
        </a:p>
      </xdr:txBody>
    </xdr:sp>
    <xdr:clientData/>
  </xdr:twoCellAnchor>
  <xdr:twoCellAnchor>
    <xdr:from>
      <xdr:col>7</xdr:col>
      <xdr:colOff>1914523</xdr:colOff>
      <xdr:row>10</xdr:row>
      <xdr:rowOff>26983</xdr:rowOff>
    </xdr:from>
    <xdr:to>
      <xdr:col>11</xdr:col>
      <xdr:colOff>398065</xdr:colOff>
      <xdr:row>14</xdr:row>
      <xdr:rowOff>9521</xdr:rowOff>
    </xdr:to>
    <xdr:sp macro="" textlink="">
      <xdr:nvSpPr>
        <xdr:cNvPr id="19" name="Rectangle 18">
          <a:extLst>
            <a:ext uri="{FF2B5EF4-FFF2-40B4-BE49-F238E27FC236}">
              <a16:creationId xmlns:a16="http://schemas.microsoft.com/office/drawing/2014/main" id="{500E0443-7560-4138-8D09-22D26F2AE06E}"/>
            </a:ext>
            <a:ext uri="{147F2762-F138-4A5C-976F-8EAC2B608ADB}">
              <a16:predDERef xmlns:a16="http://schemas.microsoft.com/office/drawing/2014/main" pred="{FC6DEE8A-54B1-4F3C-B7C9-AE2941C37C06}"/>
            </a:ext>
          </a:extLst>
        </xdr:cNvPr>
        <xdr:cNvSpPr/>
      </xdr:nvSpPr>
      <xdr:spPr>
        <a:xfrm>
          <a:off x="2933698" y="1960558"/>
          <a:ext cx="1160067" cy="668338"/>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Analysis</a:t>
          </a:r>
          <a:r>
            <a:rPr lang="en-GB" sz="1050" baseline="0">
              <a:solidFill>
                <a:schemeClr val="tx1"/>
              </a:solidFill>
              <a:latin typeface="+mn-lt"/>
              <a:ea typeface="+mn-ea"/>
              <a:cs typeface="+mn-cs"/>
            </a:rPr>
            <a:t> of what base buys &amp; asset deterioration</a:t>
          </a:r>
          <a:endParaRPr lang="en-GB" sz="1050">
            <a:solidFill>
              <a:schemeClr val="tx1"/>
            </a:solidFill>
            <a:latin typeface="+mn-lt"/>
            <a:ea typeface="+mn-ea"/>
            <a:cs typeface="+mn-cs"/>
          </a:endParaRPr>
        </a:p>
      </xdr:txBody>
    </xdr:sp>
    <xdr:clientData/>
  </xdr:twoCellAnchor>
  <xdr:twoCellAnchor>
    <xdr:from>
      <xdr:col>7</xdr:col>
      <xdr:colOff>1916904</xdr:colOff>
      <xdr:row>17</xdr:row>
      <xdr:rowOff>790</xdr:rowOff>
    </xdr:from>
    <xdr:to>
      <xdr:col>11</xdr:col>
      <xdr:colOff>409970</xdr:colOff>
      <xdr:row>20</xdr:row>
      <xdr:rowOff>123415</xdr:rowOff>
    </xdr:to>
    <xdr:sp macro="" textlink="">
      <xdr:nvSpPr>
        <xdr:cNvPr id="20" name="Rectangle 19">
          <a:extLst>
            <a:ext uri="{FF2B5EF4-FFF2-40B4-BE49-F238E27FC236}">
              <a16:creationId xmlns:a16="http://schemas.microsoft.com/office/drawing/2014/main" id="{7EBFBD5C-2332-472A-8753-53B83D171E5A}"/>
            </a:ext>
            <a:ext uri="{147F2762-F138-4A5C-976F-8EAC2B608ADB}">
              <a16:predDERef xmlns:a16="http://schemas.microsoft.com/office/drawing/2014/main" pred="{FE031EA5-5E65-42D7-852F-5BDD71B8990D}"/>
            </a:ext>
          </a:extLst>
        </xdr:cNvPr>
        <xdr:cNvSpPr/>
      </xdr:nvSpPr>
      <xdr:spPr>
        <a:xfrm>
          <a:off x="2936079" y="3134515"/>
          <a:ext cx="1169591" cy="636975"/>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Unit cost calculation</a:t>
          </a:r>
        </a:p>
      </xdr:txBody>
    </xdr:sp>
    <xdr:clientData/>
  </xdr:twoCellAnchor>
  <xdr:twoCellAnchor>
    <xdr:from>
      <xdr:col>9</xdr:col>
      <xdr:colOff>291900</xdr:colOff>
      <xdr:row>13</xdr:row>
      <xdr:rowOff>171446</xdr:rowOff>
    </xdr:from>
    <xdr:to>
      <xdr:col>10</xdr:col>
      <xdr:colOff>1388</xdr:colOff>
      <xdr:row>17</xdr:row>
      <xdr:rowOff>790</xdr:rowOff>
    </xdr:to>
    <xdr:cxnSp macro="">
      <xdr:nvCxnSpPr>
        <xdr:cNvPr id="25" name="Straight Arrow Connector 24">
          <a:extLst>
            <a:ext uri="{FF2B5EF4-FFF2-40B4-BE49-F238E27FC236}">
              <a16:creationId xmlns:a16="http://schemas.microsoft.com/office/drawing/2014/main" id="{2AB13A68-0480-4917-811D-38457FB4E99B}"/>
            </a:ext>
            <a:ext uri="{147F2762-F138-4A5C-976F-8EAC2B608ADB}">
              <a16:predDERef xmlns:a16="http://schemas.microsoft.com/office/drawing/2014/main" pred="{5BF0C604-3728-4668-BE37-910543DD4F42}"/>
            </a:ext>
          </a:extLst>
        </xdr:cNvPr>
        <xdr:cNvCxnSpPr>
          <a:cxnSpLocks/>
          <a:endCxn id="20" idx="0"/>
        </xdr:cNvCxnSpPr>
      </xdr:nvCxnSpPr>
      <xdr:spPr>
        <a:xfrm flipH="1">
          <a:off x="3520875" y="2619371"/>
          <a:ext cx="4763" cy="51514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198834</xdr:colOff>
      <xdr:row>3</xdr:row>
      <xdr:rowOff>131759</xdr:rowOff>
    </xdr:from>
    <xdr:to>
      <xdr:col>7</xdr:col>
      <xdr:colOff>1531540</xdr:colOff>
      <xdr:row>7</xdr:row>
      <xdr:rowOff>94058</xdr:rowOff>
    </xdr:to>
    <xdr:sp macro="" textlink="">
      <xdr:nvSpPr>
        <xdr:cNvPr id="27" name="Rectangle 26">
          <a:extLst>
            <a:ext uri="{FF2B5EF4-FFF2-40B4-BE49-F238E27FC236}">
              <a16:creationId xmlns:a16="http://schemas.microsoft.com/office/drawing/2014/main" id="{76F89FD0-562B-4DBA-B185-1D842E6034E3}"/>
            </a:ext>
            <a:ext uri="{147F2762-F138-4A5C-976F-8EAC2B608ADB}">
              <a16:predDERef xmlns:a16="http://schemas.microsoft.com/office/drawing/2014/main" pred="{2FB62842-4C2F-4945-9F61-8B15D1D910D7}"/>
            </a:ext>
          </a:extLst>
        </xdr:cNvPr>
        <xdr:cNvSpPr/>
      </xdr:nvSpPr>
      <xdr:spPr>
        <a:xfrm>
          <a:off x="1218009" y="865184"/>
          <a:ext cx="1332706" cy="648099"/>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Inputs</a:t>
          </a:r>
          <a:r>
            <a:rPr lang="en-GB" sz="1050" baseline="0">
              <a:solidFill>
                <a:schemeClr val="tx1"/>
              </a:solidFill>
              <a:latin typeface="+mn-lt"/>
              <a:ea typeface="+mn-ea"/>
              <a:cs typeface="+mn-cs"/>
            </a:rPr>
            <a:t> 1:</a:t>
          </a:r>
          <a:endParaRPr lang="en-GB" sz="1050">
            <a:solidFill>
              <a:schemeClr val="tx1"/>
            </a:solidFill>
            <a:latin typeface="+mn-lt"/>
            <a:ea typeface="+mn-ea"/>
            <a:cs typeface="+mn-cs"/>
          </a:endParaRPr>
        </a:p>
        <a:p>
          <a:pPr marL="0" indent="0" algn="ctr"/>
          <a:r>
            <a:rPr lang="en-GB" sz="1050">
              <a:solidFill>
                <a:schemeClr val="tx1"/>
              </a:solidFill>
              <a:latin typeface="+mn-lt"/>
              <a:ea typeface="+mn-ea"/>
              <a:cs typeface="+mn-cs"/>
            </a:rPr>
            <a:t>PR09</a:t>
          </a:r>
          <a:r>
            <a:rPr lang="en-GB" sz="1050" baseline="0">
              <a:solidFill>
                <a:schemeClr val="tx1"/>
              </a:solidFill>
              <a:latin typeface="+mn-lt"/>
              <a:ea typeface="+mn-ea"/>
              <a:cs typeface="+mn-cs"/>
            </a:rPr>
            <a:t> Mains condition grade data</a:t>
          </a:r>
          <a:endParaRPr lang="en-GB" sz="1050">
            <a:solidFill>
              <a:schemeClr val="tx1"/>
            </a:solidFill>
            <a:latin typeface="+mn-lt"/>
            <a:ea typeface="+mn-ea"/>
            <a:cs typeface="+mn-cs"/>
          </a:endParaRPr>
        </a:p>
      </xdr:txBody>
    </xdr:sp>
    <xdr:clientData/>
  </xdr:twoCellAnchor>
  <xdr:twoCellAnchor>
    <xdr:from>
      <xdr:col>7</xdr:col>
      <xdr:colOff>865187</xdr:colOff>
      <xdr:row>7</xdr:row>
      <xdr:rowOff>94058</xdr:rowOff>
    </xdr:from>
    <xdr:to>
      <xdr:col>9</xdr:col>
      <xdr:colOff>284757</xdr:colOff>
      <xdr:row>10</xdr:row>
      <xdr:rowOff>26983</xdr:rowOff>
    </xdr:to>
    <xdr:cxnSp macro="">
      <xdr:nvCxnSpPr>
        <xdr:cNvPr id="34" name="Straight Arrow Connector 33">
          <a:extLst>
            <a:ext uri="{FF2B5EF4-FFF2-40B4-BE49-F238E27FC236}">
              <a16:creationId xmlns:a16="http://schemas.microsoft.com/office/drawing/2014/main" id="{EBE2D45F-6E5A-0C4B-2730-4F921F6D1C5C}"/>
            </a:ext>
          </a:extLst>
        </xdr:cNvPr>
        <xdr:cNvCxnSpPr>
          <a:stCxn id="27" idx="2"/>
          <a:endCxn id="19" idx="0"/>
        </xdr:cNvCxnSpPr>
      </xdr:nvCxnSpPr>
      <xdr:spPr>
        <a:xfrm>
          <a:off x="1884362" y="1513283"/>
          <a:ext cx="1629370" cy="4472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265112</xdr:colOff>
      <xdr:row>7</xdr:row>
      <xdr:rowOff>75008</xdr:rowOff>
    </xdr:from>
    <xdr:to>
      <xdr:col>9</xdr:col>
      <xdr:colOff>284757</xdr:colOff>
      <xdr:row>10</xdr:row>
      <xdr:rowOff>26983</xdr:rowOff>
    </xdr:to>
    <xdr:cxnSp macro="">
      <xdr:nvCxnSpPr>
        <xdr:cNvPr id="37" name="Straight Arrow Connector 36">
          <a:extLst>
            <a:ext uri="{FF2B5EF4-FFF2-40B4-BE49-F238E27FC236}">
              <a16:creationId xmlns:a16="http://schemas.microsoft.com/office/drawing/2014/main" id="{FD04BDCC-8237-CD3A-7F99-2FD21168CDFE}"/>
            </a:ext>
          </a:extLst>
        </xdr:cNvPr>
        <xdr:cNvCxnSpPr>
          <a:stCxn id="3" idx="2"/>
          <a:endCxn id="19" idx="0"/>
        </xdr:cNvCxnSpPr>
      </xdr:nvCxnSpPr>
      <xdr:spPr>
        <a:xfrm>
          <a:off x="3494087" y="1494233"/>
          <a:ext cx="19645" cy="4663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284757</xdr:colOff>
      <xdr:row>7</xdr:row>
      <xdr:rowOff>95251</xdr:rowOff>
    </xdr:from>
    <xdr:to>
      <xdr:col>11</xdr:col>
      <xdr:colOff>1551385</xdr:colOff>
      <xdr:row>10</xdr:row>
      <xdr:rowOff>26983</xdr:rowOff>
    </xdr:to>
    <xdr:cxnSp macro="">
      <xdr:nvCxnSpPr>
        <xdr:cNvPr id="41" name="Straight Arrow Connector 40">
          <a:extLst>
            <a:ext uri="{FF2B5EF4-FFF2-40B4-BE49-F238E27FC236}">
              <a16:creationId xmlns:a16="http://schemas.microsoft.com/office/drawing/2014/main" id="{F66E83A3-606D-3739-897B-B7CB24A5A107}"/>
            </a:ext>
          </a:extLst>
        </xdr:cNvPr>
        <xdr:cNvCxnSpPr>
          <a:stCxn id="18" idx="2"/>
          <a:endCxn id="19" idx="0"/>
        </xdr:cNvCxnSpPr>
      </xdr:nvCxnSpPr>
      <xdr:spPr>
        <a:xfrm flipH="1">
          <a:off x="3513732" y="1514476"/>
          <a:ext cx="1733353" cy="44608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10</xdr:row>
      <xdr:rowOff>57150</xdr:rowOff>
    </xdr:from>
    <xdr:to>
      <xdr:col>7</xdr:col>
      <xdr:colOff>1733550</xdr:colOff>
      <xdr:row>16</xdr:row>
      <xdr:rowOff>9525</xdr:rowOff>
    </xdr:to>
    <xdr:sp macro="" textlink="">
      <xdr:nvSpPr>
        <xdr:cNvPr id="58" name="TextBox 57">
          <a:extLst>
            <a:ext uri="{FF2B5EF4-FFF2-40B4-BE49-F238E27FC236}">
              <a16:creationId xmlns:a16="http://schemas.microsoft.com/office/drawing/2014/main" id="{611F9DAE-A5D4-464F-8026-8DDF0A989C35}"/>
            </a:ext>
            <a:ext uri="{147F2762-F138-4A5C-976F-8EAC2B608ADB}">
              <a16:predDERef xmlns:a16="http://schemas.microsoft.com/office/drawing/2014/main" pred="{ED15684A-C195-40E9-978E-7900458D4444}"/>
            </a:ext>
          </a:extLst>
        </xdr:cNvPr>
        <xdr:cNvSpPr txBox="1"/>
      </xdr:nvSpPr>
      <xdr:spPr>
        <a:xfrm>
          <a:off x="266700" y="1990725"/>
          <a:ext cx="2486025" cy="981075"/>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GB" sz="1100"/>
            <a:t>To calculate what base buys, we look at the historical</a:t>
          </a:r>
          <a:r>
            <a:rPr lang="en-GB" sz="1100" baseline="0"/>
            <a:t> renewal rates. </a:t>
          </a:r>
        </a:p>
        <a:p>
          <a:pPr algn="ctr"/>
          <a:endParaRPr lang="en-GB" sz="1100" baseline="0"/>
        </a:p>
        <a:p>
          <a:pPr algn="ctr"/>
          <a:r>
            <a:rPr lang="en-GB" sz="1100" baseline="0"/>
            <a:t>We also review how asset condition has changed over time. </a:t>
          </a:r>
          <a:endParaRPr lang="en-GB" sz="1100"/>
        </a:p>
      </xdr:txBody>
    </xdr:sp>
    <xdr:clientData/>
  </xdr:twoCellAnchor>
  <xdr:twoCellAnchor>
    <xdr:from>
      <xdr:col>11</xdr:col>
      <xdr:colOff>885825</xdr:colOff>
      <xdr:row>16</xdr:row>
      <xdr:rowOff>123825</xdr:rowOff>
    </xdr:from>
    <xdr:to>
      <xdr:col>16</xdr:col>
      <xdr:colOff>523875</xdr:colOff>
      <xdr:row>22</xdr:row>
      <xdr:rowOff>76200</xdr:rowOff>
    </xdr:to>
    <xdr:sp macro="" textlink="">
      <xdr:nvSpPr>
        <xdr:cNvPr id="59" name="TextBox 58">
          <a:extLst>
            <a:ext uri="{FF2B5EF4-FFF2-40B4-BE49-F238E27FC236}">
              <a16:creationId xmlns:a16="http://schemas.microsoft.com/office/drawing/2014/main" id="{B95073D0-E744-4109-AB61-AFAD849E7B2A}"/>
            </a:ext>
            <a:ext uri="{147F2762-F138-4A5C-976F-8EAC2B608ADB}">
              <a16:predDERef xmlns:a16="http://schemas.microsoft.com/office/drawing/2014/main" pred="{ED15684A-C195-40E9-978E-7900458D4444}"/>
            </a:ext>
          </a:extLst>
        </xdr:cNvPr>
        <xdr:cNvSpPr txBox="1"/>
      </xdr:nvSpPr>
      <xdr:spPr>
        <a:xfrm>
          <a:off x="4581525" y="3086100"/>
          <a:ext cx="2486025" cy="981075"/>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GB" sz="1100"/>
            <a:t>Unit costs are based on hard coded</a:t>
          </a:r>
          <a:r>
            <a:rPr lang="en-GB" sz="1100" baseline="0"/>
            <a:t> inputs taken from company submissions (referenced) and calculated costs based on responses to enhancement leakage queries.</a:t>
          </a: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619125</xdr:colOff>
      <xdr:row>1</xdr:row>
      <xdr:rowOff>11906</xdr:rowOff>
    </xdr:from>
    <xdr:to>
      <xdr:col>15</xdr:col>
      <xdr:colOff>588167</xdr:colOff>
      <xdr:row>8</xdr:row>
      <xdr:rowOff>28575</xdr:rowOff>
    </xdr:to>
    <xdr:sp macro="" textlink="">
      <xdr:nvSpPr>
        <xdr:cNvPr id="2" name="TextBox 1">
          <a:extLst>
            <a:ext uri="{FF2B5EF4-FFF2-40B4-BE49-F238E27FC236}">
              <a16:creationId xmlns:a16="http://schemas.microsoft.com/office/drawing/2014/main" id="{BA853D8E-B4C5-4305-A44B-2EF4BC40391D}"/>
            </a:ext>
          </a:extLst>
        </xdr:cNvPr>
        <xdr:cNvSpPr txBox="1"/>
      </xdr:nvSpPr>
      <xdr:spPr>
        <a:xfrm>
          <a:off x="12584906" y="369094"/>
          <a:ext cx="3183730" cy="1266825"/>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lang="en-GB" sz="1100" b="1"/>
            <a:t>Overrides</a:t>
          </a:r>
        </a:p>
        <a:p>
          <a:endParaRPr lang="en-GB" sz="1100"/>
        </a:p>
        <a:p>
          <a:r>
            <a:rPr lang="en-GB" sz="1100"/>
            <a:t>WSH updated in line  JR04 and JR08 5yr average</a:t>
          </a:r>
          <a:r>
            <a:rPr lang="en-GB" sz="1100" baseline="0"/>
            <a:t> (WSH-DD-06).</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16669</xdr:colOff>
      <xdr:row>2</xdr:row>
      <xdr:rowOff>345281</xdr:rowOff>
    </xdr:from>
    <xdr:to>
      <xdr:col>16</xdr:col>
      <xdr:colOff>533399</xdr:colOff>
      <xdr:row>10</xdr:row>
      <xdr:rowOff>76200</xdr:rowOff>
    </xdr:to>
    <xdr:sp macro="" textlink="">
      <xdr:nvSpPr>
        <xdr:cNvPr id="2" name="TextBox 1">
          <a:extLst>
            <a:ext uri="{FF2B5EF4-FFF2-40B4-BE49-F238E27FC236}">
              <a16:creationId xmlns:a16="http://schemas.microsoft.com/office/drawing/2014/main" id="{15951915-B20C-0793-EC39-F8AF32443496}"/>
            </a:ext>
          </a:extLst>
        </xdr:cNvPr>
        <xdr:cNvSpPr txBox="1"/>
      </xdr:nvSpPr>
      <xdr:spPr>
        <a:xfrm>
          <a:off x="11970544" y="1726406"/>
          <a:ext cx="3183730" cy="1266825"/>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lang="en-GB" sz="1100" b="1"/>
            <a:t>Overrides</a:t>
          </a:r>
        </a:p>
        <a:p>
          <a:endParaRPr lang="en-GB" sz="1100"/>
        </a:p>
        <a:p>
          <a:r>
            <a:rPr lang="en-GB" sz="1100"/>
            <a:t>WSH &amp; SEW burst rate data to align with original BP submission (consistent with treatment of other companies).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664367</xdr:colOff>
      <xdr:row>0</xdr:row>
      <xdr:rowOff>788192</xdr:rowOff>
    </xdr:from>
    <xdr:to>
      <xdr:col>19</xdr:col>
      <xdr:colOff>640555</xdr:colOff>
      <xdr:row>11</xdr:row>
      <xdr:rowOff>95248</xdr:rowOff>
    </xdr:to>
    <xdr:sp macro="" textlink="">
      <xdr:nvSpPr>
        <xdr:cNvPr id="2" name="TextBox 1">
          <a:extLst>
            <a:ext uri="{FF2B5EF4-FFF2-40B4-BE49-F238E27FC236}">
              <a16:creationId xmlns:a16="http://schemas.microsoft.com/office/drawing/2014/main" id="{3020B7AD-587F-EC8E-D338-187DCEDAB227}"/>
            </a:ext>
          </a:extLst>
        </xdr:cNvPr>
        <xdr:cNvSpPr txBox="1"/>
      </xdr:nvSpPr>
      <xdr:spPr>
        <a:xfrm>
          <a:off x="8070055" y="788192"/>
          <a:ext cx="5143500" cy="1807369"/>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lang="en-GB" sz="1100">
              <a:latin typeface="+mn-lt"/>
            </a:rPr>
            <a:t>This</a:t>
          </a:r>
          <a:r>
            <a:rPr lang="en-GB" sz="1100" baseline="0">
              <a:latin typeface="+mn-lt"/>
            </a:rPr>
            <a:t> data was submitted by companies in response to a sector wide query that asked companies for length of mains renewals delivered split by base and enhancement. This data was provided on a historical and forecast basis.</a:t>
          </a:r>
        </a:p>
        <a:p>
          <a:endParaRPr lang="en-GB" sz="1100" baseline="0">
            <a:latin typeface="+mn-lt"/>
          </a:endParaRPr>
        </a:p>
        <a:p>
          <a:r>
            <a:rPr lang="en-GB" sz="1100" baseline="0">
              <a:latin typeface="+mn-lt"/>
            </a:rPr>
            <a:t>FD UPDATE: The data has been updated at FD following an additional query to companies to split out their 2023-24 APR data into base and enhancement. As well as reflecting restated 2018-19 to 2022-23 data by WSH. This update does not include an updated forecast for the 2024-25 to 2029-30 period.</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0</xdr:colOff>
      <xdr:row>54</xdr:row>
      <xdr:rowOff>11905</xdr:rowOff>
    </xdr:from>
    <xdr:to>
      <xdr:col>21</xdr:col>
      <xdr:colOff>11906</xdr:colOff>
      <xdr:row>64</xdr:row>
      <xdr:rowOff>166686</xdr:rowOff>
    </xdr:to>
    <xdr:sp macro="" textlink="">
      <xdr:nvSpPr>
        <xdr:cNvPr id="2" name="TextBox 1">
          <a:extLst>
            <a:ext uri="{FF2B5EF4-FFF2-40B4-BE49-F238E27FC236}">
              <a16:creationId xmlns:a16="http://schemas.microsoft.com/office/drawing/2014/main" id="{BC53BC0E-434C-25A5-A82F-13677E88300A}"/>
            </a:ext>
          </a:extLst>
        </xdr:cNvPr>
        <xdr:cNvSpPr txBox="1"/>
      </xdr:nvSpPr>
      <xdr:spPr>
        <a:xfrm>
          <a:off x="15001875" y="10203655"/>
          <a:ext cx="3667125" cy="1940719"/>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lang="en-GB" sz="1100"/>
            <a:t>We apply a twin test to determine whether to hold companies to account through a higher 'what base buys' rate at PR24. </a:t>
          </a:r>
        </a:p>
        <a:p>
          <a:endParaRPr lang="en-GB" sz="1100"/>
        </a:p>
        <a:p>
          <a:r>
            <a:rPr lang="en-GB" sz="1100"/>
            <a:t>This looks at asset deterioration since PR09 and the historical renewal rate. </a:t>
          </a:r>
        </a:p>
        <a:p>
          <a:endParaRPr lang="en-GB" sz="1100"/>
        </a:p>
        <a:p>
          <a:r>
            <a:rPr lang="en-GB" sz="1100"/>
            <a:t>Please see PR24 Final Determinations: Expenditure allowances for more information on our approach.</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12</xdr:col>
      <xdr:colOff>640026</xdr:colOff>
      <xdr:row>2</xdr:row>
      <xdr:rowOff>211199</xdr:rowOff>
    </xdr:from>
    <xdr:ext cx="5053808" cy="1986826"/>
    <xdr:sp macro="" textlink="">
      <xdr:nvSpPr>
        <xdr:cNvPr id="2" name="TextBox 1">
          <a:extLst>
            <a:ext uri="{FF2B5EF4-FFF2-40B4-BE49-F238E27FC236}">
              <a16:creationId xmlns:a16="http://schemas.microsoft.com/office/drawing/2014/main" id="{97ECDA89-CFAF-4B60-AA5B-65170E17B4A8}"/>
            </a:ext>
          </a:extLst>
        </xdr:cNvPr>
        <xdr:cNvSpPr txBox="1"/>
      </xdr:nvSpPr>
      <xdr:spPr>
        <a:xfrm rot="10800000" flipH="1" flipV="1">
          <a:off x="9657026" y="634532"/>
          <a:ext cx="5053808" cy="198682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spAutoFit/>
        </a:bodyPr>
        <a:lstStyle/>
        <a:p>
          <a:r>
            <a:rPr lang="en-GB" sz="1100"/>
            <a:t>We reject company's proposed</a:t>
          </a:r>
          <a:r>
            <a:rPr lang="en-GB" sz="1100" baseline="0"/>
            <a:t> renewal rate where this is below the historical average rate (0.3% p.a.). For these companies, we assume a minimum renewal rate that is in line with what base buys at PR24. </a:t>
          </a:r>
        </a:p>
        <a:p>
          <a:endParaRPr lang="en-GB" sz="1100" baseline="0"/>
        </a:p>
        <a:p>
          <a:r>
            <a:rPr lang="en-GB" sz="1100" baseline="0"/>
            <a:t>For the companies that are being held to account for asset deterioration, we expect a higher rate of renewals through base allowances (SRN, WSH and YKY).</a:t>
          </a:r>
        </a:p>
        <a:p>
          <a:endParaRPr lang="en-GB" sz="1100" baseline="0"/>
        </a:p>
        <a:p>
          <a:r>
            <a:rPr lang="en-GB" sz="1100" baseline="0"/>
            <a:t>We accept the renewal rates that are proposed by companies that are above the historical average. </a:t>
          </a:r>
        </a:p>
        <a:p>
          <a:endParaRPr lang="en-GB" sz="1100" baseline="0"/>
        </a:p>
        <a:p>
          <a:r>
            <a:rPr lang="en-GB" sz="1100" baseline="0"/>
            <a:t>Please see PR24 Final Determinations: Expenditure allowances for further discussion.</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9</xdr:col>
      <xdr:colOff>801430</xdr:colOff>
      <xdr:row>7</xdr:row>
      <xdr:rowOff>275546</xdr:rowOff>
    </xdr:from>
    <xdr:ext cx="4667731" cy="2675732"/>
    <xdr:sp macro="" textlink="">
      <xdr:nvSpPr>
        <xdr:cNvPr id="2" name="TextBox 1">
          <a:extLst>
            <a:ext uri="{FF2B5EF4-FFF2-40B4-BE49-F238E27FC236}">
              <a16:creationId xmlns:a16="http://schemas.microsoft.com/office/drawing/2014/main" id="{16E176E9-038A-D11D-EAA7-5E69758ABE78}"/>
            </a:ext>
          </a:extLst>
        </xdr:cNvPr>
        <xdr:cNvSpPr txBox="1"/>
      </xdr:nvSpPr>
      <xdr:spPr>
        <a:xfrm rot="10800000" flipH="1" flipV="1">
          <a:off x="10347597" y="1958296"/>
          <a:ext cx="4667731" cy="2675732"/>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spAutoFit/>
        </a:bodyPr>
        <a:lstStyle/>
        <a:p>
          <a:r>
            <a:rPr lang="en-GB" sz="1100"/>
            <a:t>Where:</a:t>
          </a:r>
        </a:p>
        <a:p>
          <a:endParaRPr lang="en-GB" sz="1100"/>
        </a:p>
        <a:p>
          <a:r>
            <a:rPr lang="en-GB" sz="1100" b="1"/>
            <a:t>Ofwat</a:t>
          </a:r>
          <a:r>
            <a:rPr lang="en-GB" sz="1100" b="1" baseline="0"/>
            <a:t> view </a:t>
          </a:r>
          <a:r>
            <a:rPr lang="en-GB" sz="1100" baseline="0"/>
            <a:t>reflects the adjustment to allowances for asset deterioration between PR09 and PR24.</a:t>
          </a:r>
        </a:p>
        <a:p>
          <a:endParaRPr lang="en-GB" sz="1100" baseline="0"/>
        </a:p>
        <a:p>
          <a:r>
            <a:rPr lang="en-GB" sz="1100" b="1" baseline="0"/>
            <a:t>Base adjustment </a:t>
          </a:r>
          <a:r>
            <a:rPr lang="en-GB" sz="1100" baseline="0"/>
            <a:t>reflects the increase in the rate of renewals funded through the mains adjustment/accepted cost adjustment claims.</a:t>
          </a:r>
        </a:p>
        <a:p>
          <a:endParaRPr lang="en-GB" sz="1100" baseline="0"/>
        </a:p>
        <a:p>
          <a:r>
            <a:rPr lang="en-GB" sz="1100" b="1" baseline="0"/>
            <a:t>AMP8 renewal rate </a:t>
          </a:r>
          <a:r>
            <a:rPr lang="en-GB" sz="1100" baseline="0"/>
            <a:t>reflects the total average mains renewal rate through base allowances over the 2025-30 period, including the asset health adjustment.</a:t>
          </a:r>
        </a:p>
        <a:p>
          <a:endParaRPr lang="en-GB" sz="1100" baseline="0"/>
        </a:p>
        <a:p>
          <a:r>
            <a:rPr lang="en-GB" sz="1100" b="1" baseline="0"/>
            <a:t>AMP8 additional base renewals </a:t>
          </a:r>
          <a:r>
            <a:rPr lang="en-GB" sz="1100" b="0" baseline="0"/>
            <a:t>reflect the length of renewals delivered through the uplift to allowances based on total length of mains in 2029-30.</a:t>
          </a:r>
        </a:p>
        <a:p>
          <a:endParaRPr lang="en-GB" sz="1100" b="0" baseline="0"/>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561.408645949072" createdVersion="8" refreshedVersion="8" minRefreshableVersion="3" recordCount="210" xr:uid="{E127F8DD-D088-46D1-8723-FC70FD7039AC}">
  <cacheSource type="worksheet">
    <worksheetSource ref="A1:I211" sheet="PR09 CG Data"/>
  </cacheSource>
  <cacheFields count="9">
    <cacheField name="Company code" numFmtId="0">
      <sharedItems count="21">
        <s v="ANH"/>
        <s v="BRL"/>
        <s v="CAM"/>
        <s v="DVW"/>
        <s v="FLK"/>
        <s v="NES"/>
        <s v="PRT"/>
        <s v="SBW"/>
        <s v="SES"/>
        <s v="SEW"/>
        <s v="SRN"/>
        <s v="SST"/>
        <s v="SVT"/>
        <s v="SWT"/>
        <s v="THD"/>
        <s v="TMS"/>
        <s v="TVN"/>
        <s v="NWT"/>
        <s v="WSH"/>
        <s v="WSX"/>
        <s v="YKY"/>
      </sharedItems>
    </cacheField>
    <cacheField name="Variable" numFmtId="0">
      <sharedItems count="9">
        <s v="Analysed cohort potable mains (up to 320mm)"/>
        <s v="Annual average bursts from cohort analysis (5 year average) potable mains (up to 320mm)"/>
        <s v="Annual average bursts on analysed cohorts potable mains (up to 320mm)"/>
        <s v="Annual average bursts on replaced potable mains (5 year average) up to 320mm"/>
        <s v="Annual average bursts (5 year average) on potable mains up to 320mm"/>
        <s v="Potable mains (up to 320mm)"/>
        <s v="Current annual bursts on potable mains (up to 320mm)"/>
        <s v="Annual bursts on mains (5 year average) greater than 320mm and other mains"/>
        <s v="Annual bursts on mains (5 year average) on potable and other mains reported in June returns JR04 to JR08"/>
      </sharedItems>
    </cacheField>
    <cacheField name="Units" numFmtId="0">
      <sharedItems count="3">
        <s v="km"/>
        <s v="nr"/>
        <s v="nr/000KM"/>
      </sharedItems>
    </cacheField>
    <cacheField name="Gr 1" numFmtId="0">
      <sharedItems containsSemiMixedTypes="0" containsString="0" containsNumber="1" minValue="0" maxValue="25037"/>
    </cacheField>
    <cacheField name="Gr 2" numFmtId="0">
      <sharedItems containsSemiMixedTypes="0" containsString="0" containsNumber="1" minValue="0" maxValue="11094.81"/>
    </cacheField>
    <cacheField name="Gr 3" numFmtId="0">
      <sharedItems containsSemiMixedTypes="0" containsString="0" containsNumber="1" minValue="0" maxValue="7781.78"/>
    </cacheField>
    <cacheField name="Gr 4" numFmtId="0">
      <sharedItems containsSemiMixedTypes="0" containsString="0" containsNumber="1" minValue="0" maxValue="3971.38"/>
    </cacheField>
    <cacheField name="Gr 5" numFmtId="0">
      <sharedItems containsSemiMixedTypes="0" containsString="0" containsNumber="1" minValue="0" maxValue="12504.35"/>
    </cacheField>
    <cacheField name="Total" numFmtId="0">
      <sharedItems containsSemiMixedTypes="0" containsString="0" containsNumber="1" minValue="0" maxValue="4268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0">
  <r>
    <x v="0"/>
    <x v="0"/>
    <x v="0"/>
    <n v="19452.93"/>
    <n v="11094.81"/>
    <n v="3807.16"/>
    <n v="485.22"/>
    <n v="57.13"/>
    <n v="34897.26"/>
  </r>
  <r>
    <x v="0"/>
    <x v="1"/>
    <x v="1"/>
    <n v="902.4"/>
    <n v="1988.2"/>
    <n v="1255"/>
    <n v="304.60000000000002"/>
    <n v="88.8"/>
    <n v="4539"/>
  </r>
  <r>
    <x v="0"/>
    <x v="2"/>
    <x v="2"/>
    <n v="46.39"/>
    <n v="179.2"/>
    <n v="329.64"/>
    <n v="627.75"/>
    <n v="1554.41"/>
    <n v="130.07"/>
  </r>
  <r>
    <x v="0"/>
    <x v="3"/>
    <x v="1"/>
    <n v="0"/>
    <n v="0"/>
    <n v="0"/>
    <n v="0"/>
    <n v="0"/>
    <n v="0"/>
  </r>
  <r>
    <x v="0"/>
    <x v="4"/>
    <x v="1"/>
    <n v="0"/>
    <n v="0"/>
    <n v="0"/>
    <n v="0"/>
    <n v="0"/>
    <n v="4539"/>
  </r>
  <r>
    <x v="0"/>
    <x v="5"/>
    <x v="0"/>
    <n v="19452.93"/>
    <n v="11094.81"/>
    <n v="3807.16"/>
    <n v="485.22"/>
    <n v="57.13"/>
    <n v="34897.26"/>
  </r>
  <r>
    <x v="0"/>
    <x v="6"/>
    <x v="1"/>
    <n v="902.4"/>
    <n v="1988.2"/>
    <n v="1255"/>
    <n v="304.60000000000002"/>
    <n v="88.8"/>
    <n v="4539"/>
  </r>
  <r>
    <x v="0"/>
    <x v="6"/>
    <x v="2"/>
    <n v="46.39"/>
    <n v="179.2"/>
    <n v="329.64"/>
    <n v="627.75"/>
    <n v="1554.41"/>
    <n v="130.07"/>
  </r>
  <r>
    <x v="0"/>
    <x v="7"/>
    <x v="1"/>
    <n v="0"/>
    <n v="0"/>
    <n v="0"/>
    <n v="0"/>
    <n v="0"/>
    <n v="64.599999999999994"/>
  </r>
  <r>
    <x v="0"/>
    <x v="8"/>
    <x v="1"/>
    <n v="0"/>
    <n v="0"/>
    <n v="0"/>
    <n v="0"/>
    <n v="0"/>
    <n v="4603.6000000000004"/>
  </r>
  <r>
    <x v="1"/>
    <x v="0"/>
    <x v="0"/>
    <n v="3165.88"/>
    <n v="1734.02"/>
    <n v="953.61"/>
    <n v="180.29"/>
    <n v="7.36"/>
    <n v="6041.17"/>
  </r>
  <r>
    <x v="1"/>
    <x v="1"/>
    <x v="1"/>
    <n v="213.2"/>
    <n v="300.39999999999998"/>
    <n v="315.60000000000002"/>
    <n v="113.4"/>
    <n v="10.199999999999999"/>
    <n v="952.8"/>
  </r>
  <r>
    <x v="1"/>
    <x v="2"/>
    <x v="2"/>
    <n v="67.34"/>
    <n v="173.24"/>
    <n v="330.95"/>
    <n v="628.97"/>
    <n v="1386.35"/>
    <n v="157.72"/>
  </r>
  <r>
    <x v="1"/>
    <x v="3"/>
    <x v="1"/>
    <n v="0"/>
    <n v="0"/>
    <n v="0"/>
    <n v="0"/>
    <n v="0"/>
    <n v="92.73"/>
  </r>
  <r>
    <x v="1"/>
    <x v="4"/>
    <x v="1"/>
    <n v="0"/>
    <n v="0"/>
    <n v="0"/>
    <n v="0"/>
    <n v="0"/>
    <n v="1045.53"/>
  </r>
  <r>
    <x v="1"/>
    <x v="5"/>
    <x v="0"/>
    <n v="3238.66"/>
    <n v="1734.06"/>
    <n v="953.61"/>
    <n v="180.29"/>
    <n v="7.36"/>
    <n v="6113.98"/>
  </r>
  <r>
    <x v="1"/>
    <x v="6"/>
    <x v="1"/>
    <n v="210"/>
    <n v="212"/>
    <n v="263"/>
    <n v="126"/>
    <n v="92"/>
    <n v="903"/>
  </r>
  <r>
    <x v="1"/>
    <x v="6"/>
    <x v="2"/>
    <n v="64.84"/>
    <n v="122.26"/>
    <n v="275.79000000000002"/>
    <n v="698.86"/>
    <n v="12504.35"/>
    <n v="147.69"/>
  </r>
  <r>
    <x v="1"/>
    <x v="7"/>
    <x v="1"/>
    <n v="0"/>
    <n v="0"/>
    <n v="0"/>
    <n v="0"/>
    <n v="0"/>
    <n v="16.8"/>
  </r>
  <r>
    <x v="1"/>
    <x v="8"/>
    <x v="1"/>
    <n v="0"/>
    <n v="0"/>
    <n v="0"/>
    <n v="0"/>
    <n v="0"/>
    <n v="1062.33"/>
  </r>
  <r>
    <x v="2"/>
    <x v="0"/>
    <x v="0"/>
    <n v="1385.06"/>
    <n v="437.16"/>
    <n v="121.37"/>
    <n v="18.75"/>
    <n v="0.61"/>
    <n v="1962.95"/>
  </r>
  <r>
    <x v="2"/>
    <x v="1"/>
    <x v="1"/>
    <n v="62.2"/>
    <n v="68.400000000000006"/>
    <n v="46.6"/>
    <n v="14"/>
    <n v="1.2"/>
    <n v="192.4"/>
  </r>
  <r>
    <x v="2"/>
    <x v="2"/>
    <x v="2"/>
    <n v="44.91"/>
    <n v="156.46"/>
    <n v="383.94"/>
    <n v="746.56"/>
    <n v="1971.09"/>
    <n v="98.02"/>
  </r>
  <r>
    <x v="2"/>
    <x v="3"/>
    <x v="1"/>
    <n v="0"/>
    <n v="0"/>
    <n v="0"/>
    <n v="0"/>
    <n v="0"/>
    <n v="75.2"/>
  </r>
  <r>
    <x v="2"/>
    <x v="4"/>
    <x v="1"/>
    <n v="0"/>
    <n v="0"/>
    <n v="0"/>
    <n v="0"/>
    <n v="0"/>
    <n v="267.60000000000002"/>
  </r>
  <r>
    <x v="2"/>
    <x v="5"/>
    <x v="0"/>
    <n v="1593.46"/>
    <n v="437.16"/>
    <n v="121.37"/>
    <n v="18.75"/>
    <n v="0.61"/>
    <n v="2041.81"/>
  </r>
  <r>
    <x v="2"/>
    <x v="6"/>
    <x v="1"/>
    <n v="94.29"/>
    <n v="103.42"/>
    <n v="71.48"/>
    <n v="21"/>
    <n v="1.52"/>
    <n v="292"/>
  </r>
  <r>
    <x v="2"/>
    <x v="6"/>
    <x v="2"/>
    <n v="59.17"/>
    <n v="236.56"/>
    <n v="588.92999999999995"/>
    <n v="1120"/>
    <n v="2491.8000000000002"/>
    <n v="143.01"/>
  </r>
  <r>
    <x v="2"/>
    <x v="7"/>
    <x v="1"/>
    <n v="0"/>
    <n v="0"/>
    <n v="0"/>
    <n v="0"/>
    <n v="0"/>
    <n v="7"/>
  </r>
  <r>
    <x v="2"/>
    <x v="8"/>
    <x v="1"/>
    <n v="0"/>
    <n v="0"/>
    <n v="0"/>
    <n v="0"/>
    <n v="0"/>
    <n v="274.60000000000002"/>
  </r>
  <r>
    <x v="3"/>
    <x v="0"/>
    <x v="0"/>
    <n v="1167.46"/>
    <n v="508.78"/>
    <n v="196.62"/>
    <n v="38.76"/>
    <n v="4.58"/>
    <n v="1916.2"/>
  </r>
  <r>
    <x v="3"/>
    <x v="1"/>
    <x v="1"/>
    <n v="56"/>
    <n v="85"/>
    <n v="65"/>
    <n v="29"/>
    <n v="5"/>
    <n v="240"/>
  </r>
  <r>
    <x v="3"/>
    <x v="2"/>
    <x v="2"/>
    <n v="47.97"/>
    <n v="167.07"/>
    <n v="330.59"/>
    <n v="748.19"/>
    <n v="1091.7"/>
    <n v="125.25"/>
  </r>
  <r>
    <x v="3"/>
    <x v="3"/>
    <x v="1"/>
    <n v="0"/>
    <n v="0"/>
    <n v="0"/>
    <n v="0"/>
    <n v="0"/>
    <n v="11"/>
  </r>
  <r>
    <x v="3"/>
    <x v="4"/>
    <x v="1"/>
    <n v="0"/>
    <n v="0"/>
    <n v="0"/>
    <n v="0"/>
    <n v="0"/>
    <n v="251"/>
  </r>
  <r>
    <x v="3"/>
    <x v="5"/>
    <x v="0"/>
    <n v="1234.17"/>
    <n v="558.54"/>
    <n v="215.85"/>
    <n v="42.55"/>
    <n v="5.03"/>
    <n v="1916.2"/>
  </r>
  <r>
    <x v="3"/>
    <x v="6"/>
    <x v="1"/>
    <n v="56"/>
    <n v="85"/>
    <n v="72"/>
    <n v="32"/>
    <n v="6"/>
    <n v="251"/>
  </r>
  <r>
    <x v="3"/>
    <x v="6"/>
    <x v="2"/>
    <n v="45.37"/>
    <n v="152.18"/>
    <n v="333.56"/>
    <n v="752.04"/>
    <n v="1193.32"/>
    <n v="130.99"/>
  </r>
  <r>
    <x v="3"/>
    <x v="7"/>
    <x v="1"/>
    <n v="0"/>
    <n v="0"/>
    <n v="0"/>
    <n v="0"/>
    <n v="0"/>
    <n v="2.4"/>
  </r>
  <r>
    <x v="3"/>
    <x v="8"/>
    <x v="1"/>
    <n v="0"/>
    <n v="0"/>
    <n v="0"/>
    <n v="0"/>
    <n v="0"/>
    <n v="253.4"/>
  </r>
  <r>
    <x v="4"/>
    <x v="0"/>
    <x v="0"/>
    <n v="837.27"/>
    <n v="115.68"/>
    <n v="28.88"/>
    <n v="0"/>
    <n v="0"/>
    <n v="981.83"/>
  </r>
  <r>
    <x v="4"/>
    <x v="1"/>
    <x v="1"/>
    <n v="57"/>
    <n v="18.600000000000001"/>
    <n v="8"/>
    <n v="0"/>
    <n v="0"/>
    <n v="84.42"/>
  </r>
  <r>
    <x v="4"/>
    <x v="2"/>
    <x v="2"/>
    <n v="68.08"/>
    <n v="160.80000000000001"/>
    <n v="276.97000000000003"/>
    <n v="0"/>
    <n v="0"/>
    <n v="85.98"/>
  </r>
  <r>
    <x v="4"/>
    <x v="3"/>
    <x v="1"/>
    <n v="0"/>
    <n v="0"/>
    <n v="0"/>
    <n v="0"/>
    <n v="0"/>
    <n v="1"/>
  </r>
  <r>
    <x v="4"/>
    <x v="4"/>
    <x v="1"/>
    <n v="0"/>
    <n v="0"/>
    <n v="0"/>
    <n v="0"/>
    <n v="0"/>
    <n v="85.42"/>
  </r>
  <r>
    <x v="4"/>
    <x v="5"/>
    <x v="0"/>
    <n v="895.82"/>
    <n v="115.68"/>
    <n v="28.88"/>
    <n v="0"/>
    <n v="0"/>
    <n v="1041.3800000000001"/>
  </r>
  <r>
    <x v="4"/>
    <x v="6"/>
    <x v="1"/>
    <n v="61"/>
    <n v="26"/>
    <n v="10"/>
    <n v="0"/>
    <n v="0"/>
    <n v="97"/>
  </r>
  <r>
    <x v="4"/>
    <x v="6"/>
    <x v="2"/>
    <n v="68.09"/>
    <n v="224.76"/>
    <n v="346.26"/>
    <n v="0"/>
    <n v="0"/>
    <n v="93.15"/>
  </r>
  <r>
    <x v="4"/>
    <x v="7"/>
    <x v="1"/>
    <n v="0"/>
    <n v="0"/>
    <n v="0"/>
    <n v="0"/>
    <n v="0"/>
    <n v="1"/>
  </r>
  <r>
    <x v="4"/>
    <x v="8"/>
    <x v="1"/>
    <n v="0"/>
    <n v="0"/>
    <n v="0"/>
    <n v="0"/>
    <n v="0"/>
    <n v="86.42"/>
  </r>
  <r>
    <x v="5"/>
    <x v="0"/>
    <x v="0"/>
    <n v="12553.45"/>
    <n v="4285.46"/>
    <n v="3136.71"/>
    <n v="1249.32"/>
    <n v="477.14"/>
    <n v="21702.080000000002"/>
  </r>
  <r>
    <x v="5"/>
    <x v="1"/>
    <x v="1"/>
    <n v="708"/>
    <n v="789"/>
    <n v="1082"/>
    <n v="828"/>
    <n v="950"/>
    <n v="4358"/>
  </r>
  <r>
    <x v="5"/>
    <x v="2"/>
    <x v="2"/>
    <n v="56.4"/>
    <n v="184.11"/>
    <n v="344.95"/>
    <n v="662.76"/>
    <n v="1991.03"/>
    <n v="200.81"/>
  </r>
  <r>
    <x v="5"/>
    <x v="3"/>
    <x v="1"/>
    <n v="0"/>
    <n v="0"/>
    <n v="0"/>
    <n v="0"/>
    <n v="0"/>
    <n v="331"/>
  </r>
  <r>
    <x v="5"/>
    <x v="4"/>
    <x v="1"/>
    <n v="0"/>
    <n v="0"/>
    <n v="0"/>
    <n v="0"/>
    <n v="0"/>
    <n v="4689"/>
  </r>
  <r>
    <x v="5"/>
    <x v="5"/>
    <x v="0"/>
    <n v="13930.47"/>
    <n v="4285.46"/>
    <n v="3136.71"/>
    <n v="1249.32"/>
    <n v="477.14"/>
    <n v="23079.11"/>
  </r>
  <r>
    <x v="5"/>
    <x v="6"/>
    <x v="1"/>
    <n v="669"/>
    <n v="836"/>
    <n v="1095"/>
    <n v="806"/>
    <n v="1282"/>
    <n v="4689"/>
  </r>
  <r>
    <x v="5"/>
    <x v="6"/>
    <x v="2"/>
    <n v="48.02"/>
    <n v="195.08"/>
    <n v="349.09"/>
    <n v="645.15"/>
    <n v="2686.84"/>
    <n v="203.17"/>
  </r>
  <r>
    <x v="5"/>
    <x v="7"/>
    <x v="1"/>
    <n v="0"/>
    <n v="0"/>
    <n v="0"/>
    <n v="0"/>
    <n v="0"/>
    <n v="52"/>
  </r>
  <r>
    <x v="5"/>
    <x v="8"/>
    <x v="1"/>
    <n v="0"/>
    <n v="0"/>
    <n v="0"/>
    <n v="0"/>
    <n v="0"/>
    <n v="4741"/>
  </r>
  <r>
    <x v="6"/>
    <x v="0"/>
    <x v="0"/>
    <n v="2335.3200000000002"/>
    <n v="324.25"/>
    <n v="182.91"/>
    <n v="56.57"/>
    <n v="2.59"/>
    <n v="2901.64"/>
  </r>
  <r>
    <x v="6"/>
    <x v="1"/>
    <x v="1"/>
    <n v="59.68"/>
    <n v="55.38"/>
    <n v="69.180000000000007"/>
    <n v="39.14"/>
    <n v="3.2"/>
    <n v="226.58"/>
  </r>
  <r>
    <x v="6"/>
    <x v="2"/>
    <x v="2"/>
    <n v="25.56"/>
    <n v="170.79"/>
    <n v="378.22"/>
    <n v="691.89"/>
    <n v="1235.52"/>
    <n v="78.09"/>
  </r>
  <r>
    <x v="6"/>
    <x v="3"/>
    <x v="1"/>
    <n v="0"/>
    <n v="0"/>
    <n v="0"/>
    <n v="0"/>
    <n v="0"/>
    <n v="0"/>
  </r>
  <r>
    <x v="6"/>
    <x v="4"/>
    <x v="1"/>
    <n v="0"/>
    <n v="0"/>
    <n v="0"/>
    <n v="0"/>
    <n v="0"/>
    <n v="226.58"/>
  </r>
  <r>
    <x v="6"/>
    <x v="5"/>
    <x v="0"/>
    <n v="2335.3200000000002"/>
    <n v="324.25"/>
    <n v="182.91"/>
    <n v="56.57"/>
    <n v="2.59"/>
    <n v="2908.86"/>
  </r>
  <r>
    <x v="6"/>
    <x v="6"/>
    <x v="1"/>
    <n v="55.41"/>
    <n v="51.91"/>
    <n v="64.900000000000006"/>
    <n v="36.72"/>
    <n v="3"/>
    <n v="211.95"/>
  </r>
  <r>
    <x v="6"/>
    <x v="6"/>
    <x v="2"/>
    <n v="23.73"/>
    <n v="160.09"/>
    <n v="354.83"/>
    <n v="649.15"/>
    <n v="1159.75"/>
    <n v="72.86"/>
  </r>
  <r>
    <x v="6"/>
    <x v="7"/>
    <x v="1"/>
    <n v="0"/>
    <n v="0"/>
    <n v="0"/>
    <n v="0"/>
    <n v="0"/>
    <n v="2.81"/>
  </r>
  <r>
    <x v="6"/>
    <x v="8"/>
    <x v="1"/>
    <n v="0"/>
    <n v="0"/>
    <n v="0"/>
    <n v="0"/>
    <n v="0"/>
    <n v="229.39"/>
  </r>
  <r>
    <x v="7"/>
    <x v="0"/>
    <x v="0"/>
    <n v="1602.96"/>
    <n v="749.79"/>
    <n v="143.07"/>
    <n v="23.53"/>
    <n v="1.33"/>
    <n v="2520.6799999999998"/>
  </r>
  <r>
    <x v="7"/>
    <x v="1"/>
    <x v="1"/>
    <n v="117"/>
    <n v="137"/>
    <n v="42"/>
    <n v="14"/>
    <n v="1"/>
    <n v="312"/>
  </r>
  <r>
    <x v="7"/>
    <x v="2"/>
    <x v="2"/>
    <n v="72.989999999999995"/>
    <n v="182.72"/>
    <n v="293.56"/>
    <n v="594.99"/>
    <n v="751.88"/>
    <n v="123.78"/>
  </r>
  <r>
    <x v="7"/>
    <x v="3"/>
    <x v="1"/>
    <n v="0"/>
    <n v="0"/>
    <n v="0"/>
    <n v="0"/>
    <n v="0"/>
    <n v="5"/>
  </r>
  <r>
    <x v="7"/>
    <x v="4"/>
    <x v="1"/>
    <n v="0"/>
    <n v="0"/>
    <n v="0"/>
    <n v="0"/>
    <n v="0"/>
    <n v="317"/>
  </r>
  <r>
    <x v="7"/>
    <x v="5"/>
    <x v="0"/>
    <n v="1636.83"/>
    <n v="748.9"/>
    <n v="143.5"/>
    <n v="23.83"/>
    <n v="2.93"/>
    <n v="2580.38"/>
  </r>
  <r>
    <x v="7"/>
    <x v="6"/>
    <x v="1"/>
    <n v="119"/>
    <n v="136"/>
    <n v="42"/>
    <n v="15"/>
    <n v="4"/>
    <n v="317"/>
  </r>
  <r>
    <x v="7"/>
    <x v="6"/>
    <x v="2"/>
    <n v="72.7"/>
    <n v="181.6"/>
    <n v="292.68"/>
    <n v="629.46"/>
    <n v="1365.19"/>
    <n v="122.85"/>
  </r>
  <r>
    <x v="7"/>
    <x v="7"/>
    <x v="1"/>
    <n v="0"/>
    <n v="0"/>
    <n v="0"/>
    <n v="0"/>
    <n v="0"/>
    <n v="11"/>
  </r>
  <r>
    <x v="7"/>
    <x v="8"/>
    <x v="1"/>
    <n v="0"/>
    <n v="0"/>
    <n v="0"/>
    <n v="0"/>
    <n v="0"/>
    <n v="328"/>
  </r>
  <r>
    <x v="8"/>
    <x v="0"/>
    <x v="0"/>
    <n v="2525.92"/>
    <n v="331.23"/>
    <n v="198.11"/>
    <n v="26.64"/>
    <n v="0"/>
    <n v="3081.91"/>
  </r>
  <r>
    <x v="8"/>
    <x v="1"/>
    <x v="1"/>
    <n v="133"/>
    <n v="59"/>
    <n v="62"/>
    <n v="16"/>
    <n v="0"/>
    <n v="271"/>
  </r>
  <r>
    <x v="8"/>
    <x v="2"/>
    <x v="2"/>
    <n v="52.65"/>
    <n v="178.12"/>
    <n v="312.95999999999998"/>
    <n v="600.6"/>
    <n v="0"/>
    <n v="87.93"/>
  </r>
  <r>
    <x v="8"/>
    <x v="3"/>
    <x v="1"/>
    <n v="0"/>
    <n v="0"/>
    <n v="0"/>
    <n v="0"/>
    <n v="0"/>
    <n v="2"/>
  </r>
  <r>
    <x v="8"/>
    <x v="4"/>
    <x v="1"/>
    <n v="0"/>
    <n v="0"/>
    <n v="0"/>
    <n v="0"/>
    <n v="0"/>
    <n v="273"/>
  </r>
  <r>
    <x v="8"/>
    <x v="5"/>
    <x v="0"/>
    <n v="2678.43"/>
    <n v="331.23"/>
    <n v="198.11"/>
    <n v="26.64"/>
    <n v="0"/>
    <n v="3234.41"/>
  </r>
  <r>
    <x v="8"/>
    <x v="6"/>
    <x v="1"/>
    <n v="135"/>
    <n v="59"/>
    <n v="62"/>
    <n v="16"/>
    <n v="0"/>
    <n v="273"/>
  </r>
  <r>
    <x v="8"/>
    <x v="6"/>
    <x v="2"/>
    <n v="50.4"/>
    <n v="178.12"/>
    <n v="312.95999999999998"/>
    <n v="600.52"/>
    <n v="0"/>
    <n v="84.4"/>
  </r>
  <r>
    <x v="8"/>
    <x v="7"/>
    <x v="1"/>
    <n v="0"/>
    <n v="0"/>
    <n v="0"/>
    <n v="0"/>
    <n v="0"/>
    <n v="7"/>
  </r>
  <r>
    <x v="8"/>
    <x v="8"/>
    <x v="1"/>
    <n v="0"/>
    <n v="0"/>
    <n v="0"/>
    <n v="0"/>
    <n v="0"/>
    <n v="280"/>
  </r>
  <r>
    <x v="9"/>
    <x v="0"/>
    <x v="0"/>
    <n v="8572.83"/>
    <n v="2467.3200000000002"/>
    <n v="1114.83"/>
    <n v="667.48"/>
    <n v="371.09"/>
    <n v="13193.54"/>
  </r>
  <r>
    <x v="9"/>
    <x v="1"/>
    <x v="1"/>
    <n v="478.1"/>
    <n v="449.12"/>
    <n v="394"/>
    <n v="469.95"/>
    <n v="613.08000000000004"/>
    <n v="2404.2600000000002"/>
  </r>
  <r>
    <x v="9"/>
    <x v="2"/>
    <x v="2"/>
    <n v="55.77"/>
    <n v="182.03"/>
    <n v="353.42"/>
    <n v="704.07"/>
    <n v="1652.11"/>
    <n v="182.23"/>
  </r>
  <r>
    <x v="9"/>
    <x v="3"/>
    <x v="1"/>
    <n v="0"/>
    <n v="0"/>
    <n v="0"/>
    <n v="0"/>
    <n v="0"/>
    <n v="24.34"/>
  </r>
  <r>
    <x v="9"/>
    <x v="4"/>
    <x v="1"/>
    <n v="0"/>
    <n v="0"/>
    <n v="0"/>
    <n v="0"/>
    <n v="0"/>
    <n v="2428.6"/>
  </r>
  <r>
    <x v="9"/>
    <x v="5"/>
    <x v="0"/>
    <n v="8718.1"/>
    <n v="2493.79"/>
    <n v="1125.6300000000001"/>
    <n v="672.06"/>
    <n v="372.48"/>
    <n v="13382.05"/>
  </r>
  <r>
    <x v="9"/>
    <x v="6"/>
    <x v="1"/>
    <n v="294"/>
    <n v="407"/>
    <n v="384"/>
    <n v="468"/>
    <n v="565"/>
    <n v="2118"/>
  </r>
  <r>
    <x v="9"/>
    <x v="6"/>
    <x v="2"/>
    <n v="33.72"/>
    <n v="163.21"/>
    <n v="341.14"/>
    <n v="696.37"/>
    <n v="1516.86"/>
    <n v="158.27000000000001"/>
  </r>
  <r>
    <x v="9"/>
    <x v="7"/>
    <x v="1"/>
    <n v="0"/>
    <n v="0"/>
    <n v="0"/>
    <n v="0"/>
    <n v="0"/>
    <n v="50.4"/>
  </r>
  <r>
    <x v="9"/>
    <x v="8"/>
    <x v="1"/>
    <n v="0"/>
    <n v="0"/>
    <n v="0"/>
    <n v="0"/>
    <n v="0"/>
    <n v="2479"/>
  </r>
  <r>
    <x v="10"/>
    <x v="0"/>
    <x v="0"/>
    <n v="7602"/>
    <n v="3000"/>
    <n v="1330"/>
    <n v="305"/>
    <n v="39"/>
    <n v="12276"/>
  </r>
  <r>
    <x v="10"/>
    <x v="1"/>
    <x v="1"/>
    <n v="504"/>
    <n v="537"/>
    <n v="453"/>
    <n v="214"/>
    <n v="62"/>
    <n v="1770"/>
  </r>
  <r>
    <x v="10"/>
    <x v="2"/>
    <x v="2"/>
    <n v="66.3"/>
    <n v="179"/>
    <n v="340.6"/>
    <n v="701.64"/>
    <n v="1589.74"/>
    <n v="144.18"/>
  </r>
  <r>
    <x v="10"/>
    <x v="3"/>
    <x v="1"/>
    <n v="0"/>
    <n v="0"/>
    <n v="0"/>
    <n v="0"/>
    <n v="0"/>
    <n v="2"/>
  </r>
  <r>
    <x v="10"/>
    <x v="4"/>
    <x v="1"/>
    <n v="0"/>
    <n v="0"/>
    <n v="0"/>
    <n v="0"/>
    <n v="0"/>
    <n v="1772"/>
  </r>
  <r>
    <x v="10"/>
    <x v="5"/>
    <x v="0"/>
    <n v="7627"/>
    <n v="3012"/>
    <n v="1331"/>
    <n v="306"/>
    <n v="39"/>
    <n v="12315"/>
  </r>
  <r>
    <x v="10"/>
    <x v="6"/>
    <x v="1"/>
    <n v="468"/>
    <n v="532"/>
    <n v="402"/>
    <n v="187"/>
    <n v="52"/>
    <n v="1641"/>
  </r>
  <r>
    <x v="10"/>
    <x v="6"/>
    <x v="2"/>
    <n v="61.36"/>
    <n v="176.63"/>
    <n v="302.02999999999997"/>
    <n v="611.11"/>
    <n v="1333.33"/>
    <n v="133.25"/>
  </r>
  <r>
    <x v="10"/>
    <x v="7"/>
    <x v="1"/>
    <n v="0"/>
    <n v="0"/>
    <n v="0"/>
    <n v="0"/>
    <n v="0"/>
    <n v="45"/>
  </r>
  <r>
    <x v="10"/>
    <x v="8"/>
    <x v="1"/>
    <n v="0"/>
    <n v="0"/>
    <n v="0"/>
    <n v="0"/>
    <n v="0"/>
    <n v="1817"/>
  </r>
  <r>
    <x v="11"/>
    <x v="0"/>
    <x v="0"/>
    <n v="1863.13"/>
    <n v="1571.25"/>
    <n v="1274.71"/>
    <n v="321.37"/>
    <n v="51.63"/>
    <n v="5082.09"/>
  </r>
  <r>
    <x v="11"/>
    <x v="1"/>
    <x v="1"/>
    <n v="125"/>
    <n v="293"/>
    <n v="433"/>
    <n v="214"/>
    <n v="78"/>
    <n v="1143"/>
  </r>
  <r>
    <x v="11"/>
    <x v="2"/>
    <x v="2"/>
    <n v="67.09"/>
    <n v="186.48"/>
    <n v="339.69"/>
    <n v="665.9"/>
    <n v="1510.75"/>
    <n v="224.91"/>
  </r>
  <r>
    <x v="11"/>
    <x v="3"/>
    <x v="1"/>
    <n v="0"/>
    <n v="0"/>
    <n v="0"/>
    <n v="0"/>
    <n v="0"/>
    <n v="159"/>
  </r>
  <r>
    <x v="11"/>
    <x v="4"/>
    <x v="1"/>
    <n v="0"/>
    <n v="0"/>
    <n v="0"/>
    <n v="0"/>
    <n v="0"/>
    <n v="1302"/>
  </r>
  <r>
    <x v="11"/>
    <x v="5"/>
    <x v="0"/>
    <n v="1990.19"/>
    <n v="1394.73"/>
    <n v="1413.89"/>
    <n v="427.48"/>
    <n v="92.34"/>
    <n v="5318.63"/>
  </r>
  <r>
    <x v="11"/>
    <x v="6"/>
    <x v="1"/>
    <n v="127"/>
    <n v="262"/>
    <n v="487"/>
    <n v="286"/>
    <n v="141"/>
    <n v="1303"/>
  </r>
  <r>
    <x v="11"/>
    <x v="6"/>
    <x v="2"/>
    <n v="63.81"/>
    <n v="187.85"/>
    <n v="344.44"/>
    <n v="669.04"/>
    <n v="1526.97"/>
    <n v="244.99"/>
  </r>
  <r>
    <x v="11"/>
    <x v="7"/>
    <x v="1"/>
    <n v="0"/>
    <n v="0"/>
    <n v="0"/>
    <n v="0"/>
    <n v="0"/>
    <n v="11"/>
  </r>
  <r>
    <x v="11"/>
    <x v="8"/>
    <x v="1"/>
    <n v="0"/>
    <n v="0"/>
    <n v="0"/>
    <n v="0"/>
    <n v="0"/>
    <n v="1313"/>
  </r>
  <r>
    <x v="12"/>
    <x v="0"/>
    <x v="0"/>
    <n v="23380.38"/>
    <n v="8915.86"/>
    <n v="6671.88"/>
    <n v="1318.93"/>
    <n v="122.98"/>
    <n v="40410.03"/>
  </r>
  <r>
    <x v="12"/>
    <x v="1"/>
    <x v="1"/>
    <n v="841.2"/>
    <n v="1598.6"/>
    <n v="2239.1999999999998"/>
    <n v="843.4"/>
    <n v="163.19999999999999"/>
    <n v="5685.6"/>
  </r>
  <r>
    <x v="12"/>
    <x v="2"/>
    <x v="2"/>
    <n v="35.979999999999997"/>
    <n v="179.3"/>
    <n v="335.62"/>
    <n v="639.46"/>
    <n v="1327.05"/>
    <n v="140.69999999999999"/>
  </r>
  <r>
    <x v="12"/>
    <x v="3"/>
    <x v="1"/>
    <n v="0"/>
    <n v="0"/>
    <n v="0"/>
    <n v="0"/>
    <n v="0"/>
    <n v="231"/>
  </r>
  <r>
    <x v="12"/>
    <x v="4"/>
    <x v="1"/>
    <n v="0"/>
    <n v="0"/>
    <n v="0"/>
    <n v="0"/>
    <n v="0"/>
    <n v="5916.6"/>
  </r>
  <r>
    <x v="12"/>
    <x v="5"/>
    <x v="0"/>
    <n v="25037"/>
    <n v="9317.27"/>
    <n v="6857.5"/>
    <n v="1346.99"/>
    <n v="125.94"/>
    <n v="42685"/>
  </r>
  <r>
    <x v="12"/>
    <x v="6"/>
    <x v="1"/>
    <n v="936.4"/>
    <n v="1670.6"/>
    <n v="2287.4"/>
    <n v="855"/>
    <n v="166.4"/>
    <n v="5915.8"/>
  </r>
  <r>
    <x v="12"/>
    <x v="6"/>
    <x v="2"/>
    <n v="37.4"/>
    <n v="179.3"/>
    <n v="333.56"/>
    <n v="634.75"/>
    <n v="1321.3"/>
    <n v="138.59"/>
  </r>
  <r>
    <x v="12"/>
    <x v="7"/>
    <x v="1"/>
    <n v="0"/>
    <n v="0"/>
    <n v="0"/>
    <n v="0"/>
    <n v="0"/>
    <n v="97.4"/>
  </r>
  <r>
    <x v="12"/>
    <x v="8"/>
    <x v="1"/>
    <n v="0"/>
    <n v="0"/>
    <n v="0"/>
    <n v="0"/>
    <n v="0"/>
    <n v="6014"/>
  </r>
  <r>
    <x v="13"/>
    <x v="0"/>
    <x v="0"/>
    <n v="8480.61"/>
    <n v="4359.84"/>
    <n v="34.79"/>
    <n v="466.55"/>
    <n v="358.35"/>
    <n v="13700.14"/>
  </r>
  <r>
    <x v="13"/>
    <x v="1"/>
    <x v="1"/>
    <n v="412"/>
    <n v="780"/>
    <n v="12"/>
    <n v="258"/>
    <n v="911"/>
    <n v="2373"/>
  </r>
  <r>
    <x v="13"/>
    <x v="2"/>
    <x v="2"/>
    <n v="48.58"/>
    <n v="178.91"/>
    <n v="344.93"/>
    <n v="553"/>
    <n v="2542.21"/>
    <n v="173.21"/>
  </r>
  <r>
    <x v="13"/>
    <x v="3"/>
    <x v="1"/>
    <n v="0"/>
    <n v="0"/>
    <n v="0"/>
    <n v="0"/>
    <n v="0"/>
    <n v="228"/>
  </r>
  <r>
    <x v="13"/>
    <x v="4"/>
    <x v="1"/>
    <n v="0"/>
    <n v="0"/>
    <n v="0"/>
    <n v="0"/>
    <n v="0"/>
    <n v="2601"/>
  </r>
  <r>
    <x v="13"/>
    <x v="5"/>
    <x v="0"/>
    <n v="8710.91"/>
    <n v="4533.09"/>
    <n v="71.05"/>
    <n v="468.94"/>
    <n v="426.31"/>
    <n v="14210.3"/>
  </r>
  <r>
    <x v="13"/>
    <x v="6"/>
    <x v="1"/>
    <n v="419"/>
    <n v="812"/>
    <n v="25"/>
    <n v="262"/>
    <n v="1081"/>
    <n v="2600"/>
  </r>
  <r>
    <x v="13"/>
    <x v="6"/>
    <x v="2"/>
    <n v="48.1"/>
    <n v="179.13"/>
    <n v="351.86"/>
    <n v="558.71"/>
    <n v="2535.71"/>
    <n v="182.97"/>
  </r>
  <r>
    <x v="13"/>
    <x v="7"/>
    <x v="1"/>
    <n v="0"/>
    <n v="0"/>
    <n v="0"/>
    <n v="0"/>
    <n v="0"/>
    <n v="3"/>
  </r>
  <r>
    <x v="13"/>
    <x v="8"/>
    <x v="1"/>
    <n v="0"/>
    <n v="0"/>
    <n v="0"/>
    <n v="0"/>
    <n v="0"/>
    <n v="2604"/>
  </r>
  <r>
    <x v="14"/>
    <x v="0"/>
    <x v="0"/>
    <n v="613.19000000000005"/>
    <n v="104.33"/>
    <n v="57.45"/>
    <n v="0"/>
    <n v="0"/>
    <n v="774.97"/>
  </r>
  <r>
    <x v="14"/>
    <x v="1"/>
    <x v="1"/>
    <n v="24"/>
    <n v="20"/>
    <n v="17"/>
    <n v="0"/>
    <n v="0"/>
    <n v="61"/>
  </r>
  <r>
    <x v="14"/>
    <x v="2"/>
    <x v="2"/>
    <n v="39.14"/>
    <n v="191.7"/>
    <n v="295.89"/>
    <n v="0"/>
    <n v="0"/>
    <n v="78.709999999999994"/>
  </r>
  <r>
    <x v="14"/>
    <x v="3"/>
    <x v="1"/>
    <n v="0"/>
    <n v="0"/>
    <n v="0"/>
    <n v="0"/>
    <n v="0"/>
    <n v="8"/>
  </r>
  <r>
    <x v="14"/>
    <x v="4"/>
    <x v="1"/>
    <n v="0"/>
    <n v="0"/>
    <n v="0"/>
    <n v="0"/>
    <n v="0"/>
    <n v="69"/>
  </r>
  <r>
    <x v="14"/>
    <x v="5"/>
    <x v="0"/>
    <n v="637.51"/>
    <n v="104.33"/>
    <n v="57.45"/>
    <n v="0"/>
    <n v="0"/>
    <n v="791.08"/>
  </r>
  <r>
    <x v="14"/>
    <x v="6"/>
    <x v="1"/>
    <n v="27"/>
    <n v="19"/>
    <n v="23"/>
    <n v="0"/>
    <n v="0"/>
    <n v="69"/>
  </r>
  <r>
    <x v="14"/>
    <x v="6"/>
    <x v="2"/>
    <n v="42.35"/>
    <n v="182.11"/>
    <n v="400.33"/>
    <n v="0"/>
    <n v="0"/>
    <n v="87.22"/>
  </r>
  <r>
    <x v="14"/>
    <x v="7"/>
    <x v="1"/>
    <n v="0"/>
    <n v="0"/>
    <n v="0"/>
    <n v="0"/>
    <n v="0"/>
    <n v="1"/>
  </r>
  <r>
    <x v="14"/>
    <x v="8"/>
    <x v="1"/>
    <n v="0"/>
    <n v="0"/>
    <n v="0"/>
    <n v="0"/>
    <n v="0"/>
    <n v="70"/>
  </r>
  <r>
    <x v="15"/>
    <x v="0"/>
    <x v="0"/>
    <n v="5677.07"/>
    <n v="7811.04"/>
    <n v="7471.91"/>
    <n v="3709.34"/>
    <n v="2393.86"/>
    <n v="27063.23"/>
  </r>
  <r>
    <x v="15"/>
    <x v="1"/>
    <x v="1"/>
    <n v="448"/>
    <n v="1444"/>
    <n v="2654"/>
    <n v="2655"/>
    <n v="4298"/>
    <n v="11497"/>
  </r>
  <r>
    <x v="15"/>
    <x v="2"/>
    <x v="2"/>
    <n v="78.91"/>
    <n v="184.87"/>
    <n v="355.2"/>
    <n v="715.76"/>
    <n v="1795.43"/>
    <n v="424.82"/>
  </r>
  <r>
    <x v="15"/>
    <x v="3"/>
    <x v="1"/>
    <n v="0"/>
    <n v="0"/>
    <n v="0"/>
    <n v="0"/>
    <n v="0"/>
    <n v="627"/>
  </r>
  <r>
    <x v="15"/>
    <x v="4"/>
    <x v="1"/>
    <n v="0"/>
    <n v="0"/>
    <n v="0"/>
    <n v="0"/>
    <n v="0"/>
    <n v="12124"/>
  </r>
  <r>
    <x v="15"/>
    <x v="5"/>
    <x v="0"/>
    <n v="5891.17"/>
    <n v="8151.64"/>
    <n v="7781.78"/>
    <n v="3971.38"/>
    <n v="2699.45"/>
    <n v="28495.41"/>
  </r>
  <r>
    <x v="15"/>
    <x v="6"/>
    <x v="1"/>
    <n v="460"/>
    <n v="1485"/>
    <n v="2731"/>
    <n v="2784"/>
    <n v="4665"/>
    <n v="12125"/>
  </r>
  <r>
    <x v="15"/>
    <x v="6"/>
    <x v="2"/>
    <n v="78.08"/>
    <n v="182.17"/>
    <n v="350.95"/>
    <n v="701.02"/>
    <n v="1728.13"/>
    <n v="425.51"/>
  </r>
  <r>
    <x v="15"/>
    <x v="7"/>
    <x v="1"/>
    <n v="0"/>
    <n v="0"/>
    <n v="0"/>
    <n v="0"/>
    <n v="0"/>
    <n v="125"/>
  </r>
  <r>
    <x v="15"/>
    <x v="8"/>
    <x v="1"/>
    <n v="0"/>
    <n v="0"/>
    <n v="0"/>
    <n v="0"/>
    <n v="0"/>
    <n v="12249"/>
  </r>
  <r>
    <x v="16"/>
    <x v="0"/>
    <x v="0"/>
    <n v="3087.91"/>
    <n v="4138.9399999999996"/>
    <n v="3648.09"/>
    <n v="1602.58"/>
    <n v="415.05"/>
    <n v="12892.57"/>
  </r>
  <r>
    <x v="16"/>
    <x v="1"/>
    <x v="1"/>
    <n v="237.43"/>
    <n v="725.06"/>
    <n v="1269.43"/>
    <n v="1061.73"/>
    <n v="602.95000000000005"/>
    <n v="3896.59"/>
  </r>
  <r>
    <x v="16"/>
    <x v="2"/>
    <x v="2"/>
    <n v="76.89"/>
    <n v="175.18"/>
    <n v="347.97"/>
    <n v="662.51"/>
    <n v="1452.72"/>
    <n v="302.24"/>
  </r>
  <r>
    <x v="16"/>
    <x v="3"/>
    <x v="1"/>
    <n v="0"/>
    <n v="0"/>
    <n v="0"/>
    <n v="0"/>
    <n v="0"/>
    <n v="45.01"/>
  </r>
  <r>
    <x v="16"/>
    <x v="4"/>
    <x v="1"/>
    <n v="0"/>
    <n v="0"/>
    <n v="0"/>
    <n v="0"/>
    <n v="0"/>
    <n v="3941.6"/>
  </r>
  <r>
    <x v="16"/>
    <x v="5"/>
    <x v="0"/>
    <n v="3277.09"/>
    <n v="4359.8599999999997"/>
    <n v="3715.46"/>
    <n v="1629.7"/>
    <n v="418.41"/>
    <n v="13400.52"/>
  </r>
  <r>
    <x v="16"/>
    <x v="6"/>
    <x v="1"/>
    <n v="272"/>
    <n v="768"/>
    <n v="1230"/>
    <n v="1070"/>
    <n v="557"/>
    <n v="3897"/>
  </r>
  <r>
    <x v="16"/>
    <x v="6"/>
    <x v="2"/>
    <n v="83"/>
    <n v="176.15"/>
    <n v="331.05"/>
    <n v="656.56"/>
    <n v="1331.24"/>
    <n v="290.81"/>
  </r>
  <r>
    <x v="16"/>
    <x v="7"/>
    <x v="1"/>
    <n v="0"/>
    <n v="0"/>
    <n v="0"/>
    <n v="0"/>
    <n v="0"/>
    <n v="51"/>
  </r>
  <r>
    <x v="16"/>
    <x v="8"/>
    <x v="1"/>
    <n v="0"/>
    <n v="0"/>
    <n v="0"/>
    <n v="0"/>
    <n v="0"/>
    <n v="3992.6"/>
  </r>
  <r>
    <x v="17"/>
    <x v="0"/>
    <x v="0"/>
    <n v="22304.21"/>
    <n v="8880.49"/>
    <n v="5437.18"/>
    <n v="1095.74"/>
    <n v="108.87"/>
    <n v="37826.49"/>
  </r>
  <r>
    <x v="17"/>
    <x v="1"/>
    <x v="1"/>
    <n v="1374"/>
    <n v="1504"/>
    <n v="1819"/>
    <n v="712"/>
    <n v="148"/>
    <n v="5557"/>
  </r>
  <r>
    <x v="17"/>
    <x v="2"/>
    <x v="2"/>
    <n v="61.6"/>
    <n v="169.36"/>
    <n v="334.55"/>
    <n v="649.79"/>
    <n v="1359.42"/>
    <n v="146.91"/>
  </r>
  <r>
    <x v="17"/>
    <x v="3"/>
    <x v="1"/>
    <n v="0"/>
    <n v="0"/>
    <n v="0"/>
    <n v="0"/>
    <n v="0"/>
    <n v="1162"/>
  </r>
  <r>
    <x v="17"/>
    <x v="4"/>
    <x v="1"/>
    <n v="0"/>
    <n v="0"/>
    <n v="0"/>
    <n v="0"/>
    <n v="0"/>
    <n v="6719"/>
  </r>
  <r>
    <x v="17"/>
    <x v="5"/>
    <x v="0"/>
    <n v="22277.45"/>
    <n v="8869.83"/>
    <n v="5430.66"/>
    <n v="1094.42"/>
    <n v="108.74"/>
    <n v="37781.1"/>
  </r>
  <r>
    <x v="17"/>
    <x v="6"/>
    <x v="1"/>
    <n v="1357"/>
    <n v="1561"/>
    <n v="1813"/>
    <n v="625"/>
    <n v="131"/>
    <n v="5487"/>
  </r>
  <r>
    <x v="17"/>
    <x v="6"/>
    <x v="2"/>
    <n v="60.91"/>
    <n v="175.99"/>
    <n v="333.85"/>
    <n v="571.08000000000004"/>
    <n v="1204.71"/>
    <n v="145.22999999999999"/>
  </r>
  <r>
    <x v="17"/>
    <x v="7"/>
    <x v="1"/>
    <n v="0"/>
    <n v="0"/>
    <n v="0"/>
    <n v="0"/>
    <n v="0"/>
    <n v="99"/>
  </r>
  <r>
    <x v="17"/>
    <x v="8"/>
    <x v="1"/>
    <n v="0"/>
    <n v="0"/>
    <n v="0"/>
    <n v="0"/>
    <n v="0"/>
    <n v="6818"/>
  </r>
  <r>
    <x v="18"/>
    <x v="0"/>
    <x v="0"/>
    <n v="11823.87"/>
    <n v="4433.6099999999997"/>
    <n v="6066.07"/>
    <n v="1077.6500000000001"/>
    <n v="84.81"/>
    <n v="23486.01"/>
  </r>
  <r>
    <x v="18"/>
    <x v="1"/>
    <x v="1"/>
    <n v="781"/>
    <n v="820"/>
    <n v="2135"/>
    <n v="709"/>
    <n v="109"/>
    <n v="4554"/>
  </r>
  <r>
    <x v="18"/>
    <x v="2"/>
    <x v="2"/>
    <n v="66.099999999999994"/>
    <n v="184.9"/>
    <n v="351.9"/>
    <n v="657.9"/>
    <n v="1288.7"/>
    <n v="193.9"/>
  </r>
  <r>
    <x v="18"/>
    <x v="3"/>
    <x v="1"/>
    <n v="0"/>
    <n v="0"/>
    <n v="0"/>
    <n v="0"/>
    <n v="0"/>
    <n v="110"/>
  </r>
  <r>
    <x v="18"/>
    <x v="4"/>
    <x v="1"/>
    <n v="0"/>
    <n v="0"/>
    <n v="0"/>
    <n v="0"/>
    <n v="0"/>
    <n v="4664"/>
  </r>
  <r>
    <x v="18"/>
    <x v="5"/>
    <x v="0"/>
    <n v="13359.74"/>
    <n v="4433.6099999999997"/>
    <n v="6066.07"/>
    <n v="1077.6500000000001"/>
    <n v="84.81"/>
    <n v="25021.88"/>
  </r>
  <r>
    <x v="18"/>
    <x v="6"/>
    <x v="1"/>
    <n v="605"/>
    <n v="601"/>
    <n v="1396"/>
    <n v="298"/>
    <n v="17"/>
    <n v="2917"/>
  </r>
  <r>
    <x v="18"/>
    <x v="6"/>
    <x v="2"/>
    <n v="43.1"/>
    <n v="131.9"/>
    <n v="242.5"/>
    <n v="472.7"/>
    <n v="640.1"/>
    <n v="116.58"/>
  </r>
  <r>
    <x v="18"/>
    <x v="7"/>
    <x v="1"/>
    <n v="0"/>
    <n v="0"/>
    <n v="0"/>
    <n v="0"/>
    <n v="0"/>
    <n v="59"/>
  </r>
  <r>
    <x v="18"/>
    <x v="8"/>
    <x v="1"/>
    <n v="0"/>
    <n v="0"/>
    <n v="0"/>
    <n v="0"/>
    <n v="0"/>
    <n v="4723"/>
  </r>
  <r>
    <x v="19"/>
    <x v="0"/>
    <x v="0"/>
    <n v="6105.04"/>
    <n v="3275.33"/>
    <n v="1049.17"/>
    <n v="119.82"/>
    <n v="8.1"/>
    <n v="10557.46"/>
  </r>
  <r>
    <x v="19"/>
    <x v="1"/>
    <x v="1"/>
    <n v="378"/>
    <n v="577"/>
    <n v="331"/>
    <n v="74"/>
    <n v="22"/>
    <n v="1382"/>
  </r>
  <r>
    <x v="19"/>
    <x v="2"/>
    <x v="2"/>
    <n v="61.92"/>
    <n v="176.17"/>
    <n v="315.49"/>
    <n v="617.59"/>
    <n v="2716.05"/>
    <n v="130.9"/>
  </r>
  <r>
    <x v="19"/>
    <x v="3"/>
    <x v="1"/>
    <n v="0"/>
    <n v="0"/>
    <n v="0"/>
    <n v="0"/>
    <n v="0"/>
    <n v="80"/>
  </r>
  <r>
    <x v="19"/>
    <x v="4"/>
    <x v="1"/>
    <n v="0"/>
    <n v="0"/>
    <n v="0"/>
    <n v="0"/>
    <n v="0"/>
    <n v="1462"/>
  </r>
  <r>
    <x v="19"/>
    <x v="5"/>
    <x v="0"/>
    <n v="6038.83"/>
    <n v="3331.65"/>
    <n v="1053.1300000000001"/>
    <n v="135.36000000000001"/>
    <n v="9.51"/>
    <n v="10577"/>
  </r>
  <r>
    <x v="19"/>
    <x v="6"/>
    <x v="1"/>
    <n v="379"/>
    <n v="590"/>
    <n v="333"/>
    <n v="84"/>
    <n v="26"/>
    <n v="1412"/>
  </r>
  <r>
    <x v="19"/>
    <x v="6"/>
    <x v="2"/>
    <n v="62.76"/>
    <n v="177.09"/>
    <n v="316.2"/>
    <n v="620.57000000000005"/>
    <n v="2733.96"/>
    <n v="133.5"/>
  </r>
  <r>
    <x v="19"/>
    <x v="7"/>
    <x v="1"/>
    <n v="0"/>
    <n v="0"/>
    <n v="0"/>
    <n v="0"/>
    <n v="0"/>
    <n v="30"/>
  </r>
  <r>
    <x v="19"/>
    <x v="8"/>
    <x v="1"/>
    <n v="0"/>
    <n v="0"/>
    <n v="0"/>
    <n v="0"/>
    <n v="0"/>
    <n v="1492"/>
  </r>
  <r>
    <x v="20"/>
    <x v="0"/>
    <x v="0"/>
    <n v="10535.73"/>
    <n v="10023.51"/>
    <n v="6246.04"/>
    <n v="1564.05"/>
    <n v="200.09"/>
    <n v="28569.42"/>
  </r>
  <r>
    <x v="20"/>
    <x v="1"/>
    <x v="1"/>
    <n v="886"/>
    <n v="1809"/>
    <n v="2100"/>
    <n v="1013"/>
    <n v="285"/>
    <n v="6093"/>
  </r>
  <r>
    <x v="20"/>
    <x v="2"/>
    <x v="2"/>
    <n v="84.09"/>
    <n v="180.48"/>
    <n v="336.21"/>
    <n v="647.67999999999995"/>
    <n v="1424.36"/>
    <n v="213.27"/>
  </r>
  <r>
    <x v="20"/>
    <x v="3"/>
    <x v="1"/>
    <n v="0"/>
    <n v="0"/>
    <n v="0"/>
    <n v="0"/>
    <n v="0"/>
    <n v="0"/>
  </r>
  <r>
    <x v="20"/>
    <x v="4"/>
    <x v="1"/>
    <n v="0"/>
    <n v="0"/>
    <n v="0"/>
    <n v="0"/>
    <n v="0"/>
    <n v="6093"/>
  </r>
  <r>
    <x v="20"/>
    <x v="5"/>
    <x v="0"/>
    <n v="10535.73"/>
    <n v="10023.51"/>
    <n v="6246.04"/>
    <n v="1564.05"/>
    <n v="200.09"/>
    <n v="28602"/>
  </r>
  <r>
    <x v="20"/>
    <x v="6"/>
    <x v="1"/>
    <n v="886"/>
    <n v="1809"/>
    <n v="2100"/>
    <n v="1013"/>
    <n v="285"/>
    <n v="6093"/>
  </r>
  <r>
    <x v="20"/>
    <x v="6"/>
    <x v="2"/>
    <n v="84.09"/>
    <n v="180.48"/>
    <n v="336.21"/>
    <n v="647.67999999999995"/>
    <n v="1424.36"/>
    <n v="213.03"/>
  </r>
  <r>
    <x v="20"/>
    <x v="7"/>
    <x v="1"/>
    <n v="0"/>
    <n v="0"/>
    <n v="0"/>
    <n v="0"/>
    <n v="0"/>
    <n v="118"/>
  </r>
  <r>
    <x v="20"/>
    <x v="8"/>
    <x v="1"/>
    <n v="0"/>
    <n v="0"/>
    <n v="0"/>
    <n v="0"/>
    <n v="0"/>
    <n v="62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E4797EB-CD69-48F3-B309-6C957A5B37E7}" name="PivotTable1" cacheId="210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G28" firstHeaderRow="0" firstDataRow="1" firstDataCol="1" rowPageCount="2" colPageCount="1"/>
  <pivotFields count="9">
    <pivotField axis="axisRow" showAll="0">
      <items count="22">
        <item x="0"/>
        <item x="1"/>
        <item x="2"/>
        <item x="3"/>
        <item x="4"/>
        <item x="5"/>
        <item x="17"/>
        <item x="6"/>
        <item x="7"/>
        <item x="8"/>
        <item x="9"/>
        <item x="10"/>
        <item x="11"/>
        <item x="12"/>
        <item x="13"/>
        <item x="14"/>
        <item x="15"/>
        <item x="16"/>
        <item x="18"/>
        <item x="19"/>
        <item x="20"/>
        <item t="default"/>
      </items>
    </pivotField>
    <pivotField axis="axisPage" showAll="0">
      <items count="10">
        <item x="0"/>
        <item x="4"/>
        <item x="1"/>
        <item x="2"/>
        <item x="3"/>
        <item x="7"/>
        <item x="8"/>
        <item x="6"/>
        <item x="5"/>
        <item t="default"/>
      </items>
    </pivotField>
    <pivotField axis="axisPage" showAll="0">
      <items count="4">
        <item x="0"/>
        <item x="1"/>
        <item x="2"/>
        <item t="default"/>
      </items>
    </pivotField>
    <pivotField dataField="1" showAll="0"/>
    <pivotField dataField="1" showAll="0"/>
    <pivotField dataField="1" showAll="0"/>
    <pivotField dataField="1" showAll="0"/>
    <pivotField dataField="1" showAll="0"/>
    <pivotField dataField="1" showAll="0"/>
  </pivotFields>
  <rowFields count="1">
    <field x="0"/>
  </rowFields>
  <rowItems count="22">
    <i>
      <x/>
    </i>
    <i>
      <x v="1"/>
    </i>
    <i>
      <x v="2"/>
    </i>
    <i>
      <x v="3"/>
    </i>
    <i>
      <x v="4"/>
    </i>
    <i>
      <x v="5"/>
    </i>
    <i>
      <x v="6"/>
    </i>
    <i>
      <x v="7"/>
    </i>
    <i>
      <x v="8"/>
    </i>
    <i>
      <x v="9"/>
    </i>
    <i>
      <x v="10"/>
    </i>
    <i>
      <x v="11"/>
    </i>
    <i>
      <x v="12"/>
    </i>
    <i>
      <x v="13"/>
    </i>
    <i>
      <x v="14"/>
    </i>
    <i>
      <x v="15"/>
    </i>
    <i>
      <x v="16"/>
    </i>
    <i>
      <x v="17"/>
    </i>
    <i>
      <x v="18"/>
    </i>
    <i>
      <x v="19"/>
    </i>
    <i>
      <x v="20"/>
    </i>
    <i t="grand">
      <x/>
    </i>
  </rowItems>
  <colFields count="1">
    <field x="-2"/>
  </colFields>
  <colItems count="6">
    <i>
      <x/>
    </i>
    <i i="1">
      <x v="1"/>
    </i>
    <i i="2">
      <x v="2"/>
    </i>
    <i i="3">
      <x v="3"/>
    </i>
    <i i="4">
      <x v="4"/>
    </i>
    <i i="5">
      <x v="5"/>
    </i>
  </colItems>
  <pageFields count="2">
    <pageField fld="1" item="8" hier="-1"/>
    <pageField fld="2" item="0" hier="-1"/>
  </pageFields>
  <dataFields count="6">
    <dataField name="Sum of Gr 1" fld="3" baseField="0" baseItem="0"/>
    <dataField name="Sum of Gr 2" fld="4" baseField="0" baseItem="0"/>
    <dataField name="Sum of Gr 3" fld="5" baseField="0" baseItem="0"/>
    <dataField name="Sum of Gr 4" fld="6" baseField="0" baseItem="0"/>
    <dataField name="Sum of Gr 5" fld="7" baseField="0" baseItem="0"/>
    <dataField name="Sum of Total"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E81D6-FF4A-46F9-A57B-883F3C67A26E}">
  <sheetPr>
    <tabColor rgb="FFCCCCCE"/>
  </sheetPr>
  <dimension ref="A1:J92"/>
  <sheetViews>
    <sheetView tabSelected="1" zoomScale="80" zoomScaleNormal="80" workbookViewId="0"/>
  </sheetViews>
  <sheetFormatPr defaultColWidth="0" defaultRowHeight="13.5" customHeight="1" zeroHeight="1"/>
  <cols>
    <col min="1" max="1" width="8.140625" style="115" customWidth="1"/>
    <col min="2" max="2" width="61.42578125" style="115" bestFit="1" customWidth="1"/>
    <col min="3" max="3" width="14" style="115" customWidth="1"/>
    <col min="4" max="10" width="8.5703125" style="115" customWidth="1"/>
    <col min="11" max="16384" width="8.5703125" style="115" hidden="1"/>
  </cols>
  <sheetData>
    <row r="1" spans="1:10" ht="30.75">
      <c r="A1" s="113" t="e">
        <f ca="1" xml:space="preserve"> RIGHT(CELL("filename", $A$1), LEN(CELL("filename", $A$1)) - SEARCH("]", CELL("filename", $A$1)))</f>
        <v>#VALUE!</v>
      </c>
      <c r="B1" s="113"/>
      <c r="C1" s="114"/>
      <c r="D1" s="114"/>
      <c r="E1" s="114"/>
      <c r="F1" s="114"/>
      <c r="G1" s="114"/>
      <c r="H1" s="114"/>
      <c r="I1" s="114"/>
      <c r="J1" s="114"/>
    </row>
    <row r="2" spans="1:10" ht="13.15">
      <c r="A2" s="117"/>
      <c r="B2" s="117"/>
      <c r="C2" s="117"/>
      <c r="D2" s="117"/>
      <c r="E2" s="117"/>
      <c r="F2" s="117"/>
      <c r="G2" s="117"/>
      <c r="H2" s="117"/>
      <c r="I2" s="117"/>
      <c r="J2" s="117"/>
    </row>
    <row r="3" spans="1:10" s="116" customFormat="1" ht="23.25">
      <c r="A3" s="118"/>
      <c r="B3" s="119" t="s">
        <v>0</v>
      </c>
      <c r="C3" s="118"/>
      <c r="D3" s="118"/>
      <c r="E3" s="118"/>
      <c r="F3" s="118"/>
      <c r="G3" s="118"/>
      <c r="H3" s="118"/>
      <c r="I3" s="118"/>
      <c r="J3" s="118"/>
    </row>
    <row r="4" spans="1:10" ht="13.15">
      <c r="A4" s="117"/>
      <c r="B4" s="117"/>
      <c r="C4" s="117"/>
      <c r="D4" s="117"/>
      <c r="E4" s="117"/>
      <c r="F4" s="117"/>
      <c r="G4" s="117"/>
      <c r="H4" s="117"/>
      <c r="I4" s="117"/>
      <c r="J4" s="117"/>
    </row>
    <row r="5" spans="1:10" ht="13.15">
      <c r="A5" s="117"/>
      <c r="B5" s="117" t="s">
        <v>1</v>
      </c>
      <c r="C5" s="117" t="s">
        <v>2</v>
      </c>
      <c r="D5" s="117"/>
      <c r="E5" s="117"/>
      <c r="F5" s="117"/>
      <c r="G5" s="117"/>
      <c r="H5" s="117"/>
      <c r="I5" s="117"/>
      <c r="J5" s="117"/>
    </row>
    <row r="6" spans="1:10" ht="13.15">
      <c r="A6" s="117"/>
      <c r="B6" s="120" t="s">
        <v>3</v>
      </c>
      <c r="C6" s="121">
        <v>1</v>
      </c>
      <c r="D6" s="117"/>
      <c r="E6" s="117"/>
      <c r="F6" s="117"/>
      <c r="G6" s="117"/>
      <c r="H6" s="117"/>
      <c r="I6" s="117"/>
      <c r="J6" s="117"/>
    </row>
    <row r="7" spans="1:10" ht="13.15">
      <c r="A7" s="117"/>
      <c r="B7" s="120" t="s">
        <v>4</v>
      </c>
      <c r="C7" s="122" t="e">
        <f ca="1" xml:space="preserve"> MID(CELL("filename"), FIND("[", CELL("filename"), 1) + 1, FIND("]", CELL("filename"), 1) - FIND("[", CELL("filename"), 1) - 1)</f>
        <v>#VALUE!</v>
      </c>
      <c r="D7" s="117"/>
      <c r="E7" s="117"/>
      <c r="F7" s="117"/>
      <c r="G7" s="117"/>
      <c r="H7" s="117"/>
      <c r="I7" s="117"/>
      <c r="J7" s="117"/>
    </row>
    <row r="8" spans="1:10" ht="13.15">
      <c r="A8" s="117"/>
      <c r="B8" s="120" t="s">
        <v>5</v>
      </c>
      <c r="C8" s="123">
        <v>45645</v>
      </c>
      <c r="D8" s="117"/>
      <c r="E8" s="117"/>
      <c r="F8" s="117"/>
      <c r="G8" s="117"/>
      <c r="H8" s="117"/>
      <c r="I8" s="117"/>
      <c r="J8" s="117"/>
    </row>
    <row r="9" spans="1:10" ht="13.15">
      <c r="A9" s="117"/>
      <c r="B9" s="120"/>
      <c r="C9" s="117"/>
      <c r="D9" s="117"/>
      <c r="E9" s="117"/>
      <c r="F9" s="117"/>
      <c r="G9" s="117"/>
      <c r="H9" s="117"/>
      <c r="I9" s="117"/>
      <c r="J9" s="117"/>
    </row>
    <row r="10" spans="1:10" ht="13.15">
      <c r="A10" s="117"/>
      <c r="B10" s="120" t="s">
        <v>6</v>
      </c>
      <c r="C10" s="124" t="s">
        <v>7</v>
      </c>
      <c r="D10" s="117"/>
      <c r="E10" s="117"/>
      <c r="F10" s="117"/>
      <c r="G10" s="117"/>
      <c r="H10" s="117"/>
      <c r="I10" s="117"/>
      <c r="J10" s="117"/>
    </row>
    <row r="11" spans="1:10" ht="13.15">
      <c r="A11" s="117"/>
      <c r="B11" s="120"/>
      <c r="C11" s="117"/>
      <c r="D11" s="117"/>
      <c r="E11" s="117"/>
      <c r="F11" s="117"/>
      <c r="G11" s="117"/>
      <c r="H11" s="117"/>
      <c r="I11" s="117"/>
      <c r="J11" s="117"/>
    </row>
    <row r="12" spans="1:10" ht="13.15">
      <c r="A12" s="117"/>
      <c r="B12" s="120" t="s">
        <v>8</v>
      </c>
      <c r="C12" s="125" t="s">
        <v>9</v>
      </c>
      <c r="D12" s="117"/>
      <c r="E12" s="117"/>
      <c r="F12" s="117"/>
      <c r="G12" s="117"/>
      <c r="H12" s="117"/>
      <c r="I12" s="117"/>
      <c r="J12" s="117"/>
    </row>
    <row r="13" spans="1:10" ht="13.15">
      <c r="A13" s="117"/>
      <c r="B13" s="120"/>
      <c r="C13" s="117"/>
      <c r="D13" s="117"/>
      <c r="E13" s="117"/>
      <c r="F13" s="117"/>
      <c r="G13" s="117"/>
      <c r="H13" s="117"/>
      <c r="I13" s="117"/>
      <c r="J13" s="117"/>
    </row>
    <row r="14" spans="1:10" ht="13.15">
      <c r="A14" s="117"/>
      <c r="B14" s="117"/>
      <c r="C14" s="117"/>
      <c r="D14" s="117"/>
      <c r="E14" s="117"/>
      <c r="F14" s="117"/>
      <c r="G14" s="117"/>
      <c r="H14" s="117"/>
      <c r="I14" s="117"/>
      <c r="J14" s="117"/>
    </row>
    <row r="15" spans="1:10" ht="13.15">
      <c r="A15" s="117"/>
      <c r="B15" s="117"/>
      <c r="C15" s="117"/>
      <c r="D15" s="117"/>
      <c r="E15" s="117"/>
      <c r="F15" s="117"/>
      <c r="G15" s="117"/>
      <c r="H15" s="117"/>
      <c r="I15" s="117"/>
      <c r="J15" s="117"/>
    </row>
    <row r="16" spans="1:10" ht="13.15">
      <c r="A16" s="117"/>
      <c r="B16" s="117"/>
      <c r="C16" s="117"/>
      <c r="D16" s="117"/>
      <c r="E16" s="117"/>
      <c r="F16" s="117"/>
      <c r="G16" s="117"/>
      <c r="H16" s="117"/>
      <c r="I16" s="117"/>
      <c r="J16" s="117"/>
    </row>
    <row r="17" spans="1:10" ht="13.15">
      <c r="A17" s="117"/>
      <c r="B17" s="117"/>
      <c r="C17" s="117"/>
      <c r="D17" s="117"/>
      <c r="E17" s="117"/>
      <c r="F17" s="117"/>
      <c r="G17" s="117"/>
      <c r="H17" s="117"/>
      <c r="I17" s="117"/>
      <c r="J17" s="117"/>
    </row>
    <row r="18" spans="1:10" ht="13.15">
      <c r="A18" s="117"/>
      <c r="B18" s="117"/>
      <c r="C18" s="117"/>
      <c r="D18" s="117"/>
      <c r="E18" s="117"/>
      <c r="F18" s="117"/>
      <c r="G18" s="117"/>
      <c r="H18" s="117"/>
      <c r="I18" s="117"/>
      <c r="J18" s="117"/>
    </row>
    <row r="19" spans="1:10" ht="13.15">
      <c r="A19" s="117"/>
      <c r="B19" s="117"/>
      <c r="C19" s="117"/>
      <c r="D19" s="117"/>
      <c r="E19" s="117"/>
      <c r="F19" s="117"/>
      <c r="G19" s="117"/>
      <c r="H19" s="117"/>
      <c r="I19" s="117"/>
      <c r="J19" s="117"/>
    </row>
    <row r="20" spans="1:10" ht="13.15">
      <c r="A20" s="117"/>
      <c r="B20" s="117"/>
      <c r="C20" s="117"/>
      <c r="D20" s="117"/>
      <c r="E20" s="117"/>
      <c r="F20" s="117"/>
      <c r="G20" s="117"/>
      <c r="H20" s="117"/>
      <c r="I20" s="117"/>
      <c r="J20" s="117"/>
    </row>
    <row r="21" spans="1:10" ht="13.15">
      <c r="A21" s="117"/>
      <c r="B21" s="117"/>
      <c r="C21" s="117"/>
      <c r="D21" s="117"/>
      <c r="E21" s="117"/>
      <c r="F21" s="117"/>
      <c r="G21" s="117"/>
      <c r="H21" s="117"/>
      <c r="I21" s="117"/>
      <c r="J21" s="117"/>
    </row>
    <row r="22" spans="1:10" ht="13.15">
      <c r="A22" s="117"/>
      <c r="B22" s="117"/>
      <c r="C22" s="117"/>
      <c r="D22" s="117"/>
      <c r="E22" s="117"/>
      <c r="F22" s="117"/>
      <c r="G22" s="117"/>
      <c r="H22" s="117"/>
      <c r="I22" s="117"/>
      <c r="J22" s="117"/>
    </row>
    <row r="23" spans="1:10" ht="13.15">
      <c r="A23" s="117"/>
      <c r="B23" s="117"/>
      <c r="C23" s="117"/>
      <c r="D23" s="117"/>
      <c r="E23" s="117"/>
      <c r="F23" s="117"/>
      <c r="G23" s="117"/>
      <c r="H23" s="117"/>
      <c r="I23" s="117"/>
      <c r="J23" s="117"/>
    </row>
    <row r="24" spans="1:10" ht="13.15">
      <c r="A24" s="117"/>
      <c r="B24" s="117"/>
      <c r="C24" s="117"/>
      <c r="D24" s="117"/>
      <c r="E24" s="117"/>
      <c r="F24" s="117"/>
      <c r="G24" s="117"/>
      <c r="H24" s="117"/>
      <c r="I24" s="117"/>
      <c r="J24" s="117"/>
    </row>
    <row r="25" spans="1:10" ht="13.15">
      <c r="A25" s="117"/>
      <c r="B25" s="117"/>
      <c r="C25" s="117"/>
      <c r="D25" s="117"/>
      <c r="E25" s="117"/>
      <c r="F25" s="117"/>
      <c r="G25" s="117"/>
      <c r="H25" s="117"/>
      <c r="I25" s="117"/>
      <c r="J25" s="117"/>
    </row>
    <row r="26" spans="1:10" ht="13.15">
      <c r="A26" s="117"/>
      <c r="B26" s="117"/>
      <c r="C26" s="117"/>
      <c r="D26" s="117"/>
      <c r="E26" s="117"/>
      <c r="F26" s="117"/>
      <c r="G26" s="117"/>
      <c r="H26" s="117"/>
      <c r="I26" s="117"/>
      <c r="J26" s="117"/>
    </row>
    <row r="27" spans="1:10" ht="13.15">
      <c r="A27" s="117"/>
      <c r="B27" s="117"/>
      <c r="C27" s="117"/>
      <c r="D27" s="117"/>
      <c r="E27" s="117"/>
      <c r="F27" s="117"/>
      <c r="G27" s="117"/>
      <c r="H27" s="117"/>
      <c r="I27" s="117"/>
      <c r="J27" s="117"/>
    </row>
    <row r="28" spans="1:10" ht="13.15">
      <c r="A28" s="117"/>
      <c r="B28" s="117"/>
      <c r="C28" s="117"/>
      <c r="D28" s="117"/>
      <c r="E28" s="117"/>
      <c r="F28" s="117"/>
      <c r="G28" s="117"/>
      <c r="H28" s="117"/>
      <c r="I28" s="117"/>
      <c r="J28" s="117"/>
    </row>
    <row r="29" spans="1:10" ht="13.15">
      <c r="A29" s="117"/>
      <c r="B29" s="117"/>
      <c r="C29" s="117"/>
      <c r="D29" s="117"/>
      <c r="E29" s="117"/>
      <c r="F29" s="117"/>
      <c r="G29" s="117"/>
      <c r="H29" s="117"/>
      <c r="I29" s="117"/>
      <c r="J29" s="117"/>
    </row>
    <row r="30" spans="1:10" ht="13.15">
      <c r="A30" s="117"/>
      <c r="B30" s="117"/>
      <c r="C30" s="117"/>
      <c r="D30" s="117"/>
      <c r="E30" s="117"/>
      <c r="F30" s="117"/>
      <c r="G30" s="117"/>
      <c r="H30" s="117"/>
      <c r="I30" s="117"/>
      <c r="J30" s="117"/>
    </row>
    <row r="31" spans="1:10" ht="13.15">
      <c r="A31" s="117"/>
      <c r="B31" s="117"/>
      <c r="C31" s="117"/>
      <c r="D31" s="117"/>
      <c r="E31" s="117"/>
      <c r="F31" s="117"/>
      <c r="G31" s="117"/>
      <c r="H31" s="117"/>
      <c r="I31" s="117"/>
      <c r="J31" s="117"/>
    </row>
    <row r="32" spans="1:10" ht="13.15">
      <c r="A32" s="117"/>
      <c r="B32" s="117"/>
      <c r="C32" s="117"/>
      <c r="D32" s="117"/>
      <c r="E32" s="117"/>
      <c r="F32" s="117"/>
      <c r="G32" s="117"/>
      <c r="H32" s="117"/>
      <c r="I32" s="117"/>
      <c r="J32" s="117"/>
    </row>
    <row r="33" spans="1:10" ht="13.15">
      <c r="A33" s="117"/>
      <c r="B33" s="117"/>
      <c r="C33" s="117"/>
      <c r="D33" s="117"/>
      <c r="E33" s="117"/>
      <c r="F33" s="117"/>
      <c r="G33" s="117"/>
      <c r="H33" s="117"/>
      <c r="I33" s="117"/>
      <c r="J33" s="117"/>
    </row>
    <row r="34" spans="1:10" ht="13.15">
      <c r="A34" s="117"/>
      <c r="B34" s="117"/>
      <c r="C34" s="117"/>
      <c r="D34" s="117"/>
      <c r="E34" s="117"/>
      <c r="F34" s="117"/>
      <c r="G34" s="117"/>
      <c r="H34" s="117"/>
      <c r="I34" s="117"/>
      <c r="J34" s="117"/>
    </row>
    <row r="35" spans="1:10" ht="13.15">
      <c r="A35" s="117"/>
      <c r="B35" s="117"/>
      <c r="C35" s="117"/>
      <c r="D35" s="117"/>
      <c r="E35" s="117"/>
      <c r="F35" s="117"/>
      <c r="G35" s="117"/>
      <c r="H35" s="117"/>
      <c r="I35" s="117"/>
      <c r="J35" s="117"/>
    </row>
    <row r="36" spans="1:10" ht="13.15">
      <c r="A36" s="117"/>
      <c r="B36" s="117"/>
      <c r="C36" s="117"/>
      <c r="D36" s="117"/>
      <c r="E36" s="117"/>
      <c r="F36" s="117"/>
      <c r="G36" s="117"/>
      <c r="H36" s="117"/>
      <c r="I36" s="117"/>
      <c r="J36" s="117"/>
    </row>
    <row r="37" spans="1:10" ht="13.15">
      <c r="A37" s="117"/>
      <c r="B37" s="117"/>
      <c r="C37" s="117"/>
      <c r="D37" s="117"/>
      <c r="E37" s="117"/>
      <c r="F37" s="117"/>
      <c r="G37" s="117"/>
      <c r="H37" s="117"/>
      <c r="I37" s="117"/>
      <c r="J37" s="117"/>
    </row>
    <row r="38" spans="1:10" ht="13.15">
      <c r="A38" s="117"/>
      <c r="B38" s="117"/>
      <c r="C38" s="117"/>
      <c r="D38" s="117"/>
      <c r="E38" s="117"/>
      <c r="F38" s="117"/>
      <c r="G38" s="117"/>
      <c r="H38" s="117"/>
      <c r="I38" s="117"/>
      <c r="J38" s="117"/>
    </row>
    <row r="39" spans="1:10" ht="13.15">
      <c r="A39" s="117"/>
      <c r="B39" s="117"/>
      <c r="C39" s="117"/>
      <c r="D39" s="117"/>
      <c r="E39" s="117"/>
      <c r="F39" s="117"/>
      <c r="G39" s="117"/>
      <c r="H39" s="117"/>
      <c r="I39" s="117"/>
      <c r="J39" s="117"/>
    </row>
    <row r="40" spans="1:10" ht="13.5" customHeight="1">
      <c r="A40" s="117"/>
      <c r="B40" s="117"/>
      <c r="C40" s="117"/>
      <c r="D40" s="117"/>
      <c r="E40" s="117"/>
      <c r="F40" s="117"/>
      <c r="G40" s="117"/>
      <c r="H40" s="117"/>
      <c r="I40" s="117"/>
      <c r="J40" s="117"/>
    </row>
    <row r="41" spans="1:10" ht="13.5" customHeight="1">
      <c r="A41" s="117"/>
      <c r="B41" s="117"/>
      <c r="C41" s="117"/>
      <c r="D41" s="117"/>
      <c r="E41" s="117"/>
      <c r="F41" s="117"/>
      <c r="G41" s="117"/>
      <c r="H41" s="117"/>
      <c r="I41" s="117"/>
      <c r="J41" s="117"/>
    </row>
    <row r="42" spans="1:10" ht="13.5" customHeight="1">
      <c r="A42" s="117"/>
      <c r="B42" s="117"/>
      <c r="C42" s="117"/>
      <c r="D42" s="117"/>
      <c r="E42" s="117"/>
      <c r="F42" s="117"/>
      <c r="G42" s="117"/>
      <c r="H42" s="117"/>
      <c r="I42" s="117"/>
      <c r="J42" s="117"/>
    </row>
    <row r="43" spans="1:10" ht="13.5" customHeight="1">
      <c r="A43" s="117"/>
      <c r="B43" s="117"/>
      <c r="C43" s="117"/>
      <c r="D43" s="117"/>
      <c r="E43" s="117"/>
      <c r="F43" s="117"/>
      <c r="G43" s="117"/>
      <c r="H43" s="117"/>
      <c r="I43" s="117"/>
      <c r="J43" s="117"/>
    </row>
    <row r="44" spans="1:10" ht="13.5" customHeight="1">
      <c r="A44" s="117"/>
      <c r="B44" s="117"/>
      <c r="C44" s="117"/>
      <c r="D44" s="117"/>
      <c r="E44" s="117"/>
      <c r="F44" s="117"/>
      <c r="G44" s="117"/>
      <c r="H44" s="117"/>
      <c r="I44" s="117"/>
      <c r="J44" s="117"/>
    </row>
    <row r="45" spans="1:10" ht="13.5" customHeight="1">
      <c r="A45" s="117"/>
      <c r="B45" s="117"/>
      <c r="C45" s="117"/>
      <c r="D45" s="117"/>
      <c r="E45" s="117"/>
      <c r="F45" s="117"/>
      <c r="G45" s="117"/>
      <c r="H45" s="117"/>
      <c r="I45" s="117"/>
      <c r="J45" s="117"/>
    </row>
    <row r="46" spans="1:10" ht="13.5" customHeight="1">
      <c r="A46" s="117"/>
      <c r="B46" s="117"/>
      <c r="C46" s="117"/>
      <c r="D46" s="117"/>
      <c r="E46" s="117"/>
      <c r="F46" s="117"/>
      <c r="G46" s="117"/>
      <c r="H46" s="117"/>
      <c r="I46" s="117"/>
      <c r="J46" s="117"/>
    </row>
    <row r="47" spans="1:10" ht="13.5" customHeight="1">
      <c r="A47" s="117"/>
      <c r="B47" s="117"/>
      <c r="C47" s="117"/>
      <c r="D47" s="117"/>
      <c r="E47" s="117"/>
      <c r="F47" s="117"/>
      <c r="G47" s="117"/>
      <c r="H47" s="117"/>
      <c r="I47" s="117"/>
      <c r="J47" s="117"/>
    </row>
    <row r="48" spans="1:10" ht="13.5" customHeight="1">
      <c r="A48" s="117"/>
      <c r="B48" s="117"/>
      <c r="C48" s="117"/>
      <c r="D48" s="117"/>
      <c r="E48" s="117"/>
      <c r="F48" s="117"/>
      <c r="G48" s="117"/>
      <c r="H48" s="117"/>
      <c r="I48" s="117"/>
      <c r="J48" s="117"/>
    </row>
    <row r="49" spans="1:10" ht="13.5" customHeight="1">
      <c r="A49" s="117"/>
      <c r="B49" s="117"/>
      <c r="C49" s="117"/>
      <c r="D49" s="117"/>
      <c r="E49" s="117"/>
      <c r="F49" s="117"/>
      <c r="G49" s="117"/>
      <c r="H49" s="117"/>
      <c r="I49" s="117"/>
      <c r="J49" s="117"/>
    </row>
    <row r="50" spans="1:10" ht="13.5" customHeight="1">
      <c r="A50" s="117"/>
      <c r="B50" s="117"/>
      <c r="C50" s="117"/>
      <c r="D50" s="117"/>
      <c r="E50" s="117"/>
      <c r="F50" s="117"/>
      <c r="G50" s="117"/>
      <c r="H50" s="117"/>
      <c r="I50" s="117"/>
      <c r="J50" s="117"/>
    </row>
    <row r="51" spans="1:10" ht="13.5" customHeight="1">
      <c r="A51" s="117"/>
      <c r="B51" s="117"/>
      <c r="C51" s="117"/>
      <c r="D51" s="117"/>
      <c r="E51" s="117"/>
      <c r="F51" s="117"/>
      <c r="G51" s="117"/>
      <c r="H51" s="117"/>
      <c r="I51" s="117"/>
      <c r="J51" s="117"/>
    </row>
    <row r="52" spans="1:10" ht="13.5" customHeight="1">
      <c r="A52" s="117"/>
      <c r="B52" s="117"/>
      <c r="C52" s="117"/>
      <c r="D52" s="117"/>
      <c r="E52" s="117"/>
      <c r="F52" s="117"/>
      <c r="G52" s="117"/>
      <c r="H52" s="117"/>
      <c r="I52" s="117"/>
      <c r="J52" s="117"/>
    </row>
    <row r="53" spans="1:10" ht="13.5" customHeight="1">
      <c r="A53" s="117"/>
      <c r="B53" s="117"/>
      <c r="C53" s="117"/>
      <c r="D53" s="117"/>
      <c r="E53" s="117"/>
      <c r="F53" s="117"/>
      <c r="G53" s="117"/>
      <c r="H53" s="117"/>
      <c r="I53" s="117"/>
      <c r="J53" s="117"/>
    </row>
    <row r="54" spans="1:10" ht="13.5" customHeight="1">
      <c r="A54" s="117"/>
      <c r="B54" s="117"/>
      <c r="C54" s="117"/>
      <c r="D54" s="117"/>
      <c r="E54" s="117"/>
      <c r="F54" s="117"/>
      <c r="G54" s="117"/>
      <c r="H54" s="117"/>
      <c r="I54" s="117"/>
      <c r="J54" s="117"/>
    </row>
    <row r="55" spans="1:10" ht="13.5" customHeight="1">
      <c r="A55" s="117"/>
      <c r="B55" s="117"/>
      <c r="C55" s="117"/>
      <c r="D55" s="117"/>
      <c r="E55" s="117"/>
      <c r="F55" s="117"/>
      <c r="G55" s="117"/>
      <c r="H55" s="117"/>
      <c r="I55" s="117"/>
      <c r="J55" s="117"/>
    </row>
    <row r="56" spans="1:10" ht="13.5" customHeight="1">
      <c r="A56" s="117"/>
      <c r="B56" s="117"/>
      <c r="C56" s="117"/>
      <c r="D56" s="117"/>
      <c r="E56" s="117"/>
      <c r="F56" s="117"/>
      <c r="G56" s="117"/>
      <c r="H56" s="117"/>
      <c r="I56" s="117"/>
      <c r="J56" s="117"/>
    </row>
    <row r="57" spans="1:10" ht="13.5" customHeight="1">
      <c r="A57" s="117"/>
      <c r="B57" s="117"/>
      <c r="C57" s="117"/>
      <c r="D57" s="117"/>
      <c r="E57" s="117"/>
      <c r="F57" s="117"/>
      <c r="G57" s="117"/>
      <c r="H57" s="117"/>
      <c r="I57" s="117"/>
      <c r="J57" s="117"/>
    </row>
    <row r="58" spans="1:10" ht="13.5" customHeight="1">
      <c r="A58" s="117"/>
      <c r="B58" s="117"/>
      <c r="C58" s="117"/>
      <c r="D58" s="117"/>
      <c r="E58" s="117"/>
      <c r="F58" s="117"/>
      <c r="G58" s="117"/>
      <c r="H58" s="117"/>
      <c r="I58" s="117"/>
      <c r="J58" s="117"/>
    </row>
    <row r="59" spans="1:10" ht="13.5" customHeight="1">
      <c r="A59" s="117"/>
      <c r="B59" s="117"/>
      <c r="C59" s="117"/>
      <c r="D59" s="117"/>
      <c r="E59" s="117"/>
      <c r="F59" s="117"/>
      <c r="G59" s="117"/>
      <c r="H59" s="117"/>
      <c r="I59" s="117"/>
      <c r="J59" s="117"/>
    </row>
    <row r="60" spans="1:10" ht="13.5" customHeight="1">
      <c r="A60" s="117"/>
      <c r="B60" s="117"/>
      <c r="C60" s="117"/>
      <c r="D60" s="117"/>
      <c r="E60" s="117"/>
      <c r="F60" s="117"/>
      <c r="G60" s="117"/>
      <c r="H60" s="117"/>
      <c r="I60" s="117"/>
      <c r="J60" s="117"/>
    </row>
    <row r="61" spans="1:10" ht="13.5" customHeight="1">
      <c r="A61" s="117"/>
      <c r="B61" s="117"/>
      <c r="C61" s="117"/>
      <c r="D61" s="117"/>
      <c r="E61" s="117"/>
      <c r="F61" s="117"/>
      <c r="G61" s="117"/>
      <c r="H61" s="117"/>
      <c r="I61" s="117"/>
      <c r="J61" s="117"/>
    </row>
    <row r="62" spans="1:10" ht="13.5" customHeight="1">
      <c r="A62" s="117"/>
      <c r="B62" s="117"/>
      <c r="C62" s="117"/>
      <c r="D62" s="117"/>
      <c r="E62" s="117"/>
      <c r="F62" s="117"/>
      <c r="G62" s="117"/>
      <c r="H62" s="117"/>
      <c r="I62" s="117"/>
      <c r="J62" s="117"/>
    </row>
    <row r="63" spans="1:10" ht="13.5" customHeight="1">
      <c r="A63" s="117"/>
      <c r="B63" s="117"/>
      <c r="C63" s="117"/>
      <c r="D63" s="117"/>
      <c r="E63" s="117"/>
      <c r="F63" s="117"/>
      <c r="G63" s="117"/>
      <c r="H63" s="117"/>
      <c r="I63" s="117"/>
      <c r="J63" s="117"/>
    </row>
    <row r="64" spans="1:10" ht="13.5" customHeight="1">
      <c r="A64" s="117"/>
      <c r="B64" s="117"/>
      <c r="C64" s="117"/>
      <c r="D64" s="117"/>
      <c r="E64" s="117"/>
      <c r="F64" s="117"/>
      <c r="G64" s="117"/>
      <c r="H64" s="117"/>
      <c r="I64" s="117"/>
      <c r="J64" s="117"/>
    </row>
    <row r="65" spans="1:10" ht="13.5" customHeight="1">
      <c r="A65" s="117"/>
      <c r="B65" s="117"/>
      <c r="C65" s="117"/>
      <c r="D65" s="117"/>
      <c r="E65" s="117"/>
      <c r="F65" s="117"/>
      <c r="G65" s="117"/>
      <c r="H65" s="117"/>
      <c r="I65" s="117"/>
      <c r="J65" s="117"/>
    </row>
    <row r="66" spans="1:10" ht="13.5" customHeight="1">
      <c r="A66" s="117"/>
      <c r="B66" s="117"/>
      <c r="C66" s="117"/>
      <c r="D66" s="117"/>
      <c r="E66" s="117"/>
      <c r="F66" s="117"/>
      <c r="G66" s="117"/>
      <c r="H66" s="117"/>
      <c r="I66" s="117"/>
      <c r="J66" s="117"/>
    </row>
    <row r="67" spans="1:10" ht="13.5" customHeight="1">
      <c r="A67" s="117"/>
      <c r="B67" s="117"/>
      <c r="C67" s="117"/>
      <c r="D67" s="117"/>
      <c r="E67" s="117"/>
      <c r="F67" s="117"/>
      <c r="G67" s="117"/>
      <c r="H67" s="117"/>
      <c r="I67" s="117"/>
      <c r="J67" s="117"/>
    </row>
    <row r="68" spans="1:10" ht="13.5" customHeight="1">
      <c r="A68" s="117"/>
      <c r="B68" s="117"/>
      <c r="C68" s="117"/>
      <c r="D68" s="117"/>
      <c r="E68" s="117"/>
      <c r="F68" s="117"/>
      <c r="G68" s="117"/>
      <c r="H68" s="117"/>
      <c r="I68" s="117"/>
      <c r="J68" s="117"/>
    </row>
    <row r="69" spans="1:10" ht="13.5" customHeight="1">
      <c r="A69" s="117"/>
      <c r="B69" s="117"/>
      <c r="C69" s="117"/>
      <c r="D69" s="117"/>
      <c r="E69" s="117"/>
      <c r="F69" s="117"/>
      <c r="G69" s="117"/>
      <c r="H69" s="117"/>
      <c r="I69" s="117"/>
      <c r="J69" s="117"/>
    </row>
    <row r="70" spans="1:10" ht="13.5" customHeight="1">
      <c r="A70" s="117"/>
      <c r="B70" s="117"/>
      <c r="C70" s="117"/>
      <c r="D70" s="117"/>
      <c r="E70" s="117"/>
      <c r="F70" s="117"/>
      <c r="G70" s="117"/>
      <c r="H70" s="117"/>
      <c r="I70" s="117"/>
      <c r="J70" s="117"/>
    </row>
    <row r="71" spans="1:10" ht="13.5" customHeight="1">
      <c r="A71" s="117"/>
      <c r="B71" s="117"/>
      <c r="C71" s="117"/>
      <c r="D71" s="117"/>
      <c r="E71" s="117"/>
      <c r="F71" s="117"/>
      <c r="G71" s="117"/>
      <c r="H71" s="117"/>
      <c r="I71" s="117"/>
      <c r="J71" s="117"/>
    </row>
    <row r="72" spans="1:10" ht="13.5" customHeight="1">
      <c r="A72" s="117"/>
      <c r="B72" s="117"/>
      <c r="C72" s="117"/>
      <c r="D72" s="117"/>
      <c r="E72" s="117"/>
      <c r="F72" s="117"/>
      <c r="G72" s="117"/>
      <c r="H72" s="117"/>
      <c r="I72" s="117"/>
      <c r="J72" s="117"/>
    </row>
    <row r="73" spans="1:10" ht="13.5" customHeight="1">
      <c r="A73" s="117"/>
      <c r="B73" s="117"/>
      <c r="C73" s="117"/>
      <c r="D73" s="117"/>
      <c r="E73" s="117"/>
      <c r="F73" s="117"/>
      <c r="G73" s="117"/>
      <c r="H73" s="117"/>
      <c r="I73" s="117"/>
      <c r="J73" s="117"/>
    </row>
    <row r="74" spans="1:10" ht="13.5" customHeight="1">
      <c r="A74" s="117"/>
      <c r="B74" s="117"/>
      <c r="C74" s="117"/>
      <c r="D74" s="117"/>
      <c r="E74" s="117"/>
      <c r="F74" s="117"/>
      <c r="G74" s="117"/>
      <c r="H74" s="117"/>
      <c r="I74" s="117"/>
      <c r="J74" s="117"/>
    </row>
    <row r="75" spans="1:10" ht="13.5" customHeight="1">
      <c r="A75" s="117"/>
      <c r="B75" s="117"/>
      <c r="C75" s="117"/>
      <c r="D75" s="117"/>
      <c r="E75" s="117"/>
      <c r="F75" s="117"/>
      <c r="G75" s="117"/>
      <c r="H75" s="117"/>
      <c r="I75" s="117"/>
      <c r="J75" s="117"/>
    </row>
    <row r="76" spans="1:10" ht="13.5" customHeight="1">
      <c r="A76" s="117"/>
      <c r="B76" s="117"/>
      <c r="C76" s="117"/>
      <c r="D76" s="117"/>
      <c r="E76" s="117"/>
      <c r="F76" s="117"/>
      <c r="G76" s="117"/>
      <c r="H76" s="117"/>
      <c r="I76" s="117"/>
      <c r="J76" s="117"/>
    </row>
    <row r="77" spans="1:10" ht="13.5" customHeight="1">
      <c r="A77" s="117"/>
      <c r="B77" s="117"/>
      <c r="C77" s="117"/>
      <c r="D77" s="117"/>
      <c r="E77" s="117"/>
      <c r="F77" s="117"/>
      <c r="G77" s="117"/>
      <c r="H77" s="117"/>
      <c r="I77" s="117"/>
      <c r="J77" s="117"/>
    </row>
    <row r="78" spans="1:10" ht="13.5" customHeight="1">
      <c r="A78" s="117"/>
      <c r="B78" s="117"/>
      <c r="C78" s="117"/>
      <c r="D78" s="117"/>
      <c r="E78" s="117"/>
      <c r="F78" s="117"/>
      <c r="G78" s="117"/>
      <c r="H78" s="117"/>
      <c r="I78" s="117"/>
      <c r="J78" s="117"/>
    </row>
    <row r="79" spans="1:10" ht="13.5" customHeight="1">
      <c r="A79" s="117"/>
      <c r="B79" s="117"/>
      <c r="C79" s="117"/>
      <c r="D79" s="117"/>
      <c r="E79" s="117"/>
      <c r="F79" s="117"/>
      <c r="G79" s="117"/>
      <c r="H79" s="117"/>
      <c r="I79" s="117"/>
      <c r="J79" s="117"/>
    </row>
    <row r="80" spans="1:10" ht="13.5" customHeight="1">
      <c r="A80" s="117"/>
      <c r="B80" s="117"/>
      <c r="C80" s="117"/>
      <c r="D80" s="117"/>
      <c r="E80" s="117"/>
      <c r="F80" s="117"/>
      <c r="G80" s="117"/>
      <c r="H80" s="117"/>
      <c r="I80" s="117"/>
      <c r="J80" s="117"/>
    </row>
    <row r="81" spans="1:10" ht="13.5" customHeight="1">
      <c r="A81" s="117"/>
      <c r="B81" s="117"/>
      <c r="C81" s="117"/>
      <c r="D81" s="117"/>
      <c r="E81" s="117"/>
      <c r="F81" s="117"/>
      <c r="G81" s="117"/>
      <c r="H81" s="117"/>
      <c r="I81" s="117"/>
      <c r="J81" s="117"/>
    </row>
    <row r="82" spans="1:10" ht="13.5" customHeight="1">
      <c r="A82" s="117"/>
      <c r="B82" s="117"/>
      <c r="C82" s="117"/>
      <c r="D82" s="117"/>
      <c r="E82" s="117"/>
      <c r="F82" s="117"/>
      <c r="G82" s="117"/>
      <c r="H82" s="117"/>
      <c r="I82" s="117"/>
      <c r="J82" s="117"/>
    </row>
    <row r="83" spans="1:10" ht="13.5" customHeight="1">
      <c r="A83" s="117"/>
      <c r="B83" s="117"/>
      <c r="C83" s="117"/>
      <c r="D83" s="117"/>
      <c r="E83" s="117"/>
      <c r="F83" s="117"/>
      <c r="G83" s="117"/>
      <c r="H83" s="117"/>
      <c r="I83" s="117"/>
      <c r="J83" s="117"/>
    </row>
    <row r="84" spans="1:10" ht="13.5" customHeight="1">
      <c r="A84" s="117"/>
      <c r="B84" s="117"/>
      <c r="C84" s="117"/>
      <c r="D84" s="117"/>
      <c r="E84" s="117"/>
      <c r="F84" s="117"/>
      <c r="G84" s="117"/>
      <c r="H84" s="117"/>
      <c r="I84" s="117"/>
      <c r="J84" s="117"/>
    </row>
    <row r="85" spans="1:10" ht="13.5" customHeight="1">
      <c r="A85" s="117"/>
      <c r="B85" s="117"/>
      <c r="C85" s="117"/>
      <c r="D85" s="117"/>
      <c r="E85" s="117"/>
      <c r="F85" s="117"/>
      <c r="G85" s="117"/>
      <c r="H85" s="117"/>
      <c r="I85" s="117"/>
      <c r="J85" s="117"/>
    </row>
    <row r="86" spans="1:10" ht="13.5" customHeight="1">
      <c r="A86" s="117"/>
      <c r="B86" s="117"/>
      <c r="C86" s="117"/>
      <c r="D86" s="117"/>
      <c r="E86" s="117"/>
      <c r="F86" s="117"/>
      <c r="G86" s="117"/>
      <c r="H86" s="117"/>
      <c r="I86" s="117"/>
      <c r="J86" s="117"/>
    </row>
    <row r="87" spans="1:10" ht="13.5" customHeight="1">
      <c r="A87" s="117"/>
      <c r="B87" s="117"/>
      <c r="C87" s="117"/>
      <c r="D87" s="117"/>
      <c r="E87" s="117"/>
      <c r="F87" s="117"/>
      <c r="G87" s="117"/>
      <c r="H87" s="117"/>
      <c r="I87" s="117"/>
      <c r="J87" s="117"/>
    </row>
    <row r="88" spans="1:10" ht="13.5" customHeight="1">
      <c r="A88" s="117"/>
      <c r="B88" s="117"/>
      <c r="C88" s="117"/>
      <c r="D88" s="117"/>
      <c r="E88" s="117"/>
      <c r="F88" s="117"/>
      <c r="G88" s="117"/>
      <c r="H88" s="117"/>
      <c r="I88" s="117"/>
      <c r="J88" s="117"/>
    </row>
    <row r="89" spans="1:10" ht="13.5" customHeight="1">
      <c r="A89" s="117"/>
      <c r="B89" s="117"/>
      <c r="C89" s="117"/>
      <c r="D89" s="117"/>
      <c r="E89" s="117"/>
      <c r="F89" s="117"/>
      <c r="G89" s="117"/>
      <c r="H89" s="117"/>
      <c r="I89" s="117"/>
      <c r="J89" s="117"/>
    </row>
    <row r="90" spans="1:10" ht="13.5" customHeight="1">
      <c r="A90" s="117"/>
      <c r="B90" s="117"/>
      <c r="C90" s="117"/>
      <c r="D90" s="117"/>
      <c r="E90" s="117"/>
      <c r="F90" s="117"/>
      <c r="G90" s="117"/>
      <c r="H90" s="117"/>
      <c r="I90" s="117"/>
      <c r="J90" s="117"/>
    </row>
    <row r="91" spans="1:10" ht="13.5" customHeight="1">
      <c r="A91" s="117"/>
      <c r="B91" s="117"/>
      <c r="C91" s="117"/>
      <c r="D91" s="117"/>
      <c r="E91" s="117"/>
      <c r="F91" s="117"/>
      <c r="G91" s="117"/>
      <c r="H91" s="117"/>
      <c r="I91" s="117"/>
      <c r="J91" s="117"/>
    </row>
    <row r="92" spans="1:10" ht="13.5" customHeight="1">
      <c r="A92" s="117"/>
      <c r="B92" s="117"/>
      <c r="C92" s="117"/>
      <c r="D92" s="117"/>
      <c r="E92" s="117"/>
      <c r="F92" s="117"/>
      <c r="G92" s="117"/>
      <c r="H92" s="117"/>
      <c r="I92" s="117"/>
      <c r="J92" s="117"/>
    </row>
  </sheetData>
  <hyperlinks>
    <hyperlink ref="C10" r:id="rId1" xr:uid="{DE372675-0370-438C-B155-4EFA929A5DE3}"/>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2A2EC-2217-4D69-A8A0-91BE6AE8EBC5}">
  <sheetPr>
    <tabColor rgb="FFCCCCCE"/>
  </sheetPr>
  <dimension ref="A1:I22"/>
  <sheetViews>
    <sheetView zoomScale="80" zoomScaleNormal="80" workbookViewId="0">
      <selection sqref="A1:B1"/>
    </sheetView>
  </sheetViews>
  <sheetFormatPr defaultColWidth="9" defaultRowHeight="13.15"/>
  <cols>
    <col min="1" max="1" width="14.42578125" style="132" customWidth="1"/>
    <col min="2" max="2" width="19.85546875" style="132" customWidth="1"/>
    <col min="3" max="3" width="15.85546875" style="132" customWidth="1"/>
    <col min="4" max="4" width="13.85546875" style="132" customWidth="1"/>
    <col min="5" max="5" width="20" style="132" customWidth="1"/>
    <col min="6" max="6" width="10.42578125" style="132" customWidth="1"/>
    <col min="7" max="7" width="11.7109375" style="132" customWidth="1"/>
    <col min="8" max="16384" width="9" style="132"/>
  </cols>
  <sheetData>
    <row r="1" spans="1:7">
      <c r="A1" s="286" t="s">
        <v>514</v>
      </c>
      <c r="B1" s="287"/>
      <c r="C1" s="170">
        <f>'PR09 vs PR24'!$R$24</f>
        <v>4.2882110363000943E-2</v>
      </c>
    </row>
    <row r="2" spans="1:7">
      <c r="C2" s="171"/>
    </row>
    <row r="3" spans="1:7" ht="39.4">
      <c r="A3" s="172" t="s">
        <v>515</v>
      </c>
      <c r="B3" s="173" t="s">
        <v>516</v>
      </c>
      <c r="C3" s="173" t="s">
        <v>517</v>
      </c>
      <c r="D3" s="173" t="s">
        <v>518</v>
      </c>
      <c r="E3" s="174" t="s">
        <v>519</v>
      </c>
    </row>
    <row r="4" spans="1:7">
      <c r="A4" s="175">
        <v>10</v>
      </c>
      <c r="B4" s="176">
        <v>3.0000000000000001E-3</v>
      </c>
      <c r="C4" s="176"/>
      <c r="D4" s="176">
        <f t="shared" ref="D4" si="0">E4-B4-C4</f>
        <v>1.2882110363000941E-3</v>
      </c>
      <c r="E4" s="176">
        <f t="shared" ref="E4" si="1">$C$1/A4</f>
        <v>4.2882110363000941E-3</v>
      </c>
      <c r="F4" s="221"/>
    </row>
    <row r="7" spans="1:7" s="144" customFormat="1" ht="26.25">
      <c r="A7" s="243" t="s">
        <v>520</v>
      </c>
      <c r="B7" s="243" t="s">
        <v>503</v>
      </c>
      <c r="C7" s="243" t="s">
        <v>521</v>
      </c>
      <c r="D7" s="243" t="s">
        <v>522</v>
      </c>
      <c r="E7" s="288" t="s">
        <v>523</v>
      </c>
      <c r="F7" s="288"/>
      <c r="G7" s="288"/>
    </row>
    <row r="8" spans="1:7">
      <c r="A8" s="244" t="s">
        <v>34</v>
      </c>
      <c r="B8" s="245">
        <f>INDEX('PR09 vs PR24'!$R$36:$R$52,MATCH('CG uplift'!A8, 'PR09 vs PR24'!$Q$36:$Q$52,0))</f>
        <v>3.0286503682779241E-3</v>
      </c>
      <c r="C8" s="246">
        <f>$E$4-B8</f>
        <v>1.25956066802217E-3</v>
      </c>
      <c r="D8" s="246">
        <f>C8+B8</f>
        <v>4.2882110363000941E-3</v>
      </c>
      <c r="E8" s="285"/>
      <c r="F8" s="285"/>
      <c r="G8" s="285"/>
    </row>
    <row r="9" spans="1:7">
      <c r="A9" s="244" t="s">
        <v>38</v>
      </c>
      <c r="B9" s="245">
        <f>INDEX('PR09 vs PR24'!$R$36:$R$52,MATCH('CG uplift'!A9, 'PR09 vs PR24'!$Q$36:$Q$52,0))</f>
        <v>3.0286503682779241E-3</v>
      </c>
      <c r="C9" s="246">
        <f t="shared" ref="C9:C12" si="2">$E$4-B9</f>
        <v>1.25956066802217E-3</v>
      </c>
      <c r="D9" s="246">
        <f t="shared" ref="D9:D16" si="3">C9+B9</f>
        <v>4.2882110363000941E-3</v>
      </c>
      <c r="E9" s="285"/>
      <c r="F9" s="285"/>
      <c r="G9" s="285"/>
    </row>
    <row r="10" spans="1:7">
      <c r="A10" s="244" t="s">
        <v>43</v>
      </c>
      <c r="B10" s="245">
        <f>INDEX('PR09 vs PR24'!$R$36:$R$52,MATCH('CG uplift'!A10, 'PR09 vs PR24'!$Q$36:$Q$52,0))</f>
        <v>4.0045993557379922E-3</v>
      </c>
      <c r="C10" s="246">
        <f t="shared" si="2"/>
        <v>2.8361168056210192E-4</v>
      </c>
      <c r="D10" s="246">
        <f t="shared" si="3"/>
        <v>4.2882110363000941E-3</v>
      </c>
      <c r="E10" s="285"/>
      <c r="F10" s="285"/>
      <c r="G10" s="285"/>
    </row>
    <row r="11" spans="1:7">
      <c r="A11" s="244" t="s">
        <v>52</v>
      </c>
      <c r="B11" s="245">
        <f>INDEX('PR09 vs PR24'!$R$36:$R$52,MATCH('CG uplift'!A11, 'PR09 vs PR24'!$Q$36:$Q$52,0))</f>
        <v>3.0286503682779241E-3</v>
      </c>
      <c r="C11" s="246">
        <f t="shared" si="2"/>
        <v>1.25956066802217E-3</v>
      </c>
      <c r="D11" s="246">
        <f t="shared" si="3"/>
        <v>4.2882110363000941E-3</v>
      </c>
      <c r="E11" s="285"/>
      <c r="F11" s="285"/>
      <c r="G11" s="285"/>
    </row>
    <row r="12" spans="1:7">
      <c r="A12" s="244" t="s">
        <v>42</v>
      </c>
      <c r="B12" s="245">
        <f>INDEX('PR09 vs PR24'!$R$36:$R$52,MATCH('CG uplift'!A12, 'PR09 vs PR24'!$Q$36:$Q$52,0))</f>
        <v>3.0286503682779241E-3</v>
      </c>
      <c r="C12" s="246">
        <f t="shared" si="2"/>
        <v>1.25956066802217E-3</v>
      </c>
      <c r="D12" s="246">
        <f t="shared" si="3"/>
        <v>4.2882110363000941E-3</v>
      </c>
      <c r="E12" s="285"/>
      <c r="F12" s="285"/>
      <c r="G12" s="285"/>
    </row>
    <row r="13" spans="1:7">
      <c r="A13" s="247" t="s">
        <v>51</v>
      </c>
      <c r="B13" s="248">
        <f>INDEX('PR09 vs PR24'!$R$36:$R$52,MATCH('CG uplift'!A13, 'PR09 vs PR24'!$Q$36:$Q$52,0))</f>
        <v>3.3424928788226772E-3</v>
      </c>
      <c r="C13" s="259">
        <f>D13-B13</f>
        <v>2.2571815747741671E-4</v>
      </c>
      <c r="D13" s="249">
        <v>3.568211036300094E-3</v>
      </c>
      <c r="E13" s="285" t="s">
        <v>524</v>
      </c>
      <c r="F13" s="285"/>
      <c r="G13" s="285"/>
    </row>
    <row r="14" spans="1:7">
      <c r="A14" s="247" t="s">
        <v>53</v>
      </c>
      <c r="B14" s="248">
        <f>INDEX('PR09 vs PR24'!$R$36:$R$52,MATCH('CG uplift'!A14, 'PR09 vs PR24'!$Q$36:$Q$52,0))</f>
        <v>4.4509808724049532E-3</v>
      </c>
      <c r="C14" s="249">
        <f>D14-B14</f>
        <v>2.1490191275950468E-3</v>
      </c>
      <c r="D14" s="249">
        <v>6.6E-3</v>
      </c>
      <c r="E14" s="285" t="s">
        <v>525</v>
      </c>
      <c r="F14" s="285"/>
      <c r="G14" s="285"/>
    </row>
    <row r="15" spans="1:7">
      <c r="A15" s="247" t="s">
        <v>21</v>
      </c>
      <c r="B15" s="248">
        <f>INDEX('PR09 vs PR24'!$R$36:$R$52,MATCH('CG uplift'!A15, 'PR09 vs PR24'!$Q$36:$Q$52,0))</f>
        <v>3.0286503682779241E-3</v>
      </c>
      <c r="C15" s="248">
        <f>D15-B15</f>
        <v>2.3713496317220762E-3</v>
      </c>
      <c r="D15" s="249">
        <v>5.4000000000000003E-3</v>
      </c>
      <c r="E15" s="285" t="s">
        <v>525</v>
      </c>
      <c r="F15" s="285"/>
      <c r="G15" s="285"/>
    </row>
    <row r="16" spans="1:7">
      <c r="A16" s="247" t="s">
        <v>48</v>
      </c>
      <c r="B16" s="248">
        <f>INDEX('PR09 vs PR24'!$R$36:$R$52,MATCH('CG uplift'!A16, 'PR09 vs PR24'!$Q$36:$Q$52,0))</f>
        <v>3.0286503682779241E-3</v>
      </c>
      <c r="C16" s="248">
        <f>$E$21</f>
        <v>3.7561019000849566E-4</v>
      </c>
      <c r="D16" s="249">
        <f t="shared" si="3"/>
        <v>3.4042605582864198E-3</v>
      </c>
      <c r="E16" s="285" t="s">
        <v>526</v>
      </c>
      <c r="F16" s="285"/>
      <c r="G16" s="285"/>
    </row>
    <row r="18" spans="1:9">
      <c r="A18" s="151" t="s">
        <v>527</v>
      </c>
    </row>
    <row r="19" spans="1:9">
      <c r="A19" s="151"/>
    </row>
    <row r="20" spans="1:9" s="144" customFormat="1" ht="52.5">
      <c r="A20" s="243"/>
      <c r="B20" s="243" t="s">
        <v>528</v>
      </c>
      <c r="C20" s="243" t="s">
        <v>529</v>
      </c>
      <c r="D20" s="243" t="s">
        <v>530</v>
      </c>
      <c r="E20" s="243" t="s">
        <v>531</v>
      </c>
      <c r="F20" s="243" t="s">
        <v>532</v>
      </c>
      <c r="G20" s="243" t="s">
        <v>533</v>
      </c>
      <c r="H20" s="132"/>
    </row>
    <row r="21" spans="1:9">
      <c r="A21" s="244" t="s">
        <v>48</v>
      </c>
      <c r="B21" s="244">
        <v>553</v>
      </c>
      <c r="C21" s="245">
        <f>B21/INDEX(Base_Enh_PR24Query!$D$2:$D$324,MATCH("TMS30", Base_Enh_PR24Query!$A$2:$A$324, 0)) / 5</f>
        <v>3.4042605582864198E-3</v>
      </c>
      <c r="D21" s="245">
        <f>INDEX('PR09 vs PR24'!$R$36:$R$52,MATCH('CG uplift'!A21, 'PR09 vs PR24'!$Q$36:$Q$52,0))</f>
        <v>3.0286503682779241E-3</v>
      </c>
      <c r="E21" s="245">
        <f>C21-D21</f>
        <v>3.7561019000849566E-4</v>
      </c>
      <c r="F21" s="250">
        <f>(D21*INDEX(Base_Enh_PR24Query!$D$2:$D$324,MATCH("TMS30", Base_Enh_PR24Query!$A$2:$A$324, 0))) * 5</f>
        <v>491.98456609935499</v>
      </c>
      <c r="G21" s="251">
        <f>(B21-F21)</f>
        <v>61.015433900645007</v>
      </c>
      <c r="I21" s="144"/>
    </row>
    <row r="22" spans="1:9">
      <c r="I22" s="144"/>
    </row>
  </sheetData>
  <mergeCells count="11">
    <mergeCell ref="A1:B1"/>
    <mergeCell ref="E7:G7"/>
    <mergeCell ref="E8:G8"/>
    <mergeCell ref="E9:G9"/>
    <mergeCell ref="E10:G10"/>
    <mergeCell ref="E16:G16"/>
    <mergeCell ref="E11:G11"/>
    <mergeCell ref="E12:G12"/>
    <mergeCell ref="E13:G13"/>
    <mergeCell ref="E14:G14"/>
    <mergeCell ref="E15:G1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2B603-8CE4-4957-8AED-BA3036864381}">
  <sheetPr>
    <tabColor rgb="FFCCCCCE"/>
  </sheetPr>
  <dimension ref="A1"/>
  <sheetViews>
    <sheetView zoomScale="80" zoomScaleNormal="80" workbookViewId="0"/>
  </sheetViews>
  <sheetFormatPr defaultColWidth="9" defaultRowHeight="14.25"/>
  <cols>
    <col min="1" max="16384" width="9" style="3"/>
  </cols>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AF353-4E3E-46B9-A1AF-B85CDA136B12}">
  <sheetPr>
    <tabColor rgb="FFCCCCCE"/>
  </sheetPr>
  <dimension ref="A1:H33"/>
  <sheetViews>
    <sheetView zoomScale="80" zoomScaleNormal="80" workbookViewId="0"/>
  </sheetViews>
  <sheetFormatPr defaultColWidth="9" defaultRowHeight="14.25"/>
  <cols>
    <col min="1" max="1" width="12.85546875" style="132" customWidth="1"/>
    <col min="2" max="2" width="13" style="132" customWidth="1"/>
    <col min="3" max="3" width="57" style="132" customWidth="1"/>
    <col min="4" max="4" width="37.42578125" style="132" customWidth="1"/>
    <col min="5" max="5" width="9" style="132"/>
    <col min="7" max="7" width="24.42578125" customWidth="1"/>
    <col min="8" max="8" width="41" customWidth="1"/>
    <col min="9" max="16384" width="9" style="132"/>
  </cols>
  <sheetData>
    <row r="1" spans="1:3">
      <c r="A1" s="151" t="s">
        <v>534</v>
      </c>
    </row>
    <row r="2" spans="1:3">
      <c r="A2" s="151"/>
    </row>
    <row r="3" spans="1:3">
      <c r="A3" s="255" t="s">
        <v>86</v>
      </c>
      <c r="B3" s="182" t="s">
        <v>535</v>
      </c>
      <c r="C3" s="182" t="s">
        <v>536</v>
      </c>
    </row>
    <row r="4" spans="1:3">
      <c r="A4" s="152" t="s">
        <v>21</v>
      </c>
      <c r="B4" s="181">
        <v>285</v>
      </c>
      <c r="C4" s="178" t="s">
        <v>537</v>
      </c>
    </row>
    <row r="5" spans="1:3">
      <c r="A5" s="177" t="s">
        <v>81</v>
      </c>
      <c r="B5" s="180">
        <v>292</v>
      </c>
      <c r="C5" s="178" t="s">
        <v>538</v>
      </c>
    </row>
    <row r="6" spans="1:3">
      <c r="A6" s="152" t="s">
        <v>38</v>
      </c>
      <c r="B6" s="181">
        <v>273.47000000000003</v>
      </c>
      <c r="C6" s="178" t="s">
        <v>539</v>
      </c>
    </row>
    <row r="7" spans="1:3">
      <c r="A7" s="177" t="s">
        <v>38</v>
      </c>
      <c r="B7" s="180">
        <v>296.72000000000003</v>
      </c>
      <c r="C7" s="178" t="s">
        <v>540</v>
      </c>
    </row>
    <row r="8" spans="1:3">
      <c r="A8" s="152" t="s">
        <v>50</v>
      </c>
      <c r="B8" s="181">
        <v>292</v>
      </c>
      <c r="C8" s="178" t="s">
        <v>541</v>
      </c>
    </row>
    <row r="9" spans="1:3">
      <c r="A9" s="177" t="s">
        <v>43</v>
      </c>
      <c r="B9" s="180">
        <v>416</v>
      </c>
      <c r="C9" s="178" t="s">
        <v>542</v>
      </c>
    </row>
    <row r="10" spans="1:3">
      <c r="A10" s="152" t="s">
        <v>83</v>
      </c>
      <c r="B10" s="181">
        <v>292</v>
      </c>
      <c r="C10" s="178" t="s">
        <v>543</v>
      </c>
    </row>
    <row r="11" spans="1:3">
      <c r="A11" s="177" t="s">
        <v>82</v>
      </c>
      <c r="B11" s="180">
        <v>300</v>
      </c>
      <c r="C11" s="178" t="s">
        <v>544</v>
      </c>
    </row>
    <row r="12" spans="1:3">
      <c r="A12" s="152" t="s">
        <v>82</v>
      </c>
      <c r="B12" s="181">
        <v>370</v>
      </c>
      <c r="C12" s="178" t="s">
        <v>544</v>
      </c>
    </row>
    <row r="13" spans="1:3">
      <c r="A13" s="177" t="s">
        <v>51</v>
      </c>
      <c r="B13" s="180">
        <v>603</v>
      </c>
      <c r="C13" s="178" t="s">
        <v>545</v>
      </c>
    </row>
    <row r="14" spans="1:3">
      <c r="A14" s="152" t="s">
        <v>51</v>
      </c>
      <c r="B14" s="181">
        <v>370</v>
      </c>
      <c r="C14" s="178" t="s">
        <v>546</v>
      </c>
    </row>
    <row r="15" spans="1:3">
      <c r="A15" s="177" t="s">
        <v>51</v>
      </c>
      <c r="B15" s="180">
        <v>390</v>
      </c>
      <c r="C15" s="178" t="s">
        <v>547</v>
      </c>
    </row>
    <row r="16" spans="1:3">
      <c r="A16" s="152" t="s">
        <v>51</v>
      </c>
      <c r="B16" s="181">
        <v>420</v>
      </c>
      <c r="C16" s="178" t="s">
        <v>548</v>
      </c>
    </row>
    <row r="17" spans="1:3">
      <c r="A17" s="177" t="s">
        <v>51</v>
      </c>
      <c r="B17" s="180">
        <v>550</v>
      </c>
      <c r="C17" s="178" t="s">
        <v>549</v>
      </c>
    </row>
    <row r="18" spans="1:3">
      <c r="A18" s="152" t="s">
        <v>51</v>
      </c>
      <c r="B18" s="181">
        <v>600</v>
      </c>
      <c r="C18" s="178" t="s">
        <v>550</v>
      </c>
    </row>
    <row r="19" spans="1:3">
      <c r="A19" s="177" t="s">
        <v>52</v>
      </c>
      <c r="B19" s="180">
        <v>292</v>
      </c>
      <c r="C19" s="178" t="s">
        <v>551</v>
      </c>
    </row>
    <row r="20" spans="1:3">
      <c r="A20" s="152" t="s">
        <v>53</v>
      </c>
      <c r="B20" s="181">
        <v>336</v>
      </c>
      <c r="C20" s="178" t="s">
        <v>464</v>
      </c>
    </row>
    <row r="21" spans="1:3">
      <c r="A21" s="177" t="s">
        <v>53</v>
      </c>
      <c r="B21" s="180">
        <v>390.5</v>
      </c>
      <c r="C21" s="178" t="s">
        <v>464</v>
      </c>
    </row>
    <row r="22" spans="1:3">
      <c r="A22" s="152" t="s">
        <v>84</v>
      </c>
      <c r="B22" s="181">
        <v>292</v>
      </c>
      <c r="C22" s="178" t="s">
        <v>552</v>
      </c>
    </row>
    <row r="23" spans="1:3">
      <c r="A23" s="177" t="s">
        <v>34</v>
      </c>
      <c r="B23" s="180">
        <v>292</v>
      </c>
      <c r="C23" s="178" t="s">
        <v>543</v>
      </c>
    </row>
    <row r="24" spans="1:3">
      <c r="A24" s="152" t="s">
        <v>39</v>
      </c>
      <c r="B24" s="181">
        <v>292</v>
      </c>
      <c r="C24" s="178" t="s">
        <v>553</v>
      </c>
    </row>
    <row r="25" spans="1:3">
      <c r="A25" s="177" t="s">
        <v>42</v>
      </c>
      <c r="B25" s="180">
        <v>495</v>
      </c>
      <c r="C25" s="178" t="s">
        <v>459</v>
      </c>
    </row>
    <row r="26" spans="1:3">
      <c r="A26" s="152" t="s">
        <v>41</v>
      </c>
      <c r="B26" s="181">
        <v>292</v>
      </c>
      <c r="C26" s="178" t="s">
        <v>554</v>
      </c>
    </row>
    <row r="27" spans="1:3">
      <c r="A27" s="177" t="s">
        <v>85</v>
      </c>
      <c r="B27" s="180">
        <v>292</v>
      </c>
      <c r="C27" s="178" t="s">
        <v>555</v>
      </c>
    </row>
    <row r="28" spans="1:3">
      <c r="A28" s="177" t="s">
        <v>48</v>
      </c>
      <c r="B28" s="180">
        <v>1684</v>
      </c>
      <c r="C28" s="178" t="s">
        <v>556</v>
      </c>
    </row>
    <row r="29" spans="1:3">
      <c r="A29" s="152" t="s">
        <v>48</v>
      </c>
      <c r="B29" s="181">
        <v>933</v>
      </c>
      <c r="C29" s="178" t="s">
        <v>557</v>
      </c>
    </row>
    <row r="31" spans="1:3">
      <c r="A31" s="152" t="s">
        <v>558</v>
      </c>
      <c r="B31" s="256">
        <f>MEDIAN(B4:B27)</f>
        <v>298.36</v>
      </c>
      <c r="C31" s="264"/>
    </row>
    <row r="32" spans="1:3">
      <c r="A32" s="152" t="s">
        <v>465</v>
      </c>
      <c r="B32" s="256">
        <f>AVERAGE(B4:B27)</f>
        <v>363.48708333333337</v>
      </c>
      <c r="C32"/>
    </row>
    <row r="33" spans="1:3">
      <c r="A33" s="152" t="s">
        <v>559</v>
      </c>
      <c r="B33" s="256">
        <f>QUARTILE(B4:B27,1)</f>
        <v>292</v>
      </c>
      <c r="C33"/>
    </row>
  </sheetData>
  <phoneticPr fontId="8"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BBA1-6C62-4112-ADC9-3C20CE39AFF4}">
  <sheetPr>
    <tabColor rgb="FFCCCCCE"/>
  </sheetPr>
  <dimension ref="A1"/>
  <sheetViews>
    <sheetView zoomScale="80" zoomScaleNormal="80" workbookViewId="0"/>
  </sheetViews>
  <sheetFormatPr defaultColWidth="9" defaultRowHeight="14.25"/>
  <cols>
    <col min="1" max="16384" width="9" style="3"/>
  </cols>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11C34-ED0A-4DDA-845C-B0CFD5D4935B}">
  <sheetPr>
    <tabColor rgb="FFCCCCCE"/>
  </sheetPr>
  <dimension ref="B1:S63"/>
  <sheetViews>
    <sheetView zoomScale="80" zoomScaleNormal="80" workbookViewId="0"/>
  </sheetViews>
  <sheetFormatPr defaultColWidth="9" defaultRowHeight="14.25" zeroHeight="1"/>
  <cols>
    <col min="1" max="1" width="1.7109375" style="86" customWidth="1"/>
    <col min="2" max="2" width="4.7109375" style="86" customWidth="1"/>
    <col min="3" max="3" width="34.85546875" style="86" customWidth="1"/>
    <col min="4" max="4" width="79.42578125" style="103" customWidth="1"/>
    <col min="5" max="6" width="4" style="86" customWidth="1"/>
    <col min="7" max="8" width="9.5703125" style="86" customWidth="1"/>
    <col min="9" max="11" width="9" style="86"/>
    <col min="12" max="13" width="4" style="86" customWidth="1"/>
    <col min="14" max="14" width="19.85546875" style="86" bestFit="1" customWidth="1"/>
    <col min="15" max="17" width="9" style="86"/>
    <col min="18" max="18" width="30.7109375" style="86" customWidth="1"/>
    <col min="19" max="19" width="89.85546875" style="86" customWidth="1"/>
    <col min="20" max="16384" width="9" style="86"/>
  </cols>
  <sheetData>
    <row r="1" spans="2:19" s="189" customFormat="1" ht="19.5">
      <c r="B1" s="188" t="s">
        <v>560</v>
      </c>
      <c r="C1" s="188"/>
      <c r="D1" s="188" t="s">
        <v>561</v>
      </c>
    </row>
    <row r="2" spans="2:19">
      <c r="D2" s="87"/>
      <c r="S2" s="87"/>
    </row>
    <row r="3" spans="2:19">
      <c r="B3" s="88" t="s">
        <v>562</v>
      </c>
      <c r="C3" s="89" t="s">
        <v>563</v>
      </c>
      <c r="D3" s="269" t="s">
        <v>564</v>
      </c>
      <c r="G3" s="90" t="s">
        <v>76</v>
      </c>
      <c r="H3" s="90" t="s">
        <v>77</v>
      </c>
      <c r="I3" s="90" t="s">
        <v>78</v>
      </c>
      <c r="J3" s="90" t="s">
        <v>79</v>
      </c>
      <c r="K3" s="90" t="s">
        <v>80</v>
      </c>
      <c r="Q3" s="88" t="s">
        <v>562</v>
      </c>
      <c r="R3" s="89" t="s">
        <v>563</v>
      </c>
      <c r="S3" s="269" t="s">
        <v>565</v>
      </c>
    </row>
    <row r="4" spans="2:19">
      <c r="B4" s="91">
        <v>1</v>
      </c>
      <c r="C4" s="92" t="s">
        <v>566</v>
      </c>
      <c r="D4" s="93" t="s">
        <v>561</v>
      </c>
      <c r="N4" s="289" t="s">
        <v>567</v>
      </c>
      <c r="O4" s="290"/>
      <c r="Q4" s="91">
        <v>1</v>
      </c>
      <c r="R4" s="92" t="s">
        <v>566</v>
      </c>
      <c r="S4" s="93" t="s">
        <v>561</v>
      </c>
    </row>
    <row r="5" spans="2:19" ht="174.4">
      <c r="B5" s="91">
        <v>2</v>
      </c>
      <c r="C5" s="92" t="s">
        <v>568</v>
      </c>
      <c r="D5" s="101" t="s">
        <v>569</v>
      </c>
      <c r="N5" s="94" t="s">
        <v>570</v>
      </c>
      <c r="O5" s="95">
        <v>0.06</v>
      </c>
      <c r="Q5" s="91">
        <v>2</v>
      </c>
      <c r="R5" s="92" t="s">
        <v>568</v>
      </c>
      <c r="S5" s="101" t="s">
        <v>569</v>
      </c>
    </row>
    <row r="6" spans="2:19">
      <c r="B6" s="91">
        <v>3</v>
      </c>
      <c r="C6" s="92" t="s">
        <v>571</v>
      </c>
      <c r="D6" s="93" t="s">
        <v>572</v>
      </c>
      <c r="N6" s="92" t="s">
        <v>573</v>
      </c>
      <c r="O6" s="95">
        <v>0.01</v>
      </c>
      <c r="Q6" s="91">
        <v>3</v>
      </c>
      <c r="R6" s="92" t="s">
        <v>571</v>
      </c>
      <c r="S6" s="93" t="s">
        <v>572</v>
      </c>
    </row>
    <row r="7" spans="2:19">
      <c r="B7" s="91">
        <v>4</v>
      </c>
      <c r="C7" s="92" t="s">
        <v>574</v>
      </c>
      <c r="D7" s="93" t="s">
        <v>575</v>
      </c>
      <c r="N7" s="92" t="s">
        <v>576</v>
      </c>
      <c r="O7" s="95">
        <v>0.01</v>
      </c>
      <c r="Q7" s="91">
        <v>4</v>
      </c>
      <c r="R7" s="92" t="s">
        <v>574</v>
      </c>
      <c r="S7" s="93" t="s">
        <v>575</v>
      </c>
    </row>
    <row r="8" spans="2:19">
      <c r="B8" s="91">
        <v>5</v>
      </c>
      <c r="C8" s="92" t="s">
        <v>577</v>
      </c>
      <c r="D8" s="93" t="s">
        <v>573</v>
      </c>
      <c r="N8" s="92" t="s">
        <v>578</v>
      </c>
      <c r="O8" s="95">
        <v>0.06</v>
      </c>
      <c r="Q8" s="91">
        <v>5</v>
      </c>
      <c r="R8" s="92" t="s">
        <v>577</v>
      </c>
      <c r="S8" s="93" t="s">
        <v>573</v>
      </c>
    </row>
    <row r="9" spans="2:19">
      <c r="B9" s="91">
        <v>6</v>
      </c>
      <c r="C9" s="92" t="s">
        <v>579</v>
      </c>
      <c r="D9" s="93"/>
      <c r="N9" s="92" t="s">
        <v>580</v>
      </c>
      <c r="O9" s="95">
        <v>0.04</v>
      </c>
      <c r="Q9" s="91">
        <v>6</v>
      </c>
      <c r="R9" s="92" t="s">
        <v>579</v>
      </c>
      <c r="S9" s="93"/>
    </row>
    <row r="10" spans="2:19">
      <c r="B10" s="91">
        <v>7</v>
      </c>
      <c r="C10" s="92" t="s">
        <v>581</v>
      </c>
      <c r="D10" s="93"/>
      <c r="Q10" s="91">
        <v>7</v>
      </c>
      <c r="R10" s="92" t="s">
        <v>581</v>
      </c>
      <c r="S10" s="93"/>
    </row>
    <row r="11" spans="2:19">
      <c r="B11" s="91">
        <v>8</v>
      </c>
      <c r="C11" s="92" t="s">
        <v>582</v>
      </c>
      <c r="D11" s="112">
        <v>87.03</v>
      </c>
      <c r="G11" s="93"/>
      <c r="H11" s="93"/>
      <c r="I11" s="93"/>
      <c r="J11" s="93"/>
      <c r="K11" s="93"/>
      <c r="Q11" s="91">
        <v>8</v>
      </c>
      <c r="R11" s="92" t="s">
        <v>582</v>
      </c>
      <c r="S11" s="112">
        <v>87.03</v>
      </c>
    </row>
    <row r="12" spans="2:19">
      <c r="B12" s="91">
        <v>9</v>
      </c>
      <c r="C12" s="92" t="s">
        <v>583</v>
      </c>
      <c r="D12" s="96"/>
      <c r="Q12" s="91">
        <v>9</v>
      </c>
      <c r="R12" s="92" t="s">
        <v>583</v>
      </c>
      <c r="S12" s="96"/>
    </row>
    <row r="13" spans="2:19">
      <c r="B13" s="91">
        <v>10</v>
      </c>
      <c r="C13" s="92" t="s">
        <v>584</v>
      </c>
      <c r="D13" s="97">
        <v>3.0499999999999999E-2</v>
      </c>
      <c r="Q13" s="91">
        <v>10</v>
      </c>
      <c r="R13" s="92" t="s">
        <v>584</v>
      </c>
      <c r="S13" s="97">
        <v>3.0499999999999999E-2</v>
      </c>
    </row>
    <row r="14" spans="2:19">
      <c r="B14" s="91">
        <v>11</v>
      </c>
      <c r="C14" s="92" t="s">
        <v>585</v>
      </c>
      <c r="D14" s="98" t="b">
        <f>D13&gt;INDEX($O$5:$O$9,MATCH($D$8,$N$5:$N$9,0))</f>
        <v>1</v>
      </c>
      <c r="Q14" s="91">
        <v>11</v>
      </c>
      <c r="R14" s="92" t="s">
        <v>585</v>
      </c>
      <c r="S14" s="98" t="b">
        <f>S13&gt;INDEX($O$5:$O$9,MATCH($D$8,$N$5:$N$9,0))</f>
        <v>1</v>
      </c>
    </row>
    <row r="15" spans="2:19">
      <c r="D15" s="87"/>
      <c r="S15" s="87"/>
    </row>
    <row r="16" spans="2:19">
      <c r="B16" s="88" t="s">
        <v>586</v>
      </c>
      <c r="C16" s="89" t="s">
        <v>587</v>
      </c>
      <c r="D16" s="87"/>
      <c r="Q16" s="88" t="s">
        <v>586</v>
      </c>
      <c r="R16" s="89" t="s">
        <v>587</v>
      </c>
      <c r="S16" s="87"/>
    </row>
    <row r="17" spans="2:19">
      <c r="B17" s="91">
        <v>1</v>
      </c>
      <c r="C17" s="99" t="s">
        <v>587</v>
      </c>
      <c r="D17" s="100" t="s">
        <v>588</v>
      </c>
      <c r="Q17" s="91">
        <v>1</v>
      </c>
      <c r="R17" s="99" t="s">
        <v>587</v>
      </c>
      <c r="S17" s="100" t="s">
        <v>588</v>
      </c>
    </row>
    <row r="18" spans="2:19">
      <c r="B18" s="91">
        <v>2</v>
      </c>
      <c r="C18" s="99" t="s">
        <v>589</v>
      </c>
      <c r="D18" s="101">
        <v>0</v>
      </c>
      <c r="Q18" s="91">
        <v>2</v>
      </c>
      <c r="R18" s="99" t="s">
        <v>589</v>
      </c>
      <c r="S18" s="101">
        <v>0</v>
      </c>
    </row>
    <row r="19" spans="2:19">
      <c r="B19" s="91">
        <v>3</v>
      </c>
      <c r="C19" s="99" t="s">
        <v>590</v>
      </c>
      <c r="D19" s="101" t="s">
        <v>591</v>
      </c>
      <c r="Q19" s="91">
        <v>3</v>
      </c>
      <c r="R19" s="99" t="s">
        <v>590</v>
      </c>
      <c r="S19" s="101" t="s">
        <v>591</v>
      </c>
    </row>
    <row r="20" spans="2:19">
      <c r="D20" s="87"/>
      <c r="S20" s="87"/>
    </row>
    <row r="21" spans="2:19">
      <c r="B21" s="88" t="s">
        <v>592</v>
      </c>
      <c r="C21" s="89" t="s">
        <v>593</v>
      </c>
      <c r="D21" s="102"/>
      <c r="E21" s="103"/>
      <c r="F21" s="103"/>
      <c r="L21" s="103"/>
      <c r="M21" s="103"/>
      <c r="Q21" s="88" t="s">
        <v>592</v>
      </c>
      <c r="R21" s="89" t="s">
        <v>593</v>
      </c>
      <c r="S21" s="102"/>
    </row>
    <row r="22" spans="2:19">
      <c r="B22" s="104">
        <v>1</v>
      </c>
      <c r="C22" s="105" t="s">
        <v>594</v>
      </c>
      <c r="D22" s="291" t="s">
        <v>595</v>
      </c>
      <c r="E22" s="103"/>
      <c r="F22" s="103"/>
      <c r="L22" s="103"/>
      <c r="M22" s="103"/>
      <c r="Q22" s="104">
        <v>1</v>
      </c>
      <c r="R22" s="105" t="s">
        <v>594</v>
      </c>
      <c r="S22" s="100" t="s">
        <v>588</v>
      </c>
    </row>
    <row r="23" spans="2:19" ht="42.4" customHeight="1">
      <c r="B23" s="294" t="s">
        <v>596</v>
      </c>
      <c r="C23" s="297" t="s">
        <v>597</v>
      </c>
      <c r="D23" s="292"/>
      <c r="E23" s="103"/>
      <c r="F23" s="103"/>
      <c r="L23" s="103"/>
      <c r="M23" s="103"/>
      <c r="Q23" s="106">
        <v>1.1000000000000001</v>
      </c>
      <c r="R23" s="105" t="s">
        <v>597</v>
      </c>
      <c r="S23" s="107" t="s">
        <v>598</v>
      </c>
    </row>
    <row r="24" spans="2:19" ht="84.75" customHeight="1">
      <c r="B24" s="295"/>
      <c r="C24" s="298"/>
      <c r="D24" s="292"/>
      <c r="E24" s="103"/>
      <c r="F24" s="103"/>
      <c r="L24" s="103"/>
      <c r="M24" s="103"/>
      <c r="Q24" s="106">
        <v>1.2</v>
      </c>
      <c r="R24" s="105" t="s">
        <v>599</v>
      </c>
      <c r="S24" s="107" t="s">
        <v>600</v>
      </c>
    </row>
    <row r="25" spans="2:19" ht="52.9" customHeight="1">
      <c r="B25" s="295"/>
      <c r="C25" s="298"/>
      <c r="D25" s="292"/>
      <c r="E25" s="103"/>
      <c r="F25" s="103"/>
      <c r="L25" s="103"/>
      <c r="M25" s="103"/>
      <c r="Q25" s="106">
        <v>1.3</v>
      </c>
      <c r="R25" s="105" t="s">
        <v>584</v>
      </c>
      <c r="S25" s="107" t="s">
        <v>601</v>
      </c>
    </row>
    <row r="26" spans="2:19" ht="52.9" customHeight="1">
      <c r="B26" s="296"/>
      <c r="C26" s="299"/>
      <c r="D26" s="292"/>
      <c r="E26" s="103"/>
      <c r="F26" s="103"/>
      <c r="L26" s="103"/>
      <c r="M26" s="103"/>
      <c r="Q26" s="106">
        <v>1.4</v>
      </c>
      <c r="R26" s="105" t="s">
        <v>602</v>
      </c>
      <c r="S26" s="107" t="s">
        <v>603</v>
      </c>
    </row>
    <row r="27" spans="2:19" ht="52.9" customHeight="1">
      <c r="B27" s="104">
        <v>2</v>
      </c>
      <c r="C27" s="105" t="s">
        <v>604</v>
      </c>
      <c r="D27" s="292"/>
      <c r="E27" s="103"/>
      <c r="F27" s="103"/>
      <c r="L27" s="103"/>
      <c r="M27" s="103"/>
      <c r="Q27" s="104">
        <v>2</v>
      </c>
      <c r="R27" s="105" t="s">
        <v>604</v>
      </c>
      <c r="S27" s="100" t="s">
        <v>588</v>
      </c>
    </row>
    <row r="28" spans="2:19" ht="52.9" customHeight="1">
      <c r="B28" s="294" t="s">
        <v>605</v>
      </c>
      <c r="C28" s="294" t="s">
        <v>604</v>
      </c>
      <c r="D28" s="292"/>
      <c r="E28" s="103"/>
      <c r="F28" s="103"/>
      <c r="L28" s="103"/>
      <c r="M28" s="103"/>
      <c r="Q28" s="106">
        <v>2.1</v>
      </c>
      <c r="R28" s="108" t="s">
        <v>606</v>
      </c>
      <c r="S28" s="107" t="s">
        <v>607</v>
      </c>
    </row>
    <row r="29" spans="2:19" ht="57.75" customHeight="1">
      <c r="B29" s="295"/>
      <c r="C29" s="295"/>
      <c r="D29" s="292"/>
      <c r="E29" s="103"/>
      <c r="F29" s="103"/>
      <c r="L29" s="103"/>
      <c r="M29" s="103"/>
      <c r="Q29" s="106">
        <v>2.2000000000000002</v>
      </c>
      <c r="R29" s="108" t="s">
        <v>608</v>
      </c>
      <c r="S29" s="107" t="s">
        <v>609</v>
      </c>
    </row>
    <row r="30" spans="2:19" ht="39.4" customHeight="1">
      <c r="B30" s="296"/>
      <c r="C30" s="296"/>
      <c r="D30" s="293"/>
      <c r="E30" s="103"/>
      <c r="F30" s="103"/>
      <c r="L30" s="103"/>
      <c r="M30" s="103"/>
      <c r="Q30" s="106">
        <v>2.2999999999999998</v>
      </c>
      <c r="R30" s="108" t="s">
        <v>610</v>
      </c>
      <c r="S30" s="107" t="s">
        <v>611</v>
      </c>
    </row>
    <row r="31" spans="2:19" ht="23.25">
      <c r="B31" s="106">
        <v>3</v>
      </c>
      <c r="C31" s="108" t="s">
        <v>612</v>
      </c>
      <c r="D31" s="107" t="s">
        <v>613</v>
      </c>
      <c r="E31" s="103"/>
      <c r="F31" s="103"/>
      <c r="L31" s="103"/>
      <c r="M31" s="103"/>
    </row>
    <row r="32" spans="2:19">
      <c r="B32" s="103"/>
      <c r="C32" s="103"/>
      <c r="D32" s="102"/>
      <c r="E32" s="103"/>
      <c r="F32" s="103"/>
      <c r="L32" s="103"/>
      <c r="M32" s="103"/>
    </row>
    <row r="33" spans="2:13">
      <c r="B33" s="103"/>
      <c r="C33" s="103"/>
      <c r="D33" s="102"/>
      <c r="E33" s="103"/>
      <c r="F33" s="103"/>
      <c r="L33" s="103"/>
      <c r="M33" s="103"/>
    </row>
    <row r="34" spans="2:13">
      <c r="B34" s="103"/>
      <c r="C34" s="103"/>
      <c r="D34" s="102"/>
      <c r="E34" s="103"/>
      <c r="F34" s="103"/>
      <c r="L34" s="103"/>
      <c r="M34" s="103"/>
    </row>
    <row r="35" spans="2:13">
      <c r="B35" s="103"/>
      <c r="C35" s="103"/>
      <c r="D35" s="102"/>
      <c r="E35" s="103"/>
      <c r="F35" s="103"/>
      <c r="L35" s="103"/>
      <c r="M35" s="103"/>
    </row>
    <row r="36" spans="2:13">
      <c r="B36" s="103"/>
      <c r="C36" s="103"/>
      <c r="D36" s="102"/>
      <c r="E36" s="103"/>
      <c r="F36" s="103"/>
      <c r="L36" s="103"/>
      <c r="M36" s="103"/>
    </row>
    <row r="37" spans="2:13">
      <c r="B37" s="103"/>
      <c r="C37" s="103"/>
      <c r="D37" s="102"/>
      <c r="E37" s="103"/>
      <c r="F37" s="103"/>
      <c r="L37" s="103"/>
      <c r="M37" s="103"/>
    </row>
    <row r="38" spans="2:13">
      <c r="B38" s="103"/>
      <c r="C38" s="103"/>
      <c r="E38" s="103"/>
      <c r="F38" s="103"/>
      <c r="L38" s="103"/>
      <c r="M38" s="103"/>
    </row>
    <row r="39" spans="2:13">
      <c r="B39" s="103"/>
      <c r="C39" s="103"/>
      <c r="E39" s="103"/>
      <c r="F39" s="103"/>
      <c r="L39" s="103"/>
      <c r="M39" s="103"/>
    </row>
    <row r="40" spans="2:13">
      <c r="B40" s="103"/>
      <c r="C40" s="103"/>
      <c r="E40" s="103"/>
      <c r="F40" s="103"/>
      <c r="L40" s="103"/>
      <c r="M40" s="103"/>
    </row>
    <row r="41" spans="2:13" ht="14.25" hidden="1" customHeight="1">
      <c r="B41" s="103"/>
      <c r="C41" s="103"/>
      <c r="E41" s="103"/>
      <c r="F41" s="103"/>
      <c r="L41" s="103"/>
      <c r="M41" s="103"/>
    </row>
    <row r="42" spans="2:13" ht="14.25" hidden="1" customHeight="1">
      <c r="B42" s="103"/>
      <c r="C42" s="103"/>
      <c r="E42" s="103"/>
      <c r="F42" s="103"/>
      <c r="L42" s="103"/>
      <c r="M42" s="103"/>
    </row>
    <row r="43" spans="2:13" ht="14.25" hidden="1" customHeight="1">
      <c r="B43" s="103"/>
      <c r="C43" s="103"/>
      <c r="E43" s="103"/>
      <c r="F43" s="103"/>
      <c r="L43" s="103"/>
      <c r="M43" s="103"/>
    </row>
    <row r="44" spans="2:13" ht="14.25" hidden="1" customHeight="1">
      <c r="B44" s="103"/>
      <c r="C44" s="103"/>
      <c r="E44" s="103"/>
      <c r="F44" s="103"/>
      <c r="L44" s="103"/>
      <c r="M44" s="103"/>
    </row>
    <row r="45" spans="2:13" ht="14.25" hidden="1" customHeight="1">
      <c r="B45" s="103"/>
      <c r="C45" s="103"/>
      <c r="E45" s="103"/>
      <c r="F45" s="103"/>
      <c r="L45" s="103"/>
      <c r="M45" s="103"/>
    </row>
    <row r="46" spans="2:13" ht="14.25" hidden="1" customHeight="1">
      <c r="B46" s="103"/>
      <c r="C46" s="103"/>
      <c r="E46" s="103"/>
      <c r="F46" s="103"/>
      <c r="L46" s="103"/>
      <c r="M46" s="103"/>
    </row>
    <row r="47" spans="2:13" ht="14.25" hidden="1" customHeight="1">
      <c r="B47" s="103"/>
      <c r="C47" s="103"/>
      <c r="E47" s="103"/>
      <c r="F47" s="103"/>
      <c r="L47" s="103"/>
      <c r="M47" s="103"/>
    </row>
    <row r="48" spans="2:13">
      <c r="B48" s="103"/>
      <c r="C48" s="103"/>
      <c r="E48" s="103"/>
      <c r="F48" s="103"/>
      <c r="L48" s="103"/>
      <c r="M48" s="103"/>
    </row>
    <row r="49" spans="2:13">
      <c r="B49" s="103"/>
      <c r="C49" s="103"/>
      <c r="E49" s="103"/>
      <c r="F49" s="103"/>
      <c r="L49" s="103"/>
      <c r="M49" s="103"/>
    </row>
    <row r="50" spans="2:13"/>
    <row r="51" spans="2:13"/>
    <row r="52" spans="2:13"/>
    <row r="53" spans="2:13"/>
    <row r="54" spans="2:13"/>
    <row r="55" spans="2:13"/>
    <row r="56" spans="2:13"/>
    <row r="57" spans="2:13"/>
    <row r="58" spans="2:13"/>
    <row r="59" spans="2:13"/>
    <row r="60" spans="2:13"/>
    <row r="61" spans="2:13"/>
    <row r="62" spans="2:13"/>
    <row r="63" spans="2:13"/>
  </sheetData>
  <mergeCells count="6">
    <mergeCell ref="N4:O4"/>
    <mergeCell ref="D22:D30"/>
    <mergeCell ref="B23:B26"/>
    <mergeCell ref="C23:C26"/>
    <mergeCell ref="B28:B30"/>
    <mergeCell ref="C28:C30"/>
  </mergeCells>
  <conditionalFormatting sqref="D14">
    <cfRule type="containsText" dxfId="82" priority="21" operator="containsText" text="FALSE">
      <formula>NOT(ISERROR(SEARCH("FALSE",D14)))</formula>
    </cfRule>
    <cfRule type="containsText" dxfId="81" priority="22" operator="containsText" text="TRUE">
      <formula>NOT(ISERROR(SEARCH("TRUE",D14)))</formula>
    </cfRule>
  </conditionalFormatting>
  <conditionalFormatting sqref="D17">
    <cfRule type="containsText" dxfId="80" priority="18" operator="containsText" text="Pass">
      <formula>NOT(ISERROR(SEARCH("Pass",D17)))</formula>
    </cfRule>
    <cfRule type="containsText" dxfId="79" priority="19" operator="containsText" text="Partial Pass">
      <formula>NOT(ISERROR(SEARCH("Partial Pass",D17)))</formula>
    </cfRule>
    <cfRule type="containsText" dxfId="78" priority="20" operator="containsText" text="Fail">
      <formula>NOT(ISERROR(SEARCH("Fail",D17)))</formula>
    </cfRule>
  </conditionalFormatting>
  <conditionalFormatting sqref="S14">
    <cfRule type="containsText" dxfId="77" priority="10" operator="containsText" text="FALSE">
      <formula>NOT(ISERROR(SEARCH("FALSE",S14)))</formula>
    </cfRule>
    <cfRule type="containsText" dxfId="76" priority="11" operator="containsText" text="TRUE">
      <formula>NOT(ISERROR(SEARCH("TRUE",S14)))</formula>
    </cfRule>
  </conditionalFormatting>
  <conditionalFormatting sqref="S17">
    <cfRule type="containsText" dxfId="75" priority="7" operator="containsText" text="Pass">
      <formula>NOT(ISERROR(SEARCH("Pass",S17)))</formula>
    </cfRule>
    <cfRule type="containsText" dxfId="74" priority="8" operator="containsText" text="Partial Pass">
      <formula>NOT(ISERROR(SEARCH("Partial Pass",S17)))</formula>
    </cfRule>
    <cfRule type="containsText" dxfId="73" priority="9" operator="containsText" text="Fail">
      <formula>NOT(ISERROR(SEARCH("Fail",S17)))</formula>
    </cfRule>
  </conditionalFormatting>
  <conditionalFormatting sqref="S22">
    <cfRule type="containsText" dxfId="72" priority="4" operator="containsText" text="Pass">
      <formula>NOT(ISERROR(SEARCH("Pass",S22)))</formula>
    </cfRule>
    <cfRule type="containsText" dxfId="71" priority="5" operator="containsText" text="Partial Pass">
      <formula>NOT(ISERROR(SEARCH("Partial Pass",S22)))</formula>
    </cfRule>
    <cfRule type="containsText" dxfId="70" priority="6" operator="containsText" text="Fail">
      <formula>NOT(ISERROR(SEARCH("Fail",S22)))</formula>
    </cfRule>
  </conditionalFormatting>
  <conditionalFormatting sqref="S27">
    <cfRule type="containsText" dxfId="69" priority="1" operator="containsText" text="Pass">
      <formula>NOT(ISERROR(SEARCH("Pass",S27)))</formula>
    </cfRule>
    <cfRule type="containsText" dxfId="68" priority="2" operator="containsText" text="Partial Pass">
      <formula>NOT(ISERROR(SEARCH("Partial Pass",S27)))</formula>
    </cfRule>
    <cfRule type="containsText" dxfId="67" priority="3" operator="containsText" text="Fail">
      <formula>NOT(ISERROR(SEARCH("Fail",S27)))</formula>
    </cfRule>
  </conditionalFormatting>
  <dataValidations count="2">
    <dataValidation type="list" allowBlank="1" showInputMessage="1" showErrorMessage="1" sqref="D8 S8" xr:uid="{E9BB8AE2-6E98-4DB8-A351-7A3938A69D78}">
      <formula1>$N$5:$N$9</formula1>
    </dataValidation>
    <dataValidation type="list" allowBlank="1" showInputMessage="1" showErrorMessage="1" sqref="D17 S17" xr:uid="{CC6A5EB8-B0DA-42C6-952F-2EA647E5F1D3}">
      <formula1>"Pass, Partial Pass, Fail, Reallocated to enhancement"</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B282-0278-4663-8868-3F2907DCB5D3}">
  <sheetPr>
    <tabColor rgb="FFCCCCCE"/>
  </sheetPr>
  <dimension ref="B1:Z64"/>
  <sheetViews>
    <sheetView zoomScale="80" zoomScaleNormal="80" workbookViewId="0"/>
  </sheetViews>
  <sheetFormatPr defaultColWidth="9" defaultRowHeight="14.25" zeroHeight="1"/>
  <cols>
    <col min="1" max="1" width="1.7109375" style="86" customWidth="1"/>
    <col min="2" max="2" width="4.7109375" style="86" customWidth="1"/>
    <col min="3" max="3" width="34.85546875" style="86" customWidth="1"/>
    <col min="4" max="4" width="121" style="103" customWidth="1"/>
    <col min="5" max="6" width="4" style="86" customWidth="1"/>
    <col min="7" max="8" width="9.5703125" style="86" customWidth="1"/>
    <col min="9" max="11" width="9" style="86"/>
    <col min="12" max="13" width="4" style="86" customWidth="1"/>
    <col min="14" max="14" width="19.85546875" style="86" bestFit="1" customWidth="1"/>
    <col min="15" max="17" width="9" style="86"/>
    <col min="18" max="18" width="40" style="86" customWidth="1"/>
    <col min="19" max="19" width="113.42578125" style="86" customWidth="1"/>
    <col min="20" max="21" width="4" style="86" customWidth="1"/>
    <col min="22" max="16384" width="9" style="86"/>
  </cols>
  <sheetData>
    <row r="1" spans="2:26" s="189" customFormat="1" ht="19.5">
      <c r="B1" s="188" t="s">
        <v>527</v>
      </c>
      <c r="C1" s="188"/>
      <c r="D1" s="188" t="s">
        <v>561</v>
      </c>
    </row>
    <row r="2" spans="2:26">
      <c r="D2" s="87"/>
    </row>
    <row r="3" spans="2:26">
      <c r="B3" s="88" t="s">
        <v>562</v>
      </c>
      <c r="C3" s="89" t="s">
        <v>563</v>
      </c>
      <c r="D3" s="269" t="s">
        <v>564</v>
      </c>
      <c r="G3" s="90" t="s">
        <v>76</v>
      </c>
      <c r="H3" s="90" t="s">
        <v>77</v>
      </c>
      <c r="I3" s="90" t="s">
        <v>78</v>
      </c>
      <c r="J3" s="90" t="s">
        <v>79</v>
      </c>
      <c r="K3" s="90" t="s">
        <v>80</v>
      </c>
      <c r="Q3" s="88" t="s">
        <v>562</v>
      </c>
      <c r="R3" s="89" t="s">
        <v>563</v>
      </c>
      <c r="S3" s="269" t="s">
        <v>565</v>
      </c>
    </row>
    <row r="4" spans="2:26">
      <c r="B4" s="91">
        <v>1</v>
      </c>
      <c r="C4" s="92" t="s">
        <v>566</v>
      </c>
      <c r="D4" s="93" t="s">
        <v>614</v>
      </c>
      <c r="Q4" s="91">
        <v>1</v>
      </c>
      <c r="R4" s="92" t="s">
        <v>566</v>
      </c>
      <c r="S4" s="93" t="s">
        <v>614</v>
      </c>
    </row>
    <row r="5" spans="2:26" ht="172.15" customHeight="1">
      <c r="B5" s="91">
        <v>2</v>
      </c>
      <c r="C5" s="92" t="s">
        <v>568</v>
      </c>
      <c r="D5" s="101" t="s">
        <v>615</v>
      </c>
      <c r="Q5" s="91">
        <v>2</v>
      </c>
      <c r="R5" s="92" t="s">
        <v>568</v>
      </c>
      <c r="S5" s="101" t="s">
        <v>615</v>
      </c>
    </row>
    <row r="6" spans="2:26">
      <c r="B6" s="91">
        <v>3</v>
      </c>
      <c r="C6" s="92" t="s">
        <v>571</v>
      </c>
      <c r="D6" s="93" t="s">
        <v>572</v>
      </c>
      <c r="N6" s="289" t="s">
        <v>567</v>
      </c>
      <c r="O6" s="290"/>
      <c r="Q6" s="91">
        <v>3</v>
      </c>
      <c r="R6" s="92" t="s">
        <v>571</v>
      </c>
      <c r="S6" s="93" t="s">
        <v>572</v>
      </c>
    </row>
    <row r="7" spans="2:26">
      <c r="B7" s="91">
        <v>4</v>
      </c>
      <c r="C7" s="92" t="s">
        <v>574</v>
      </c>
      <c r="D7" s="93" t="s">
        <v>616</v>
      </c>
      <c r="N7" s="94" t="s">
        <v>570</v>
      </c>
      <c r="O7" s="95">
        <v>0.06</v>
      </c>
      <c r="Q7" s="91">
        <v>4</v>
      </c>
      <c r="R7" s="92" t="s">
        <v>574</v>
      </c>
      <c r="S7" s="93" t="s">
        <v>616</v>
      </c>
    </row>
    <row r="8" spans="2:26">
      <c r="B8" s="91">
        <v>5</v>
      </c>
      <c r="C8" s="92" t="s">
        <v>577</v>
      </c>
      <c r="D8" s="93" t="s">
        <v>573</v>
      </c>
      <c r="N8" s="92" t="s">
        <v>573</v>
      </c>
      <c r="O8" s="95">
        <v>0.01</v>
      </c>
      <c r="Q8" s="91">
        <v>5</v>
      </c>
      <c r="R8" s="92" t="s">
        <v>577</v>
      </c>
      <c r="S8" s="93" t="s">
        <v>573</v>
      </c>
    </row>
    <row r="9" spans="2:26">
      <c r="B9" s="91">
        <v>6</v>
      </c>
      <c r="C9" s="92" t="s">
        <v>579</v>
      </c>
      <c r="D9" s="93">
        <v>816.31400000000008</v>
      </c>
      <c r="N9" s="92" t="s">
        <v>576</v>
      </c>
      <c r="O9" s="95">
        <v>0.01</v>
      </c>
      <c r="Q9" s="91">
        <v>6</v>
      </c>
      <c r="R9" s="92" t="s">
        <v>579</v>
      </c>
      <c r="S9" s="93">
        <v>614.5</v>
      </c>
    </row>
    <row r="10" spans="2:26">
      <c r="B10" s="91">
        <v>7</v>
      </c>
      <c r="C10" s="92" t="s">
        <v>581</v>
      </c>
      <c r="D10" s="93">
        <v>377.90300000000002</v>
      </c>
      <c r="G10" s="90" t="s">
        <v>76</v>
      </c>
      <c r="H10" s="90" t="s">
        <v>77</v>
      </c>
      <c r="I10" s="90" t="s">
        <v>78</v>
      </c>
      <c r="J10" s="90" t="s">
        <v>79</v>
      </c>
      <c r="K10" s="90" t="s">
        <v>80</v>
      </c>
      <c r="N10" s="92" t="s">
        <v>578</v>
      </c>
      <c r="O10" s="95">
        <v>0.06</v>
      </c>
      <c r="Q10" s="91">
        <v>7</v>
      </c>
      <c r="R10" s="92" t="s">
        <v>581</v>
      </c>
      <c r="S10" s="93">
        <v>337.29</v>
      </c>
      <c r="V10" s="90" t="s">
        <v>76</v>
      </c>
      <c r="W10" s="90" t="s">
        <v>77</v>
      </c>
      <c r="X10" s="90" t="s">
        <v>78</v>
      </c>
      <c r="Y10" s="90" t="s">
        <v>79</v>
      </c>
      <c r="Z10" s="90" t="s">
        <v>80</v>
      </c>
    </row>
    <row r="11" spans="2:26">
      <c r="B11" s="91">
        <v>8</v>
      </c>
      <c r="C11" s="92" t="s">
        <v>582</v>
      </c>
      <c r="D11" s="93">
        <v>438.41100000000006</v>
      </c>
      <c r="G11" s="93">
        <v>36.817999999999998</v>
      </c>
      <c r="H11" s="93">
        <v>53.647000000000006</v>
      </c>
      <c r="I11" s="93">
        <v>70.628</v>
      </c>
      <c r="J11" s="93">
        <v>104.574</v>
      </c>
      <c r="K11" s="93">
        <v>172.744</v>
      </c>
      <c r="N11" s="92" t="s">
        <v>580</v>
      </c>
      <c r="O11" s="95">
        <v>0.04</v>
      </c>
      <c r="Q11" s="91">
        <v>8</v>
      </c>
      <c r="R11" s="92" t="s">
        <v>582</v>
      </c>
      <c r="S11" s="93">
        <v>277.2</v>
      </c>
      <c r="V11" s="93">
        <v>1464.069</v>
      </c>
      <c r="W11" s="93">
        <v>30.861999999999998</v>
      </c>
      <c r="X11" s="93">
        <v>49.296999999999997</v>
      </c>
      <c r="Y11" s="93">
        <v>73.876999999999995</v>
      </c>
      <c r="Z11" s="93">
        <v>123.03700000000001</v>
      </c>
    </row>
    <row r="12" spans="2:26">
      <c r="B12" s="91">
        <v>9</v>
      </c>
      <c r="C12" s="92" t="s">
        <v>583</v>
      </c>
      <c r="D12" s="111">
        <v>9282.2449114809278</v>
      </c>
      <c r="Q12" s="91">
        <v>9</v>
      </c>
      <c r="R12" s="92" t="s">
        <v>583</v>
      </c>
      <c r="S12" s="111">
        <v>7808.527</v>
      </c>
    </row>
    <row r="13" spans="2:26">
      <c r="B13" s="91">
        <v>10</v>
      </c>
      <c r="C13" s="92" t="s">
        <v>584</v>
      </c>
      <c r="D13" s="97">
        <v>4.7199999999999999E-2</v>
      </c>
      <c r="Q13" s="91">
        <v>10</v>
      </c>
      <c r="R13" s="92" t="s">
        <v>584</v>
      </c>
      <c r="S13" s="97">
        <v>3.27E-2</v>
      </c>
    </row>
    <row r="14" spans="2:26">
      <c r="B14" s="91">
        <v>11</v>
      </c>
      <c r="C14" s="92" t="s">
        <v>585</v>
      </c>
      <c r="D14" s="98" t="b">
        <f>D13&gt;INDEX($O$7:$O$11,MATCH($D$8,$N$7:$N$11,0))</f>
        <v>1</v>
      </c>
      <c r="Q14" s="91">
        <v>11</v>
      </c>
      <c r="R14" s="92" t="s">
        <v>585</v>
      </c>
      <c r="S14" s="98" t="b">
        <f>S13&gt;INDEX($O$7:$O$11,MATCH($D$8,$N$7:$N$11,0))</f>
        <v>1</v>
      </c>
    </row>
    <row r="15" spans="2:26">
      <c r="D15" s="87"/>
      <c r="S15" s="87"/>
    </row>
    <row r="16" spans="2:26">
      <c r="B16" s="88" t="s">
        <v>586</v>
      </c>
      <c r="C16" s="89" t="s">
        <v>587</v>
      </c>
      <c r="D16" s="87"/>
      <c r="Q16" s="88" t="s">
        <v>586</v>
      </c>
      <c r="R16" s="89" t="s">
        <v>587</v>
      </c>
      <c r="S16" s="87"/>
    </row>
    <row r="17" spans="2:21">
      <c r="B17" s="91">
        <v>1</v>
      </c>
      <c r="C17" s="99" t="s">
        <v>587</v>
      </c>
      <c r="D17" s="100" t="s">
        <v>588</v>
      </c>
      <c r="Q17" s="91">
        <v>1</v>
      </c>
      <c r="R17" s="99" t="s">
        <v>587</v>
      </c>
      <c r="S17" s="100" t="s">
        <v>588</v>
      </c>
    </row>
    <row r="18" spans="2:21">
      <c r="B18" s="91">
        <v>2</v>
      </c>
      <c r="C18" s="99" t="s">
        <v>589</v>
      </c>
      <c r="D18" s="101">
        <v>0</v>
      </c>
      <c r="Q18" s="91">
        <v>2</v>
      </c>
      <c r="R18" s="99" t="s">
        <v>589</v>
      </c>
      <c r="S18" s="101">
        <v>0</v>
      </c>
    </row>
    <row r="19" spans="2:21">
      <c r="B19" s="91">
        <v>3</v>
      </c>
      <c r="C19" s="99" t="s">
        <v>590</v>
      </c>
      <c r="D19" s="101" t="s">
        <v>591</v>
      </c>
      <c r="Q19" s="91">
        <v>3</v>
      </c>
      <c r="R19" s="99" t="s">
        <v>590</v>
      </c>
      <c r="S19" s="101" t="s">
        <v>591</v>
      </c>
    </row>
    <row r="20" spans="2:21">
      <c r="D20" s="87"/>
      <c r="S20" s="87"/>
    </row>
    <row r="21" spans="2:21">
      <c r="B21" s="88" t="s">
        <v>592</v>
      </c>
      <c r="C21" s="89" t="s">
        <v>593</v>
      </c>
      <c r="D21" s="102"/>
      <c r="E21" s="103"/>
      <c r="F21" s="103"/>
      <c r="L21" s="103"/>
      <c r="M21" s="103"/>
      <c r="Q21" s="88" t="s">
        <v>592</v>
      </c>
      <c r="R21" s="89" t="s">
        <v>593</v>
      </c>
      <c r="S21" s="102"/>
      <c r="T21" s="103"/>
      <c r="U21" s="103"/>
    </row>
    <row r="22" spans="2:21">
      <c r="B22" s="104">
        <v>1</v>
      </c>
      <c r="C22" s="105" t="s">
        <v>594</v>
      </c>
      <c r="D22" s="291" t="s">
        <v>595</v>
      </c>
      <c r="E22" s="103"/>
      <c r="F22" s="103"/>
      <c r="L22" s="103"/>
      <c r="M22" s="103"/>
      <c r="Q22" s="104">
        <v>1</v>
      </c>
      <c r="R22" s="105" t="s">
        <v>594</v>
      </c>
      <c r="S22" s="100" t="s">
        <v>588</v>
      </c>
      <c r="T22" s="103"/>
      <c r="U22" s="103"/>
    </row>
    <row r="23" spans="2:21" ht="137.65" customHeight="1">
      <c r="B23" s="294" t="s">
        <v>596</v>
      </c>
      <c r="C23" s="297" t="s">
        <v>597</v>
      </c>
      <c r="D23" s="292"/>
      <c r="E23" s="103"/>
      <c r="F23" s="103"/>
      <c r="L23" s="103"/>
      <c r="M23" s="103"/>
      <c r="Q23" s="106">
        <v>1.1000000000000001</v>
      </c>
      <c r="R23" s="105" t="s">
        <v>597</v>
      </c>
      <c r="S23" s="107" t="s">
        <v>617</v>
      </c>
      <c r="T23" s="103"/>
      <c r="U23" s="103"/>
    </row>
    <row r="24" spans="2:21" ht="74.25" customHeight="1">
      <c r="B24" s="295"/>
      <c r="C24" s="298"/>
      <c r="D24" s="292"/>
      <c r="E24" s="103"/>
      <c r="F24" s="103"/>
      <c r="L24" s="103"/>
      <c r="M24" s="103"/>
      <c r="Q24" s="106">
        <v>1.2</v>
      </c>
      <c r="R24" s="105" t="s">
        <v>599</v>
      </c>
      <c r="S24" s="107" t="s">
        <v>618</v>
      </c>
      <c r="T24" s="103"/>
      <c r="U24" s="103"/>
    </row>
    <row r="25" spans="2:21">
      <c r="B25" s="295"/>
      <c r="C25" s="298"/>
      <c r="D25" s="292"/>
      <c r="E25" s="103"/>
      <c r="F25" s="103"/>
      <c r="L25" s="103"/>
      <c r="M25" s="103"/>
      <c r="Q25" s="106">
        <v>1.3</v>
      </c>
      <c r="R25" s="105" t="s">
        <v>584</v>
      </c>
      <c r="S25" s="107" t="s">
        <v>619</v>
      </c>
      <c r="T25" s="103"/>
      <c r="U25" s="103"/>
    </row>
    <row r="26" spans="2:21" ht="409.15" customHeight="1">
      <c r="B26" s="296"/>
      <c r="C26" s="299"/>
      <c r="D26" s="292"/>
      <c r="E26" s="103"/>
      <c r="F26" s="103"/>
      <c r="L26" s="103"/>
      <c r="M26" s="103"/>
      <c r="Q26" s="106">
        <v>1.4</v>
      </c>
      <c r="R26" s="105" t="s">
        <v>602</v>
      </c>
      <c r="S26" s="107" t="s">
        <v>620</v>
      </c>
      <c r="T26" s="103"/>
      <c r="U26" s="103"/>
    </row>
    <row r="27" spans="2:21">
      <c r="B27" s="104">
        <v>2</v>
      </c>
      <c r="C27" s="105" t="s">
        <v>604</v>
      </c>
      <c r="D27" s="292"/>
      <c r="E27" s="103"/>
      <c r="F27" s="103"/>
      <c r="L27" s="103"/>
      <c r="M27" s="103"/>
      <c r="Q27" s="104">
        <v>2</v>
      </c>
      <c r="R27" s="105" t="s">
        <v>604</v>
      </c>
      <c r="S27" s="100" t="s">
        <v>588</v>
      </c>
      <c r="T27" s="103"/>
      <c r="U27" s="103"/>
    </row>
    <row r="28" spans="2:21" ht="80.25" customHeight="1">
      <c r="B28" s="294" t="s">
        <v>605</v>
      </c>
      <c r="C28" s="294" t="s">
        <v>604</v>
      </c>
      <c r="D28" s="292"/>
      <c r="E28" s="103"/>
      <c r="F28" s="103"/>
      <c r="L28" s="103"/>
      <c r="M28" s="103"/>
      <c r="Q28" s="106">
        <v>2.1</v>
      </c>
      <c r="R28" s="108" t="s">
        <v>606</v>
      </c>
      <c r="S28" s="107" t="s">
        <v>621</v>
      </c>
      <c r="T28" s="103"/>
      <c r="U28" s="103"/>
    </row>
    <row r="29" spans="2:21" ht="82.15" customHeight="1">
      <c r="B29" s="295"/>
      <c r="C29" s="295"/>
      <c r="D29" s="292"/>
      <c r="E29" s="103"/>
      <c r="F29" s="103"/>
      <c r="L29" s="103"/>
      <c r="M29" s="103"/>
      <c r="Q29" s="106">
        <v>2.2000000000000002</v>
      </c>
      <c r="R29" s="108" t="s">
        <v>608</v>
      </c>
      <c r="S29" s="107" t="s">
        <v>622</v>
      </c>
      <c r="T29" s="103"/>
      <c r="U29" s="103"/>
    </row>
    <row r="30" spans="2:21" ht="31.9" customHeight="1">
      <c r="B30" s="296"/>
      <c r="C30" s="296"/>
      <c r="D30" s="293"/>
      <c r="E30" s="103"/>
      <c r="F30" s="103"/>
      <c r="L30" s="103"/>
      <c r="M30" s="103"/>
      <c r="Q30" s="106">
        <v>2.2999999999999998</v>
      </c>
      <c r="R30" s="108" t="s">
        <v>610</v>
      </c>
      <c r="S30" s="107" t="s">
        <v>623</v>
      </c>
      <c r="T30" s="103"/>
      <c r="U30" s="103"/>
    </row>
    <row r="31" spans="2:21">
      <c r="B31" s="106">
        <v>3</v>
      </c>
      <c r="C31" s="108" t="s">
        <v>612</v>
      </c>
      <c r="D31" s="107" t="s">
        <v>613</v>
      </c>
      <c r="E31" s="103"/>
      <c r="F31" s="103"/>
      <c r="L31" s="103"/>
      <c r="M31" s="103"/>
      <c r="T31" s="103"/>
      <c r="U31" s="103"/>
    </row>
    <row r="32" spans="2:21">
      <c r="B32" s="103"/>
      <c r="C32" s="103"/>
      <c r="D32" s="102"/>
      <c r="E32" s="103"/>
      <c r="F32" s="103"/>
      <c r="L32" s="103"/>
      <c r="M32" s="103"/>
      <c r="T32" s="103"/>
      <c r="U32" s="103"/>
    </row>
    <row r="33" spans="2:21">
      <c r="B33" s="103"/>
      <c r="C33" s="103"/>
      <c r="D33" s="102"/>
      <c r="E33" s="103"/>
      <c r="F33" s="103"/>
      <c r="L33" s="103"/>
      <c r="M33" s="103"/>
      <c r="T33" s="103"/>
      <c r="U33" s="103"/>
    </row>
    <row r="34" spans="2:21">
      <c r="B34" s="103"/>
      <c r="C34" s="103"/>
      <c r="D34" s="102"/>
      <c r="E34" s="103"/>
      <c r="F34" s="103"/>
      <c r="L34" s="103"/>
      <c r="M34" s="103"/>
      <c r="T34" s="103"/>
      <c r="U34" s="103"/>
    </row>
    <row r="35" spans="2:21">
      <c r="B35" s="103"/>
      <c r="C35" s="103"/>
      <c r="D35" s="102"/>
      <c r="E35" s="103"/>
      <c r="F35" s="103"/>
      <c r="L35" s="103"/>
      <c r="M35" s="103"/>
      <c r="T35" s="103"/>
      <c r="U35" s="103"/>
    </row>
    <row r="36" spans="2:21">
      <c r="B36" s="103"/>
      <c r="C36" s="103"/>
      <c r="D36" s="102"/>
      <c r="E36" s="103"/>
      <c r="F36" s="103"/>
      <c r="L36" s="103"/>
      <c r="M36" s="103"/>
      <c r="T36" s="103"/>
      <c r="U36" s="103"/>
    </row>
    <row r="37" spans="2:21">
      <c r="B37" s="103"/>
      <c r="C37" s="103"/>
      <c r="D37" s="102"/>
      <c r="E37" s="103"/>
      <c r="F37" s="103"/>
      <c r="L37" s="103"/>
      <c r="M37" s="103"/>
      <c r="T37" s="103"/>
      <c r="U37" s="103"/>
    </row>
    <row r="38" spans="2:21">
      <c r="B38" s="103"/>
      <c r="C38" s="103"/>
      <c r="E38" s="103"/>
      <c r="F38" s="103"/>
      <c r="L38" s="103"/>
      <c r="M38" s="103"/>
      <c r="T38" s="103"/>
      <c r="U38" s="103"/>
    </row>
    <row r="39" spans="2:21">
      <c r="B39" s="103"/>
      <c r="C39" s="103"/>
      <c r="E39" s="103"/>
      <c r="F39" s="103"/>
      <c r="L39" s="103"/>
      <c r="M39" s="103"/>
      <c r="T39" s="103"/>
      <c r="U39" s="103"/>
    </row>
    <row r="40" spans="2:21">
      <c r="B40" s="103"/>
      <c r="C40" s="103"/>
      <c r="E40" s="103"/>
      <c r="F40" s="103"/>
      <c r="L40" s="103"/>
      <c r="M40" s="103"/>
      <c r="T40" s="103"/>
      <c r="U40" s="103"/>
    </row>
    <row r="41" spans="2:21" ht="14.25" hidden="1" customHeight="1">
      <c r="B41" s="103"/>
      <c r="C41" s="103"/>
      <c r="E41" s="103"/>
      <c r="F41" s="103"/>
      <c r="L41" s="103"/>
      <c r="M41" s="103"/>
      <c r="T41" s="103"/>
      <c r="U41" s="103"/>
    </row>
    <row r="42" spans="2:21" ht="14.25" hidden="1" customHeight="1">
      <c r="B42" s="103"/>
      <c r="C42" s="103"/>
      <c r="E42" s="103"/>
      <c r="F42" s="103"/>
      <c r="L42" s="103"/>
      <c r="M42" s="103"/>
      <c r="T42" s="103"/>
      <c r="U42" s="103"/>
    </row>
    <row r="43" spans="2:21" ht="14.25" hidden="1" customHeight="1">
      <c r="B43" s="103"/>
      <c r="C43" s="103"/>
      <c r="E43" s="103"/>
      <c r="F43" s="103"/>
      <c r="L43" s="103"/>
      <c r="M43" s="103"/>
      <c r="T43" s="103"/>
      <c r="U43" s="103"/>
    </row>
    <row r="44" spans="2:21" ht="14.25" hidden="1" customHeight="1">
      <c r="B44" s="103"/>
      <c r="C44" s="103"/>
      <c r="E44" s="103"/>
      <c r="F44" s="103"/>
      <c r="L44" s="103"/>
      <c r="M44" s="103"/>
      <c r="T44" s="103"/>
      <c r="U44" s="103"/>
    </row>
    <row r="45" spans="2:21" ht="14.25" hidden="1" customHeight="1">
      <c r="B45" s="103"/>
      <c r="C45" s="103"/>
      <c r="E45" s="103"/>
      <c r="F45" s="103"/>
      <c r="L45" s="103"/>
      <c r="M45" s="103"/>
      <c r="T45" s="103"/>
      <c r="U45" s="103"/>
    </row>
    <row r="46" spans="2:21" ht="14.25" hidden="1" customHeight="1">
      <c r="B46" s="103"/>
      <c r="C46" s="103"/>
      <c r="E46" s="103"/>
      <c r="F46" s="103"/>
      <c r="L46" s="103"/>
      <c r="M46" s="103"/>
      <c r="T46" s="103"/>
      <c r="U46" s="103"/>
    </row>
    <row r="47" spans="2:21" ht="14.25" hidden="1" customHeight="1">
      <c r="B47" s="103"/>
      <c r="C47" s="103"/>
      <c r="E47" s="103"/>
      <c r="F47" s="103"/>
      <c r="L47" s="103"/>
      <c r="M47" s="103"/>
      <c r="T47" s="103"/>
      <c r="U47" s="103"/>
    </row>
    <row r="48" spans="2:21">
      <c r="B48" s="103"/>
      <c r="C48" s="103"/>
      <c r="E48" s="103"/>
      <c r="F48" s="103"/>
      <c r="L48" s="103"/>
      <c r="M48" s="103"/>
      <c r="T48" s="103"/>
      <c r="U48" s="103"/>
    </row>
    <row r="49" spans="2:21">
      <c r="B49" s="103"/>
      <c r="C49" s="103"/>
      <c r="E49" s="103"/>
      <c r="F49" s="103"/>
      <c r="L49" s="103"/>
      <c r="M49" s="103"/>
      <c r="T49" s="103"/>
      <c r="U49" s="103"/>
    </row>
    <row r="50" spans="2:21"/>
    <row r="51" spans="2:21"/>
    <row r="52" spans="2:21"/>
    <row r="53" spans="2:21"/>
    <row r="54" spans="2:21"/>
    <row r="55" spans="2:21"/>
    <row r="56" spans="2:21"/>
    <row r="57" spans="2:21"/>
    <row r="58" spans="2:21"/>
    <row r="59" spans="2:21"/>
    <row r="60" spans="2:21"/>
    <row r="61" spans="2:21"/>
    <row r="62" spans="2:21"/>
    <row r="63" spans="2:21"/>
    <row r="64" spans="2:21"/>
  </sheetData>
  <mergeCells count="6">
    <mergeCell ref="N6:O6"/>
    <mergeCell ref="D22:D30"/>
    <mergeCell ref="B23:B26"/>
    <mergeCell ref="C23:C26"/>
    <mergeCell ref="B28:B30"/>
    <mergeCell ref="C28:C30"/>
  </mergeCells>
  <conditionalFormatting sqref="D14">
    <cfRule type="containsText" dxfId="66" priority="21" operator="containsText" text="FALSE">
      <formula>NOT(ISERROR(SEARCH("FALSE",D14)))</formula>
    </cfRule>
    <cfRule type="containsText" dxfId="65" priority="22" operator="containsText" text="TRUE">
      <formula>NOT(ISERROR(SEARCH("TRUE",D14)))</formula>
    </cfRule>
  </conditionalFormatting>
  <conditionalFormatting sqref="D17">
    <cfRule type="containsText" dxfId="64" priority="18" operator="containsText" text="Pass">
      <formula>NOT(ISERROR(SEARCH("Pass",D17)))</formula>
    </cfRule>
    <cfRule type="containsText" dxfId="63" priority="19" operator="containsText" text="Partial Pass">
      <formula>NOT(ISERROR(SEARCH("Partial Pass",D17)))</formula>
    </cfRule>
    <cfRule type="containsText" dxfId="62" priority="20" operator="containsText" text="Fail">
      <formula>NOT(ISERROR(SEARCH("Fail",D17)))</formula>
    </cfRule>
  </conditionalFormatting>
  <conditionalFormatting sqref="S14">
    <cfRule type="containsText" dxfId="61" priority="10" operator="containsText" text="FALSE">
      <formula>NOT(ISERROR(SEARCH("FALSE",S14)))</formula>
    </cfRule>
    <cfRule type="containsText" dxfId="60" priority="11" operator="containsText" text="TRUE">
      <formula>NOT(ISERROR(SEARCH("TRUE",S14)))</formula>
    </cfRule>
  </conditionalFormatting>
  <conditionalFormatting sqref="S17">
    <cfRule type="containsText" dxfId="59" priority="7" operator="containsText" text="Pass">
      <formula>NOT(ISERROR(SEARCH("Pass",S17)))</formula>
    </cfRule>
    <cfRule type="containsText" dxfId="58" priority="8" operator="containsText" text="Partial Pass">
      <formula>NOT(ISERROR(SEARCH("Partial Pass",S17)))</formula>
    </cfRule>
    <cfRule type="containsText" dxfId="57" priority="9" operator="containsText" text="Fail">
      <formula>NOT(ISERROR(SEARCH("Fail",S17)))</formula>
    </cfRule>
  </conditionalFormatting>
  <conditionalFormatting sqref="S22">
    <cfRule type="containsText" dxfId="56" priority="4" operator="containsText" text="Pass">
      <formula>NOT(ISERROR(SEARCH("Pass",S22)))</formula>
    </cfRule>
    <cfRule type="containsText" dxfId="55" priority="5" operator="containsText" text="Partial Pass">
      <formula>NOT(ISERROR(SEARCH("Partial Pass",S22)))</formula>
    </cfRule>
    <cfRule type="containsText" dxfId="54" priority="6" operator="containsText" text="Fail">
      <formula>NOT(ISERROR(SEARCH("Fail",S22)))</formula>
    </cfRule>
  </conditionalFormatting>
  <conditionalFormatting sqref="S27">
    <cfRule type="containsText" dxfId="53" priority="1" operator="containsText" text="Pass">
      <formula>NOT(ISERROR(SEARCH("Pass",S27)))</formula>
    </cfRule>
    <cfRule type="containsText" dxfId="52" priority="2" operator="containsText" text="Partial Pass">
      <formula>NOT(ISERROR(SEARCH("Partial Pass",S27)))</formula>
    </cfRule>
    <cfRule type="containsText" dxfId="51" priority="3" operator="containsText" text="Fail">
      <formula>NOT(ISERROR(SEARCH("Fail",S27)))</formula>
    </cfRule>
  </conditionalFormatting>
  <dataValidations count="2">
    <dataValidation type="list" allowBlank="1" showInputMessage="1" showErrorMessage="1" sqref="D17 S17" xr:uid="{5E01A84B-19B0-486F-AF05-BA976F0E170C}">
      <formula1>"Pass, Partial Pass, Fail, Reallocated to enhancement"</formula1>
    </dataValidation>
    <dataValidation type="list" allowBlank="1" showInputMessage="1" showErrorMessage="1" sqref="D8 S8" xr:uid="{167A9A29-DBED-40AD-874F-9E15734F7929}">
      <formula1>$N$7:$N$11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6ECDD-7341-4AD5-91D3-744455FC8852}">
  <sheetPr>
    <tabColor rgb="FFCCCCCE"/>
  </sheetPr>
  <dimension ref="B1:S63"/>
  <sheetViews>
    <sheetView zoomScale="80" zoomScaleNormal="80" workbookViewId="0"/>
  </sheetViews>
  <sheetFormatPr defaultColWidth="9" defaultRowHeight="14.25" zeroHeight="1"/>
  <cols>
    <col min="1" max="1" width="1.7109375" style="86" customWidth="1"/>
    <col min="2" max="2" width="4.7109375" style="86" customWidth="1"/>
    <col min="3" max="3" width="34.85546875" style="86" customWidth="1"/>
    <col min="4" max="4" width="76.140625" style="103" customWidth="1"/>
    <col min="5" max="6" width="4" style="86" customWidth="1"/>
    <col min="7" max="8" width="9.5703125" style="86" customWidth="1"/>
    <col min="9" max="11" width="9" style="86"/>
    <col min="12" max="13" width="4" style="86" customWidth="1"/>
    <col min="14" max="14" width="19.85546875" style="86" bestFit="1" customWidth="1"/>
    <col min="15" max="17" width="9" style="86"/>
    <col min="18" max="18" width="53.85546875" style="86" customWidth="1"/>
    <col min="19" max="19" width="83" style="86" customWidth="1"/>
    <col min="20" max="16384" width="9" style="86"/>
  </cols>
  <sheetData>
    <row r="1" spans="2:19" s="189" customFormat="1" ht="19.5">
      <c r="B1" s="188" t="s">
        <v>624</v>
      </c>
      <c r="C1" s="188"/>
      <c r="D1" s="188" t="s">
        <v>561</v>
      </c>
    </row>
    <row r="2" spans="2:19">
      <c r="D2" s="87"/>
    </row>
    <row r="3" spans="2:19">
      <c r="B3" s="88" t="s">
        <v>562</v>
      </c>
      <c r="C3" s="89" t="s">
        <v>563</v>
      </c>
      <c r="D3" s="269" t="s">
        <v>564</v>
      </c>
      <c r="G3" s="90" t="s">
        <v>76</v>
      </c>
      <c r="H3" s="90" t="s">
        <v>77</v>
      </c>
      <c r="I3" s="90" t="s">
        <v>78</v>
      </c>
      <c r="J3" s="90" t="s">
        <v>79</v>
      </c>
      <c r="K3" s="90" t="s">
        <v>80</v>
      </c>
      <c r="Q3" s="88" t="s">
        <v>562</v>
      </c>
      <c r="R3" s="89" t="s">
        <v>563</v>
      </c>
      <c r="S3" s="269" t="s">
        <v>565</v>
      </c>
    </row>
    <row r="4" spans="2:19">
      <c r="B4" s="91">
        <v>1</v>
      </c>
      <c r="C4" s="99" t="s">
        <v>566</v>
      </c>
      <c r="D4" s="93" t="s">
        <v>625</v>
      </c>
      <c r="Q4" s="91">
        <v>1</v>
      </c>
      <c r="R4" s="99" t="s">
        <v>566</v>
      </c>
      <c r="S4" s="93" t="s">
        <v>625</v>
      </c>
    </row>
    <row r="5" spans="2:19" ht="129" customHeight="1">
      <c r="B5" s="91">
        <v>2</v>
      </c>
      <c r="C5" s="92" t="s">
        <v>568</v>
      </c>
      <c r="D5" s="110" t="s">
        <v>626</v>
      </c>
      <c r="Q5" s="91">
        <v>2</v>
      </c>
      <c r="R5" s="92" t="s">
        <v>568</v>
      </c>
      <c r="S5" s="110" t="s">
        <v>626</v>
      </c>
    </row>
    <row r="6" spans="2:19">
      <c r="B6" s="91">
        <v>3</v>
      </c>
      <c r="C6" s="92" t="s">
        <v>571</v>
      </c>
      <c r="D6" s="93" t="s">
        <v>572</v>
      </c>
      <c r="N6" s="289" t="s">
        <v>567</v>
      </c>
      <c r="O6" s="290"/>
      <c r="Q6" s="91">
        <v>3</v>
      </c>
      <c r="R6" s="92" t="s">
        <v>571</v>
      </c>
      <c r="S6" s="93" t="s">
        <v>572</v>
      </c>
    </row>
    <row r="7" spans="2:19">
      <c r="B7" s="91">
        <v>4</v>
      </c>
      <c r="C7" s="92" t="s">
        <v>574</v>
      </c>
      <c r="D7" s="93" t="s">
        <v>627</v>
      </c>
      <c r="N7" s="94" t="s">
        <v>570</v>
      </c>
      <c r="O7" s="95">
        <v>0.06</v>
      </c>
      <c r="Q7" s="91">
        <v>4</v>
      </c>
      <c r="R7" s="92" t="s">
        <v>574</v>
      </c>
      <c r="S7" s="93" t="s">
        <v>627</v>
      </c>
    </row>
    <row r="8" spans="2:19">
      <c r="B8" s="91">
        <v>5</v>
      </c>
      <c r="C8" s="92" t="s">
        <v>577</v>
      </c>
      <c r="D8" s="93" t="s">
        <v>573</v>
      </c>
      <c r="N8" s="92" t="s">
        <v>573</v>
      </c>
      <c r="O8" s="95">
        <v>0.01</v>
      </c>
      <c r="Q8" s="91">
        <v>5</v>
      </c>
      <c r="R8" s="92" t="s">
        <v>577</v>
      </c>
      <c r="S8" s="93" t="s">
        <v>573</v>
      </c>
    </row>
    <row r="9" spans="2:19">
      <c r="B9" s="91">
        <v>6</v>
      </c>
      <c r="C9" s="92" t="s">
        <v>579</v>
      </c>
      <c r="D9" s="93">
        <v>86.054000000000002</v>
      </c>
      <c r="N9" s="92" t="s">
        <v>576</v>
      </c>
      <c r="O9" s="95">
        <v>0.01</v>
      </c>
      <c r="Q9" s="91">
        <v>6</v>
      </c>
      <c r="R9" s="92" t="s">
        <v>579</v>
      </c>
      <c r="S9" s="93">
        <v>86.054000000000002</v>
      </c>
    </row>
    <row r="10" spans="2:19">
      <c r="B10" s="91">
        <v>7</v>
      </c>
      <c r="C10" s="92" t="s">
        <v>581</v>
      </c>
      <c r="D10" s="93">
        <v>51.09</v>
      </c>
      <c r="G10" s="90" t="s">
        <v>76</v>
      </c>
      <c r="H10" s="90" t="s">
        <v>77</v>
      </c>
      <c r="I10" s="90" t="s">
        <v>78</v>
      </c>
      <c r="J10" s="90" t="s">
        <v>79</v>
      </c>
      <c r="K10" s="90" t="s">
        <v>80</v>
      </c>
      <c r="N10" s="92" t="s">
        <v>578</v>
      </c>
      <c r="O10" s="95">
        <v>0.06</v>
      </c>
      <c r="Q10" s="91">
        <v>7</v>
      </c>
      <c r="R10" s="92" t="s">
        <v>581</v>
      </c>
      <c r="S10" s="93">
        <v>51.09</v>
      </c>
    </row>
    <row r="11" spans="2:19">
      <c r="B11" s="91">
        <v>8</v>
      </c>
      <c r="C11" s="92" t="s">
        <v>582</v>
      </c>
      <c r="D11" s="93">
        <v>34.96</v>
      </c>
      <c r="G11" s="93">
        <v>1.5329999999999999</v>
      </c>
      <c r="H11" s="93">
        <v>3.778</v>
      </c>
      <c r="I11" s="93">
        <v>6.4640000000000004</v>
      </c>
      <c r="J11" s="93">
        <v>9.6750000000000007</v>
      </c>
      <c r="K11" s="93">
        <v>13.513999999999999</v>
      </c>
      <c r="N11" s="92" t="s">
        <v>580</v>
      </c>
      <c r="O11" s="95">
        <v>0.04</v>
      </c>
      <c r="Q11" s="91">
        <v>8</v>
      </c>
      <c r="R11" s="92" t="s">
        <v>582</v>
      </c>
      <c r="S11" s="93">
        <v>34.96</v>
      </c>
    </row>
    <row r="12" spans="2:19">
      <c r="B12" s="91">
        <v>9</v>
      </c>
      <c r="C12" s="92" t="s">
        <v>583</v>
      </c>
      <c r="D12" s="96">
        <v>984.54499999999996</v>
      </c>
      <c r="Q12" s="91">
        <v>9</v>
      </c>
      <c r="R12" s="92" t="s">
        <v>583</v>
      </c>
      <c r="S12" s="96">
        <v>984.54499999999996</v>
      </c>
    </row>
    <row r="13" spans="2:19">
      <c r="B13" s="91">
        <v>10</v>
      </c>
      <c r="C13" s="92" t="s">
        <v>584</v>
      </c>
      <c r="D13" s="97">
        <v>2.92E-2</v>
      </c>
      <c r="Q13" s="91">
        <v>10</v>
      </c>
      <c r="R13" s="92" t="s">
        <v>584</v>
      </c>
      <c r="S13" s="97">
        <v>2.92E-2</v>
      </c>
    </row>
    <row r="14" spans="2:19">
      <c r="B14" s="91">
        <v>11</v>
      </c>
      <c r="C14" s="92" t="s">
        <v>585</v>
      </c>
      <c r="D14" s="98" t="b">
        <f>D13&gt;INDEX($O$7:$O$11,MATCH($D$8,$N$7:$N$11,0))</f>
        <v>1</v>
      </c>
      <c r="Q14" s="91">
        <v>11</v>
      </c>
      <c r="R14" s="92" t="s">
        <v>585</v>
      </c>
      <c r="S14" s="98" t="b">
        <f>S13&gt;INDEX($O$7:$O$11,MATCH($D$8,$N$7:$N$11,0))</f>
        <v>1</v>
      </c>
    </row>
    <row r="15" spans="2:19">
      <c r="D15" s="87"/>
      <c r="S15" s="87"/>
    </row>
    <row r="16" spans="2:19">
      <c r="B16" s="88" t="s">
        <v>586</v>
      </c>
      <c r="C16" s="89" t="s">
        <v>587</v>
      </c>
      <c r="D16" s="87"/>
      <c r="Q16" s="88" t="s">
        <v>586</v>
      </c>
      <c r="R16" s="89" t="s">
        <v>587</v>
      </c>
      <c r="S16" s="87"/>
    </row>
    <row r="17" spans="2:19">
      <c r="B17" s="91">
        <v>1</v>
      </c>
      <c r="C17" s="99" t="s">
        <v>587</v>
      </c>
      <c r="D17" s="100" t="s">
        <v>588</v>
      </c>
      <c r="Q17" s="91">
        <v>1</v>
      </c>
      <c r="R17" s="99" t="s">
        <v>587</v>
      </c>
      <c r="S17" s="100" t="s">
        <v>588</v>
      </c>
    </row>
    <row r="18" spans="2:19">
      <c r="B18" s="91">
        <v>2</v>
      </c>
      <c r="C18" s="99" t="s">
        <v>589</v>
      </c>
      <c r="D18" s="101">
        <v>0</v>
      </c>
      <c r="Q18" s="91">
        <v>2</v>
      </c>
      <c r="R18" s="99" t="s">
        <v>589</v>
      </c>
      <c r="S18" s="101">
        <v>0</v>
      </c>
    </row>
    <row r="19" spans="2:19">
      <c r="B19" s="91">
        <v>3</v>
      </c>
      <c r="C19" s="99" t="s">
        <v>590</v>
      </c>
      <c r="D19" s="101" t="s">
        <v>591</v>
      </c>
      <c r="Q19" s="91">
        <v>3</v>
      </c>
      <c r="R19" s="99" t="s">
        <v>590</v>
      </c>
      <c r="S19" s="101" t="s">
        <v>591</v>
      </c>
    </row>
    <row r="20" spans="2:19">
      <c r="D20" s="87"/>
      <c r="S20" s="87"/>
    </row>
    <row r="21" spans="2:19">
      <c r="B21" s="88" t="s">
        <v>592</v>
      </c>
      <c r="C21" s="89" t="s">
        <v>593</v>
      </c>
      <c r="D21" s="102"/>
      <c r="E21" s="103"/>
      <c r="F21" s="103"/>
      <c r="L21" s="103"/>
      <c r="M21" s="103"/>
      <c r="Q21" s="88" t="s">
        <v>592</v>
      </c>
      <c r="R21" s="89" t="s">
        <v>593</v>
      </c>
      <c r="S21" s="102"/>
    </row>
    <row r="22" spans="2:19">
      <c r="B22" s="104">
        <v>1</v>
      </c>
      <c r="C22" s="105" t="s">
        <v>594</v>
      </c>
      <c r="D22" s="291" t="s">
        <v>595</v>
      </c>
      <c r="E22" s="103"/>
      <c r="F22" s="103"/>
      <c r="L22" s="103"/>
      <c r="M22" s="103"/>
      <c r="Q22" s="104">
        <v>1</v>
      </c>
      <c r="R22" s="105" t="s">
        <v>594</v>
      </c>
      <c r="S22" s="100" t="s">
        <v>588</v>
      </c>
    </row>
    <row r="23" spans="2:19" ht="45.4" customHeight="1">
      <c r="B23" s="106">
        <v>1.1000000000000001</v>
      </c>
      <c r="C23" s="105" t="s">
        <v>597</v>
      </c>
      <c r="D23" s="292"/>
      <c r="E23" s="103"/>
      <c r="F23" s="103"/>
      <c r="L23" s="103"/>
      <c r="M23" s="103"/>
      <c r="Q23" s="106">
        <v>1.1000000000000001</v>
      </c>
      <c r="R23" s="105" t="s">
        <v>597</v>
      </c>
      <c r="S23" s="107" t="s">
        <v>628</v>
      </c>
    </row>
    <row r="24" spans="2:19" ht="90" customHeight="1">
      <c r="B24" s="106">
        <v>1.2</v>
      </c>
      <c r="C24" s="105" t="s">
        <v>599</v>
      </c>
      <c r="D24" s="292"/>
      <c r="E24" s="103"/>
      <c r="F24" s="103"/>
      <c r="L24" s="103"/>
      <c r="M24" s="103"/>
      <c r="Q24" s="106">
        <v>1.2</v>
      </c>
      <c r="R24" s="105" t="s">
        <v>599</v>
      </c>
      <c r="S24" s="107" t="s">
        <v>629</v>
      </c>
    </row>
    <row r="25" spans="2:19">
      <c r="B25" s="106">
        <v>1.3</v>
      </c>
      <c r="C25" s="105" t="s">
        <v>584</v>
      </c>
      <c r="D25" s="292"/>
      <c r="E25" s="103"/>
      <c r="F25" s="103"/>
      <c r="L25" s="103"/>
      <c r="M25" s="103"/>
      <c r="Q25" s="106">
        <v>1.3</v>
      </c>
      <c r="R25" s="105" t="s">
        <v>584</v>
      </c>
      <c r="S25" s="107" t="s">
        <v>630</v>
      </c>
    </row>
    <row r="26" spans="2:19" ht="99" customHeight="1">
      <c r="B26" s="106">
        <v>1.4</v>
      </c>
      <c r="C26" s="105" t="s">
        <v>602</v>
      </c>
      <c r="D26" s="292"/>
      <c r="E26" s="103"/>
      <c r="F26" s="103"/>
      <c r="L26" s="103"/>
      <c r="M26" s="103"/>
      <c r="Q26" s="106">
        <v>1.4</v>
      </c>
      <c r="R26" s="105" t="s">
        <v>602</v>
      </c>
      <c r="S26" s="107" t="s">
        <v>631</v>
      </c>
    </row>
    <row r="27" spans="2:19">
      <c r="B27" s="104">
        <v>2</v>
      </c>
      <c r="C27" s="105" t="s">
        <v>604</v>
      </c>
      <c r="D27" s="292"/>
      <c r="E27" s="103"/>
      <c r="F27" s="103"/>
      <c r="L27" s="103"/>
      <c r="M27" s="103"/>
      <c r="Q27" s="104">
        <v>2</v>
      </c>
      <c r="R27" s="105" t="s">
        <v>604</v>
      </c>
      <c r="S27" s="100" t="s">
        <v>588</v>
      </c>
    </row>
    <row r="28" spans="2:19" ht="93" customHeight="1">
      <c r="B28" s="106">
        <v>2.1</v>
      </c>
      <c r="C28" s="108" t="s">
        <v>606</v>
      </c>
      <c r="D28" s="292"/>
      <c r="E28" s="103"/>
      <c r="F28" s="103"/>
      <c r="L28" s="103"/>
      <c r="M28" s="103"/>
      <c r="Q28" s="106">
        <v>2.1</v>
      </c>
      <c r="R28" s="108" t="s">
        <v>606</v>
      </c>
      <c r="S28" s="107" t="s">
        <v>632</v>
      </c>
    </row>
    <row r="29" spans="2:19" ht="108.4" customHeight="1">
      <c r="B29" s="106">
        <v>2.2000000000000002</v>
      </c>
      <c r="C29" s="108" t="s">
        <v>608</v>
      </c>
      <c r="D29" s="292"/>
      <c r="E29" s="103"/>
      <c r="F29" s="103"/>
      <c r="L29" s="103"/>
      <c r="M29" s="103"/>
      <c r="Q29" s="106">
        <v>2.2000000000000002</v>
      </c>
      <c r="R29" s="108" t="s">
        <v>608</v>
      </c>
      <c r="S29" s="107" t="s">
        <v>633</v>
      </c>
    </row>
    <row r="30" spans="2:19" ht="39.4" customHeight="1">
      <c r="B30" s="106">
        <v>2.2999999999999998</v>
      </c>
      <c r="C30" s="108" t="s">
        <v>610</v>
      </c>
      <c r="D30" s="293"/>
      <c r="E30" s="103"/>
      <c r="F30" s="103"/>
      <c r="L30" s="103"/>
      <c r="M30" s="103"/>
      <c r="Q30" s="106">
        <v>2.2999999999999998</v>
      </c>
      <c r="R30" s="108" t="s">
        <v>610</v>
      </c>
      <c r="S30" s="107" t="s">
        <v>634</v>
      </c>
    </row>
    <row r="31" spans="2:19" ht="23.25">
      <c r="B31" s="106">
        <v>3</v>
      </c>
      <c r="C31" s="108" t="s">
        <v>612</v>
      </c>
      <c r="D31" s="107" t="s">
        <v>613</v>
      </c>
      <c r="E31" s="103"/>
      <c r="F31" s="103"/>
      <c r="L31" s="103"/>
      <c r="M31" s="103"/>
    </row>
    <row r="32" spans="2:19">
      <c r="B32" s="103"/>
      <c r="C32" s="103"/>
      <c r="D32" s="102"/>
      <c r="E32" s="103"/>
      <c r="F32" s="103"/>
      <c r="L32" s="103"/>
      <c r="M32" s="103"/>
    </row>
    <row r="33" spans="2:13">
      <c r="B33" s="103"/>
      <c r="C33" s="103"/>
      <c r="D33" s="102"/>
      <c r="E33" s="103"/>
      <c r="F33" s="103"/>
      <c r="L33" s="103"/>
      <c r="M33" s="103"/>
    </row>
    <row r="34" spans="2:13">
      <c r="B34" s="103"/>
      <c r="C34" s="103"/>
      <c r="D34" s="102"/>
      <c r="E34" s="103"/>
      <c r="F34" s="103"/>
      <c r="L34" s="103"/>
      <c r="M34" s="103"/>
    </row>
    <row r="35" spans="2:13">
      <c r="B35" s="103"/>
      <c r="C35" s="103"/>
      <c r="D35" s="102"/>
      <c r="E35" s="103"/>
      <c r="F35" s="103"/>
      <c r="L35" s="103"/>
      <c r="M35" s="103"/>
    </row>
    <row r="36" spans="2:13">
      <c r="B36" s="103"/>
      <c r="C36" s="103"/>
      <c r="D36" s="102"/>
      <c r="E36" s="103"/>
      <c r="F36" s="103"/>
      <c r="L36" s="103"/>
      <c r="M36" s="103"/>
    </row>
    <row r="37" spans="2:13">
      <c r="B37" s="103"/>
      <c r="C37" s="103"/>
      <c r="D37" s="102"/>
      <c r="E37" s="103"/>
      <c r="F37" s="103"/>
      <c r="L37" s="103"/>
      <c r="M37" s="103"/>
    </row>
    <row r="38" spans="2:13">
      <c r="B38" s="103"/>
      <c r="C38" s="103"/>
      <c r="E38" s="103"/>
      <c r="F38" s="103"/>
      <c r="L38" s="103"/>
      <c r="M38" s="103"/>
    </row>
    <row r="39" spans="2:13">
      <c r="B39" s="103"/>
      <c r="C39" s="103"/>
      <c r="E39" s="103"/>
      <c r="F39" s="103"/>
      <c r="L39" s="103"/>
      <c r="M39" s="103"/>
    </row>
    <row r="40" spans="2:13">
      <c r="B40" s="103"/>
      <c r="C40" s="103"/>
      <c r="E40" s="103"/>
      <c r="F40" s="103"/>
      <c r="L40" s="103"/>
      <c r="M40" s="103"/>
    </row>
    <row r="41" spans="2:13" ht="14.25" hidden="1" customHeight="1">
      <c r="B41" s="103"/>
      <c r="C41" s="103"/>
      <c r="E41" s="103"/>
      <c r="F41" s="103"/>
      <c r="L41" s="103"/>
      <c r="M41" s="103"/>
    </row>
    <row r="42" spans="2:13" ht="14.25" hidden="1" customHeight="1">
      <c r="B42" s="103"/>
      <c r="C42" s="103"/>
      <c r="E42" s="103"/>
      <c r="F42" s="103"/>
      <c r="L42" s="103"/>
      <c r="M42" s="103"/>
    </row>
    <row r="43" spans="2:13" ht="14.25" hidden="1" customHeight="1">
      <c r="B43" s="103"/>
      <c r="C43" s="103"/>
      <c r="E43" s="103"/>
      <c r="F43" s="103"/>
      <c r="L43" s="103"/>
      <c r="M43" s="103"/>
    </row>
    <row r="44" spans="2:13" ht="14.25" hidden="1" customHeight="1">
      <c r="B44" s="103"/>
      <c r="C44" s="103"/>
      <c r="E44" s="103"/>
      <c r="F44" s="103"/>
      <c r="L44" s="103"/>
      <c r="M44" s="103"/>
    </row>
    <row r="45" spans="2:13" ht="14.25" hidden="1" customHeight="1">
      <c r="B45" s="103"/>
      <c r="C45" s="103"/>
      <c r="E45" s="103"/>
      <c r="F45" s="103"/>
      <c r="L45" s="103"/>
      <c r="M45" s="103"/>
    </row>
    <row r="46" spans="2:13" ht="14.25" hidden="1" customHeight="1">
      <c r="B46" s="103"/>
      <c r="C46" s="103"/>
      <c r="E46" s="103"/>
      <c r="F46" s="103"/>
      <c r="L46" s="103"/>
      <c r="M46" s="103"/>
    </row>
    <row r="47" spans="2:13" ht="14.25" hidden="1" customHeight="1">
      <c r="B47" s="103"/>
      <c r="C47" s="103"/>
      <c r="E47" s="103"/>
      <c r="F47" s="103"/>
      <c r="L47" s="103"/>
      <c r="M47" s="103"/>
    </row>
    <row r="48" spans="2:13">
      <c r="B48" s="103"/>
      <c r="C48" s="103"/>
      <c r="E48" s="103"/>
      <c r="F48" s="103"/>
      <c r="L48" s="103"/>
      <c r="M48" s="103"/>
    </row>
    <row r="49" spans="2:13">
      <c r="B49" s="103"/>
      <c r="C49" s="103"/>
      <c r="E49" s="103"/>
      <c r="F49" s="103"/>
      <c r="L49" s="103"/>
      <c r="M49" s="103"/>
    </row>
    <row r="50" spans="2:13"/>
    <row r="51" spans="2:13"/>
    <row r="52" spans="2:13"/>
    <row r="53" spans="2:13"/>
    <row r="54" spans="2:13"/>
    <row r="55" spans="2:13"/>
    <row r="56" spans="2:13"/>
    <row r="57" spans="2:13"/>
    <row r="58" spans="2:13"/>
    <row r="59" spans="2:13"/>
    <row r="60" spans="2:13"/>
    <row r="61" spans="2:13"/>
    <row r="62" spans="2:13"/>
    <row r="63" spans="2:13"/>
  </sheetData>
  <mergeCells count="2">
    <mergeCell ref="N6:O6"/>
    <mergeCell ref="D22:D30"/>
  </mergeCells>
  <conditionalFormatting sqref="D14">
    <cfRule type="containsText" dxfId="50" priority="21" operator="containsText" text="FALSE">
      <formula>NOT(ISERROR(SEARCH("FALSE",D14)))</formula>
    </cfRule>
    <cfRule type="containsText" dxfId="49" priority="22" operator="containsText" text="TRUE">
      <formula>NOT(ISERROR(SEARCH("TRUE",D14)))</formula>
    </cfRule>
  </conditionalFormatting>
  <conditionalFormatting sqref="D17">
    <cfRule type="containsText" dxfId="48" priority="18" operator="containsText" text="Pass">
      <formula>NOT(ISERROR(SEARCH("Pass",D17)))</formula>
    </cfRule>
    <cfRule type="containsText" dxfId="47" priority="19" operator="containsText" text="Partial Pass">
      <formula>NOT(ISERROR(SEARCH("Partial Pass",D17)))</formula>
    </cfRule>
    <cfRule type="containsText" dxfId="46" priority="20" operator="containsText" text="Fail">
      <formula>NOT(ISERROR(SEARCH("Fail",D17)))</formula>
    </cfRule>
  </conditionalFormatting>
  <conditionalFormatting sqref="S14">
    <cfRule type="containsText" dxfId="45" priority="10" operator="containsText" text="FALSE">
      <formula>NOT(ISERROR(SEARCH("FALSE",S14)))</formula>
    </cfRule>
    <cfRule type="containsText" dxfId="44" priority="11" operator="containsText" text="TRUE">
      <formula>NOT(ISERROR(SEARCH("TRUE",S14)))</formula>
    </cfRule>
  </conditionalFormatting>
  <conditionalFormatting sqref="S17">
    <cfRule type="containsText" dxfId="43" priority="7" operator="containsText" text="Pass">
      <formula>NOT(ISERROR(SEARCH("Pass",S17)))</formula>
    </cfRule>
    <cfRule type="containsText" dxfId="42" priority="8" operator="containsText" text="Partial Pass">
      <formula>NOT(ISERROR(SEARCH("Partial Pass",S17)))</formula>
    </cfRule>
    <cfRule type="containsText" dxfId="41" priority="9" operator="containsText" text="Fail">
      <formula>NOT(ISERROR(SEARCH("Fail",S17)))</formula>
    </cfRule>
  </conditionalFormatting>
  <conditionalFormatting sqref="S22">
    <cfRule type="containsText" dxfId="40" priority="4" operator="containsText" text="Pass">
      <formula>NOT(ISERROR(SEARCH("Pass",S22)))</formula>
    </cfRule>
    <cfRule type="containsText" dxfId="39" priority="5" operator="containsText" text="Partial Pass">
      <formula>NOT(ISERROR(SEARCH("Partial Pass",S22)))</formula>
    </cfRule>
    <cfRule type="containsText" dxfId="38" priority="6" operator="containsText" text="Fail">
      <formula>NOT(ISERROR(SEARCH("Fail",S22)))</formula>
    </cfRule>
  </conditionalFormatting>
  <conditionalFormatting sqref="S27">
    <cfRule type="containsText" dxfId="37" priority="1" operator="containsText" text="Pass">
      <formula>NOT(ISERROR(SEARCH("Pass",S27)))</formula>
    </cfRule>
    <cfRule type="containsText" dxfId="36" priority="2" operator="containsText" text="Partial Pass">
      <formula>NOT(ISERROR(SEARCH("Partial Pass",S27)))</formula>
    </cfRule>
    <cfRule type="containsText" dxfId="35" priority="3" operator="containsText" text="Fail">
      <formula>NOT(ISERROR(SEARCH("Fail",S27)))</formula>
    </cfRule>
  </conditionalFormatting>
  <dataValidations disablePrompts="1" count="2">
    <dataValidation type="list" allowBlank="1" showInputMessage="1" showErrorMessage="1" sqref="D17 S17" xr:uid="{67AB56B6-44DB-4437-B674-1C64C0002EC6}">
      <formula1>"Pass, Partial Pass, Fail, Reallocated to enhancement"</formula1>
    </dataValidation>
    <dataValidation type="list" allowBlank="1" showInputMessage="1" showErrorMessage="1" sqref="D8 S8" xr:uid="{623BB30E-FBDD-4430-89B9-60DBC8ED9316}">
      <formula1>$N$7:$N$11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5FB70-B9B0-45F9-B5A2-5A7A2EE46B55}">
  <sheetPr>
    <tabColor rgb="FFCCCCCE"/>
  </sheetPr>
  <dimension ref="B1:S63"/>
  <sheetViews>
    <sheetView zoomScale="80" zoomScaleNormal="80" workbookViewId="0"/>
  </sheetViews>
  <sheetFormatPr defaultColWidth="9" defaultRowHeight="14.25" zeroHeight="1"/>
  <cols>
    <col min="1" max="1" width="1.7109375" style="86" customWidth="1"/>
    <col min="2" max="2" width="4.7109375" style="86" customWidth="1"/>
    <col min="3" max="3" width="34.85546875" style="86" customWidth="1"/>
    <col min="4" max="4" width="80.7109375" style="103" customWidth="1"/>
    <col min="5" max="6" width="4" style="86" customWidth="1"/>
    <col min="7" max="8" width="9.5703125" style="86" customWidth="1"/>
    <col min="9" max="11" width="9" style="86"/>
    <col min="12" max="13" width="4" style="86" customWidth="1"/>
    <col min="14" max="14" width="19.85546875" style="86" bestFit="1" customWidth="1"/>
    <col min="15" max="17" width="9" style="86"/>
    <col min="18" max="18" width="45" style="86" customWidth="1"/>
    <col min="19" max="19" width="84" style="86" customWidth="1"/>
    <col min="20" max="16384" width="9" style="86"/>
  </cols>
  <sheetData>
    <row r="1" spans="2:19" s="189" customFormat="1" ht="19.5">
      <c r="B1" s="188" t="s">
        <v>635</v>
      </c>
      <c r="C1" s="188"/>
      <c r="D1" s="188" t="s">
        <v>561</v>
      </c>
    </row>
    <row r="2" spans="2:19">
      <c r="D2" s="87"/>
    </row>
    <row r="3" spans="2:19">
      <c r="B3" s="88" t="s">
        <v>562</v>
      </c>
      <c r="C3" s="89" t="s">
        <v>563</v>
      </c>
      <c r="D3" s="269" t="s">
        <v>564</v>
      </c>
      <c r="G3" s="90" t="s">
        <v>76</v>
      </c>
      <c r="H3" s="90" t="s">
        <v>77</v>
      </c>
      <c r="I3" s="90" t="s">
        <v>78</v>
      </c>
      <c r="J3" s="90" t="s">
        <v>79</v>
      </c>
      <c r="K3" s="90" t="s">
        <v>80</v>
      </c>
      <c r="Q3" s="88" t="s">
        <v>562</v>
      </c>
      <c r="R3" s="89" t="s">
        <v>563</v>
      </c>
      <c r="S3" s="269" t="s">
        <v>565</v>
      </c>
    </row>
    <row r="4" spans="2:19">
      <c r="B4" s="91">
        <v>1</v>
      </c>
      <c r="C4" s="92" t="s">
        <v>566</v>
      </c>
      <c r="D4" s="101" t="s">
        <v>561</v>
      </c>
      <c r="Q4" s="91">
        <v>1</v>
      </c>
      <c r="R4" s="92" t="s">
        <v>566</v>
      </c>
      <c r="S4" s="101" t="s">
        <v>561</v>
      </c>
    </row>
    <row r="5" spans="2:19" ht="166.9" customHeight="1">
      <c r="B5" s="91">
        <v>2</v>
      </c>
      <c r="C5" s="92" t="s">
        <v>568</v>
      </c>
      <c r="D5" s="101" t="s">
        <v>636</v>
      </c>
      <c r="Q5" s="91">
        <v>2</v>
      </c>
      <c r="R5" s="92" t="s">
        <v>568</v>
      </c>
      <c r="S5" s="101" t="s">
        <v>636</v>
      </c>
    </row>
    <row r="6" spans="2:19">
      <c r="B6" s="91">
        <v>3</v>
      </c>
      <c r="C6" s="92" t="s">
        <v>571</v>
      </c>
      <c r="D6" s="93" t="s">
        <v>572</v>
      </c>
      <c r="N6" s="289" t="s">
        <v>567</v>
      </c>
      <c r="O6" s="290"/>
      <c r="Q6" s="91">
        <v>3</v>
      </c>
      <c r="R6" s="92" t="s">
        <v>571</v>
      </c>
      <c r="S6" s="93" t="s">
        <v>572</v>
      </c>
    </row>
    <row r="7" spans="2:19">
      <c r="B7" s="91">
        <v>4</v>
      </c>
      <c r="C7" s="92" t="s">
        <v>574</v>
      </c>
      <c r="D7" s="93" t="s">
        <v>637</v>
      </c>
      <c r="N7" s="94" t="s">
        <v>570</v>
      </c>
      <c r="O7" s="95">
        <v>0.06</v>
      </c>
      <c r="Q7" s="91">
        <v>4</v>
      </c>
      <c r="R7" s="92" t="s">
        <v>574</v>
      </c>
      <c r="S7" s="93" t="s">
        <v>637</v>
      </c>
    </row>
    <row r="8" spans="2:19">
      <c r="B8" s="91">
        <v>5</v>
      </c>
      <c r="C8" s="92" t="s">
        <v>577</v>
      </c>
      <c r="D8" s="93" t="s">
        <v>573</v>
      </c>
      <c r="N8" s="92" t="s">
        <v>573</v>
      </c>
      <c r="O8" s="95">
        <v>0.01</v>
      </c>
      <c r="Q8" s="91">
        <v>5</v>
      </c>
      <c r="R8" s="92" t="s">
        <v>577</v>
      </c>
      <c r="S8" s="93" t="s">
        <v>573</v>
      </c>
    </row>
    <row r="9" spans="2:19">
      <c r="B9" s="91">
        <v>6</v>
      </c>
      <c r="C9" s="92" t="s">
        <v>579</v>
      </c>
      <c r="D9" s="93">
        <v>364.00599999999997</v>
      </c>
      <c r="N9" s="92" t="s">
        <v>576</v>
      </c>
      <c r="O9" s="95">
        <v>0.01</v>
      </c>
      <c r="Q9" s="91">
        <v>6</v>
      </c>
      <c r="R9" s="92" t="s">
        <v>579</v>
      </c>
      <c r="S9" s="93"/>
    </row>
    <row r="10" spans="2:19">
      <c r="B10" s="91">
        <v>7</v>
      </c>
      <c r="C10" s="92" t="s">
        <v>581</v>
      </c>
      <c r="D10" s="93">
        <v>113.063</v>
      </c>
      <c r="G10" s="90" t="s">
        <v>76</v>
      </c>
      <c r="H10" s="90" t="s">
        <v>77</v>
      </c>
      <c r="I10" s="90" t="s">
        <v>78</v>
      </c>
      <c r="J10" s="90" t="s">
        <v>79</v>
      </c>
      <c r="K10" s="90" t="s">
        <v>80</v>
      </c>
      <c r="N10" s="92" t="s">
        <v>578</v>
      </c>
      <c r="O10" s="95">
        <v>0.06</v>
      </c>
      <c r="Q10" s="91">
        <v>7</v>
      </c>
      <c r="R10" s="92" t="s">
        <v>581</v>
      </c>
      <c r="S10" s="93"/>
    </row>
    <row r="11" spans="2:19">
      <c r="B11" s="91">
        <v>8</v>
      </c>
      <c r="C11" s="92" t="s">
        <v>582</v>
      </c>
      <c r="D11" s="93">
        <v>250.94</v>
      </c>
      <c r="G11" s="93">
        <v>49.866</v>
      </c>
      <c r="H11" s="93">
        <v>50.026999999999994</v>
      </c>
      <c r="I11" s="93">
        <v>50.188000000000002</v>
      </c>
      <c r="J11" s="93">
        <v>50.349999999999994</v>
      </c>
      <c r="K11" s="93">
        <v>50.512</v>
      </c>
      <c r="N11" s="92" t="s">
        <v>580</v>
      </c>
      <c r="O11" s="95">
        <v>0.04</v>
      </c>
      <c r="Q11" s="91">
        <v>8</v>
      </c>
      <c r="R11" s="92" t="s">
        <v>582</v>
      </c>
      <c r="S11" s="93">
        <v>250.94</v>
      </c>
    </row>
    <row r="12" spans="2:19">
      <c r="B12" s="91">
        <v>9</v>
      </c>
      <c r="C12" s="92" t="s">
        <v>583</v>
      </c>
      <c r="D12" s="96">
        <v>2767.9544547382093</v>
      </c>
      <c r="Q12" s="91">
        <v>9</v>
      </c>
      <c r="R12" s="92" t="s">
        <v>583</v>
      </c>
      <c r="S12" s="96">
        <v>2740.2020000000002</v>
      </c>
    </row>
    <row r="13" spans="2:19">
      <c r="B13" s="91">
        <v>10</v>
      </c>
      <c r="C13" s="92" t="s">
        <v>584</v>
      </c>
      <c r="D13" s="97">
        <v>9.0700000000000003E-2</v>
      </c>
      <c r="Q13" s="91">
        <v>10</v>
      </c>
      <c r="R13" s="92" t="s">
        <v>584</v>
      </c>
      <c r="S13" s="97">
        <v>8.0600000000000005E-2</v>
      </c>
    </row>
    <row r="14" spans="2:19">
      <c r="B14" s="91">
        <v>11</v>
      </c>
      <c r="C14" s="92" t="s">
        <v>585</v>
      </c>
      <c r="D14" s="98" t="b">
        <f>D13&gt;INDEX($O$7:$O$11,MATCH($D$8,$N$7:$N$11,0))</f>
        <v>1</v>
      </c>
      <c r="Q14" s="91">
        <v>11</v>
      </c>
      <c r="R14" s="92" t="s">
        <v>585</v>
      </c>
      <c r="S14" s="98" t="b">
        <f>S13&gt;INDEX($O$7:$O$11,MATCH($D$8,$N$7:$N$11,0))</f>
        <v>1</v>
      </c>
    </row>
    <row r="15" spans="2:19">
      <c r="D15" s="87"/>
      <c r="S15" s="87"/>
    </row>
    <row r="16" spans="2:19">
      <c r="B16" s="88" t="s">
        <v>586</v>
      </c>
      <c r="C16" s="89" t="s">
        <v>587</v>
      </c>
      <c r="D16" s="87"/>
      <c r="Q16" s="88" t="s">
        <v>586</v>
      </c>
      <c r="R16" s="89" t="s">
        <v>587</v>
      </c>
      <c r="S16" s="87"/>
    </row>
    <row r="17" spans="2:19">
      <c r="B17" s="91">
        <v>1</v>
      </c>
      <c r="C17" s="99" t="s">
        <v>587</v>
      </c>
      <c r="D17" s="100" t="s">
        <v>638</v>
      </c>
      <c r="Q17" s="91">
        <v>1</v>
      </c>
      <c r="R17" s="99" t="s">
        <v>587</v>
      </c>
      <c r="S17" s="100" t="s">
        <v>638</v>
      </c>
    </row>
    <row r="18" spans="2:19">
      <c r="B18" s="91">
        <v>2</v>
      </c>
      <c r="C18" s="99" t="s">
        <v>589</v>
      </c>
      <c r="D18" s="109">
        <f>'Base adjustment'!$I$24</f>
        <v>106.39546563523403</v>
      </c>
      <c r="Q18" s="91">
        <v>2</v>
      </c>
      <c r="R18" s="99" t="s">
        <v>589</v>
      </c>
      <c r="S18" s="109">
        <f>'Base adjustment'!$I$24</f>
        <v>106.39546563523403</v>
      </c>
    </row>
    <row r="19" spans="2:19">
      <c r="B19" s="91">
        <v>3</v>
      </c>
      <c r="C19" s="99" t="s">
        <v>590</v>
      </c>
      <c r="D19" s="101" t="s">
        <v>591</v>
      </c>
      <c r="Q19" s="91">
        <v>3</v>
      </c>
      <c r="R19" s="99" t="s">
        <v>590</v>
      </c>
      <c r="S19" s="101" t="s">
        <v>591</v>
      </c>
    </row>
    <row r="20" spans="2:19">
      <c r="D20" s="87"/>
      <c r="S20" s="87"/>
    </row>
    <row r="21" spans="2:19">
      <c r="B21" s="88" t="s">
        <v>592</v>
      </c>
      <c r="C21" s="89" t="s">
        <v>593</v>
      </c>
      <c r="D21" s="102"/>
      <c r="E21" s="103"/>
      <c r="F21" s="103"/>
      <c r="L21" s="103"/>
      <c r="M21" s="103"/>
      <c r="Q21" s="88" t="s">
        <v>592</v>
      </c>
      <c r="R21" s="89" t="s">
        <v>593</v>
      </c>
      <c r="S21" s="102"/>
    </row>
    <row r="22" spans="2:19">
      <c r="B22" s="104">
        <v>1</v>
      </c>
      <c r="C22" s="105" t="s">
        <v>594</v>
      </c>
      <c r="D22" s="100" t="s">
        <v>639</v>
      </c>
      <c r="E22" s="103"/>
      <c r="F22" s="103"/>
      <c r="L22" s="103"/>
      <c r="M22" s="103"/>
      <c r="Q22" s="104">
        <v>1</v>
      </c>
      <c r="R22" s="105" t="s">
        <v>594</v>
      </c>
      <c r="S22" s="100" t="s">
        <v>639</v>
      </c>
    </row>
    <row r="23" spans="2:19" ht="47.65" customHeight="1">
      <c r="B23" s="294" t="s">
        <v>596</v>
      </c>
      <c r="C23" s="297" t="s">
        <v>597</v>
      </c>
      <c r="D23" s="300" t="s">
        <v>640</v>
      </c>
      <c r="E23" s="103"/>
      <c r="F23" s="103"/>
      <c r="L23" s="103"/>
      <c r="M23" s="103"/>
      <c r="Q23" s="106">
        <v>1.1000000000000001</v>
      </c>
      <c r="R23" s="105" t="s">
        <v>597</v>
      </c>
      <c r="S23" s="107" t="s">
        <v>641</v>
      </c>
    </row>
    <row r="24" spans="2:19" ht="89.25" customHeight="1">
      <c r="B24" s="295"/>
      <c r="C24" s="298"/>
      <c r="D24" s="301"/>
      <c r="E24" s="103"/>
      <c r="F24" s="103"/>
      <c r="L24" s="103"/>
      <c r="M24" s="103"/>
      <c r="Q24" s="106">
        <v>1.2</v>
      </c>
      <c r="R24" s="105" t="s">
        <v>599</v>
      </c>
      <c r="S24" s="107" t="s">
        <v>642</v>
      </c>
    </row>
    <row r="25" spans="2:19">
      <c r="B25" s="295"/>
      <c r="C25" s="298"/>
      <c r="D25" s="301"/>
      <c r="E25" s="103"/>
      <c r="F25" s="103"/>
      <c r="L25" s="103"/>
      <c r="M25" s="103"/>
      <c r="Q25" s="106">
        <v>1.3</v>
      </c>
      <c r="R25" s="105" t="s">
        <v>584</v>
      </c>
      <c r="S25" s="107" t="s">
        <v>643</v>
      </c>
    </row>
    <row r="26" spans="2:19" ht="170.65" customHeight="1">
      <c r="B26" s="296"/>
      <c r="C26" s="299"/>
      <c r="D26" s="302"/>
      <c r="E26" s="103"/>
      <c r="F26" s="103"/>
      <c r="L26" s="103"/>
      <c r="M26" s="103"/>
      <c r="Q26" s="106">
        <v>1.4</v>
      </c>
      <c r="R26" s="105" t="s">
        <v>602</v>
      </c>
      <c r="S26" s="107" t="s">
        <v>644</v>
      </c>
    </row>
    <row r="27" spans="2:19">
      <c r="B27" s="104">
        <v>2</v>
      </c>
      <c r="C27" s="105" t="s">
        <v>604</v>
      </c>
      <c r="D27" s="100" t="s">
        <v>588</v>
      </c>
      <c r="E27" s="103"/>
      <c r="F27" s="103"/>
      <c r="L27" s="103"/>
      <c r="M27" s="103"/>
      <c r="Q27" s="104">
        <v>2</v>
      </c>
      <c r="R27" s="105" t="s">
        <v>604</v>
      </c>
      <c r="S27" s="100" t="s">
        <v>588</v>
      </c>
    </row>
    <row r="28" spans="2:19" ht="50.25" customHeight="1">
      <c r="B28" s="294" t="s">
        <v>605</v>
      </c>
      <c r="C28" s="294" t="s">
        <v>604</v>
      </c>
      <c r="D28" s="300" t="s">
        <v>645</v>
      </c>
      <c r="E28" s="103"/>
      <c r="F28" s="103"/>
      <c r="L28" s="103"/>
      <c r="M28" s="103"/>
      <c r="Q28" s="106">
        <v>2.1</v>
      </c>
      <c r="R28" s="108" t="s">
        <v>606</v>
      </c>
      <c r="S28" s="107" t="s">
        <v>646</v>
      </c>
    </row>
    <row r="29" spans="2:19" ht="116.65" customHeight="1">
      <c r="B29" s="295"/>
      <c r="C29" s="295"/>
      <c r="D29" s="301"/>
      <c r="E29" s="103"/>
      <c r="F29" s="103"/>
      <c r="L29" s="103"/>
      <c r="M29" s="103"/>
      <c r="Q29" s="106">
        <v>2.2000000000000002</v>
      </c>
      <c r="R29" s="108" t="s">
        <v>608</v>
      </c>
      <c r="S29" s="107" t="s">
        <v>647</v>
      </c>
    </row>
    <row r="30" spans="2:19" ht="39.4" customHeight="1">
      <c r="B30" s="296"/>
      <c r="C30" s="296"/>
      <c r="D30" s="302"/>
      <c r="E30" s="103"/>
      <c r="F30" s="103"/>
      <c r="L30" s="103"/>
      <c r="M30" s="103"/>
      <c r="Q30" s="106">
        <v>2.2999999999999998</v>
      </c>
      <c r="R30" s="108" t="s">
        <v>610</v>
      </c>
      <c r="S30" s="107" t="s">
        <v>648</v>
      </c>
    </row>
    <row r="31" spans="2:19" ht="23.25">
      <c r="B31" s="106">
        <v>3</v>
      </c>
      <c r="C31" s="108" t="s">
        <v>612</v>
      </c>
      <c r="D31" s="270" t="s">
        <v>613</v>
      </c>
      <c r="E31" s="103"/>
      <c r="F31" s="103"/>
      <c r="L31" s="103"/>
      <c r="M31" s="103"/>
    </row>
    <row r="32" spans="2:19">
      <c r="B32" s="103"/>
      <c r="C32" s="103"/>
      <c r="D32" s="102"/>
      <c r="E32" s="103"/>
      <c r="F32" s="103"/>
      <c r="L32" s="103"/>
      <c r="M32" s="103"/>
    </row>
    <row r="33" spans="2:13">
      <c r="B33" s="103"/>
      <c r="C33" s="103"/>
      <c r="D33" s="102"/>
      <c r="E33" s="103"/>
      <c r="F33" s="103"/>
      <c r="L33" s="103"/>
      <c r="M33" s="103"/>
    </row>
    <row r="34" spans="2:13">
      <c r="B34" s="103"/>
      <c r="C34" s="103"/>
      <c r="D34" s="102"/>
      <c r="E34" s="103"/>
      <c r="F34" s="103"/>
      <c r="L34" s="103"/>
      <c r="M34" s="103"/>
    </row>
    <row r="35" spans="2:13">
      <c r="B35" s="103"/>
      <c r="C35" s="103"/>
      <c r="D35" s="102"/>
      <c r="E35" s="103"/>
      <c r="F35" s="103"/>
      <c r="L35" s="103"/>
      <c r="M35" s="103"/>
    </row>
    <row r="36" spans="2:13">
      <c r="B36" s="103"/>
      <c r="C36" s="103"/>
      <c r="D36" s="102"/>
      <c r="E36" s="103"/>
      <c r="F36" s="103"/>
      <c r="L36" s="103"/>
      <c r="M36" s="103"/>
    </row>
    <row r="37" spans="2:13">
      <c r="B37" s="103"/>
      <c r="C37" s="103"/>
      <c r="D37" s="102"/>
      <c r="E37" s="103"/>
      <c r="F37" s="103"/>
      <c r="L37" s="103"/>
      <c r="M37" s="103"/>
    </row>
    <row r="38" spans="2:13">
      <c r="B38" s="103"/>
      <c r="C38" s="103"/>
      <c r="E38" s="103"/>
      <c r="F38" s="103"/>
      <c r="L38" s="103"/>
      <c r="M38" s="103"/>
    </row>
    <row r="39" spans="2:13">
      <c r="B39" s="103"/>
      <c r="C39" s="103"/>
      <c r="E39" s="103"/>
      <c r="F39" s="103"/>
      <c r="L39" s="103"/>
      <c r="M39" s="103"/>
    </row>
    <row r="40" spans="2:13">
      <c r="B40" s="103"/>
      <c r="C40" s="103"/>
      <c r="E40" s="103"/>
      <c r="F40" s="103"/>
      <c r="L40" s="103"/>
      <c r="M40" s="103"/>
    </row>
    <row r="41" spans="2:13" ht="14.25" hidden="1" customHeight="1">
      <c r="B41" s="103"/>
      <c r="C41" s="103"/>
      <c r="E41" s="103"/>
      <c r="F41" s="103"/>
      <c r="L41" s="103"/>
      <c r="M41" s="103"/>
    </row>
    <row r="42" spans="2:13" ht="14.25" hidden="1" customHeight="1">
      <c r="B42" s="103"/>
      <c r="C42" s="103"/>
      <c r="E42" s="103"/>
      <c r="F42" s="103"/>
      <c r="L42" s="103"/>
      <c r="M42" s="103"/>
    </row>
    <row r="43" spans="2:13" ht="14.25" hidden="1" customHeight="1">
      <c r="B43" s="103"/>
      <c r="C43" s="103"/>
      <c r="E43" s="103"/>
      <c r="F43" s="103"/>
      <c r="L43" s="103"/>
      <c r="M43" s="103"/>
    </row>
    <row r="44" spans="2:13" ht="14.25" hidden="1" customHeight="1">
      <c r="B44" s="103"/>
      <c r="C44" s="103"/>
      <c r="E44" s="103"/>
      <c r="F44" s="103"/>
      <c r="L44" s="103"/>
      <c r="M44" s="103"/>
    </row>
    <row r="45" spans="2:13" ht="14.25" hidden="1" customHeight="1">
      <c r="B45" s="103"/>
      <c r="C45" s="103"/>
      <c r="E45" s="103"/>
      <c r="F45" s="103"/>
      <c r="L45" s="103"/>
      <c r="M45" s="103"/>
    </row>
    <row r="46" spans="2:13" ht="14.25" hidden="1" customHeight="1">
      <c r="B46" s="103"/>
      <c r="C46" s="103"/>
      <c r="E46" s="103"/>
      <c r="F46" s="103"/>
      <c r="L46" s="103"/>
      <c r="M46" s="103"/>
    </row>
    <row r="47" spans="2:13" ht="14.25" hidden="1" customHeight="1">
      <c r="B47" s="103"/>
      <c r="C47" s="103"/>
      <c r="E47" s="103"/>
      <c r="F47" s="103"/>
      <c r="L47" s="103"/>
      <c r="M47" s="103"/>
    </row>
    <row r="48" spans="2:13">
      <c r="B48" s="103"/>
      <c r="C48" s="103"/>
      <c r="E48" s="103"/>
      <c r="F48" s="103"/>
      <c r="L48" s="103"/>
      <c r="M48" s="103"/>
    </row>
    <row r="49" spans="2:13">
      <c r="B49" s="103"/>
      <c r="C49" s="103"/>
      <c r="E49" s="103"/>
      <c r="F49" s="103"/>
      <c r="L49" s="103"/>
      <c r="M49" s="103"/>
    </row>
    <row r="50" spans="2:13"/>
    <row r="51" spans="2:13"/>
    <row r="52" spans="2:13"/>
    <row r="53" spans="2:13"/>
    <row r="54" spans="2:13"/>
    <row r="55" spans="2:13"/>
    <row r="56" spans="2:13"/>
    <row r="57" spans="2:13"/>
    <row r="58" spans="2:13"/>
    <row r="59" spans="2:13"/>
    <row r="60" spans="2:13"/>
    <row r="61" spans="2:13"/>
    <row r="62" spans="2:13"/>
    <row r="63" spans="2:13"/>
  </sheetData>
  <mergeCells count="7">
    <mergeCell ref="N6:O6"/>
    <mergeCell ref="D23:D26"/>
    <mergeCell ref="C23:C26"/>
    <mergeCell ref="B23:B26"/>
    <mergeCell ref="C28:C30"/>
    <mergeCell ref="B28:B30"/>
    <mergeCell ref="D28:D30"/>
  </mergeCells>
  <conditionalFormatting sqref="D14">
    <cfRule type="containsText" dxfId="34" priority="21" operator="containsText" text="FALSE">
      <formula>NOT(ISERROR(SEARCH("FALSE",D14)))</formula>
    </cfRule>
    <cfRule type="containsText" dxfId="33" priority="22" operator="containsText" text="TRUE">
      <formula>NOT(ISERROR(SEARCH("TRUE",D14)))</formula>
    </cfRule>
  </conditionalFormatting>
  <conditionalFormatting sqref="D17">
    <cfRule type="containsText" dxfId="32" priority="18" operator="containsText" text="Pass">
      <formula>NOT(ISERROR(SEARCH("Pass",D17)))</formula>
    </cfRule>
    <cfRule type="containsText" dxfId="31" priority="19" operator="containsText" text="Partial Pass">
      <formula>NOT(ISERROR(SEARCH("Partial Pass",D17)))</formula>
    </cfRule>
    <cfRule type="containsText" dxfId="30" priority="20" operator="containsText" text="Fail">
      <formula>NOT(ISERROR(SEARCH("Fail",D17)))</formula>
    </cfRule>
  </conditionalFormatting>
  <conditionalFormatting sqref="D22">
    <cfRule type="containsText" dxfId="29" priority="15" operator="containsText" text="Pass">
      <formula>NOT(ISERROR(SEARCH("Pass",D22)))</formula>
    </cfRule>
    <cfRule type="containsText" dxfId="28" priority="16" operator="containsText" text="Partial Pass">
      <formula>NOT(ISERROR(SEARCH("Partial Pass",D22)))</formula>
    </cfRule>
    <cfRule type="containsText" dxfId="27" priority="17" operator="containsText" text="Fail">
      <formula>NOT(ISERROR(SEARCH("Fail",D22)))</formula>
    </cfRule>
  </conditionalFormatting>
  <conditionalFormatting sqref="D27">
    <cfRule type="containsText" dxfId="26" priority="12" operator="containsText" text="Pass">
      <formula>NOT(ISERROR(SEARCH("Pass",D27)))</formula>
    </cfRule>
    <cfRule type="containsText" dxfId="25" priority="13" operator="containsText" text="Partial Pass">
      <formula>NOT(ISERROR(SEARCH("Partial Pass",D27)))</formula>
    </cfRule>
    <cfRule type="containsText" dxfId="24" priority="14" operator="containsText" text="Fail">
      <formula>NOT(ISERROR(SEARCH("Fail",D27)))</formula>
    </cfRule>
  </conditionalFormatting>
  <conditionalFormatting sqref="S14">
    <cfRule type="containsText" dxfId="23" priority="10" operator="containsText" text="FALSE">
      <formula>NOT(ISERROR(SEARCH("FALSE",S14)))</formula>
    </cfRule>
    <cfRule type="containsText" dxfId="22" priority="11" operator="containsText" text="TRUE">
      <formula>NOT(ISERROR(SEARCH("TRUE",S14)))</formula>
    </cfRule>
  </conditionalFormatting>
  <conditionalFormatting sqref="S17">
    <cfRule type="containsText" dxfId="21" priority="7" operator="containsText" text="Pass">
      <formula>NOT(ISERROR(SEARCH("Pass",S17)))</formula>
    </cfRule>
    <cfRule type="containsText" dxfId="20" priority="8" operator="containsText" text="Partial Pass">
      <formula>NOT(ISERROR(SEARCH("Partial Pass",S17)))</formula>
    </cfRule>
    <cfRule type="containsText" dxfId="19" priority="9" operator="containsText" text="Fail">
      <formula>NOT(ISERROR(SEARCH("Fail",S17)))</formula>
    </cfRule>
  </conditionalFormatting>
  <conditionalFormatting sqref="S22">
    <cfRule type="containsText" dxfId="18" priority="4" operator="containsText" text="Pass">
      <formula>NOT(ISERROR(SEARCH("Pass",S22)))</formula>
    </cfRule>
    <cfRule type="containsText" dxfId="17" priority="5" operator="containsText" text="Partial Pass">
      <formula>NOT(ISERROR(SEARCH("Partial Pass",S22)))</formula>
    </cfRule>
    <cfRule type="containsText" dxfId="16" priority="6" operator="containsText" text="Fail">
      <formula>NOT(ISERROR(SEARCH("Fail",S22)))</formula>
    </cfRule>
  </conditionalFormatting>
  <conditionalFormatting sqref="S27">
    <cfRule type="containsText" dxfId="15" priority="1" operator="containsText" text="Pass">
      <formula>NOT(ISERROR(SEARCH("Pass",S27)))</formula>
    </cfRule>
    <cfRule type="containsText" dxfId="14" priority="2" operator="containsText" text="Partial Pass">
      <formula>NOT(ISERROR(SEARCH("Partial Pass",S27)))</formula>
    </cfRule>
    <cfRule type="containsText" dxfId="13" priority="3" operator="containsText" text="Fail">
      <formula>NOT(ISERROR(SEARCH("Fail",S27)))</formula>
    </cfRule>
  </conditionalFormatting>
  <dataValidations count="2">
    <dataValidation type="list" allowBlank="1" showInputMessage="1" showErrorMessage="1" sqref="D17 S17" xr:uid="{06243358-0B94-4EEC-B9C4-137C854563BC}">
      <formula1>"Pass, Partial Pass, Fail, Reallocated to enhancement"</formula1>
    </dataValidation>
    <dataValidation type="list" allowBlank="1" showInputMessage="1" showErrorMessage="1" sqref="D8 S8" xr:uid="{85AE7148-AB2F-4EA8-96C8-7332273A97C2}">
      <formula1>$N$7:$N$11</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D5B96-7CA9-457B-871F-B5AB83730CEF}">
  <sheetPr>
    <tabColor rgb="FFCCCCCE"/>
  </sheetPr>
  <dimension ref="B1:O63"/>
  <sheetViews>
    <sheetView zoomScale="80" zoomScaleNormal="80" workbookViewId="0"/>
  </sheetViews>
  <sheetFormatPr defaultColWidth="9" defaultRowHeight="14.25" zeroHeight="1"/>
  <cols>
    <col min="1" max="1" width="1.7109375" style="86" customWidth="1"/>
    <col min="2" max="2" width="4.7109375" style="86" customWidth="1"/>
    <col min="3" max="3" width="34.85546875" style="86" customWidth="1"/>
    <col min="4" max="4" width="80.7109375" style="103" customWidth="1"/>
    <col min="5" max="6" width="4" style="86" customWidth="1"/>
    <col min="7" max="8" width="9.5703125" style="86" customWidth="1"/>
    <col min="9" max="11" width="9" style="86"/>
    <col min="12" max="13" width="4" style="86" customWidth="1"/>
    <col min="14" max="14" width="19.85546875" style="86" bestFit="1" customWidth="1"/>
    <col min="15" max="16384" width="9" style="86"/>
  </cols>
  <sheetData>
    <row r="1" spans="2:15" s="189" customFormat="1" ht="19.5">
      <c r="B1" s="188" t="s">
        <v>649</v>
      </c>
      <c r="C1" s="188"/>
      <c r="D1" s="188" t="s">
        <v>561</v>
      </c>
    </row>
    <row r="2" spans="2:15">
      <c r="D2" s="87"/>
    </row>
    <row r="3" spans="2:15">
      <c r="B3" s="267" t="s">
        <v>564</v>
      </c>
      <c r="D3" s="87"/>
    </row>
    <row r="4" spans="2:15">
      <c r="D4" s="87"/>
    </row>
    <row r="5" spans="2:15">
      <c r="B5" s="88" t="s">
        <v>562</v>
      </c>
      <c r="C5" s="89" t="s">
        <v>563</v>
      </c>
      <c r="D5" s="87"/>
    </row>
    <row r="6" spans="2:15">
      <c r="B6" s="91">
        <v>1</v>
      </c>
      <c r="C6" s="92" t="s">
        <v>566</v>
      </c>
      <c r="D6" s="101" t="s">
        <v>650</v>
      </c>
    </row>
    <row r="7" spans="2:15" ht="166.9" customHeight="1">
      <c r="B7" s="91">
        <v>2</v>
      </c>
      <c r="C7" s="92" t="s">
        <v>568</v>
      </c>
      <c r="D7" s="101"/>
      <c r="G7" s="303" t="s">
        <v>651</v>
      </c>
      <c r="H7" s="303"/>
      <c r="I7" s="303"/>
    </row>
    <row r="8" spans="2:15">
      <c r="B8" s="91">
        <v>3</v>
      </c>
      <c r="C8" s="92" t="s">
        <v>571</v>
      </c>
      <c r="D8" s="93" t="s">
        <v>572</v>
      </c>
      <c r="N8" s="289" t="s">
        <v>567</v>
      </c>
      <c r="O8" s="290"/>
    </row>
    <row r="9" spans="2:15">
      <c r="B9" s="91">
        <v>4</v>
      </c>
      <c r="C9" s="92" t="s">
        <v>574</v>
      </c>
      <c r="D9" s="93" t="s">
        <v>652</v>
      </c>
      <c r="N9" s="94" t="s">
        <v>570</v>
      </c>
      <c r="O9" s="95">
        <v>0.06</v>
      </c>
    </row>
    <row r="10" spans="2:15">
      <c r="B10" s="91">
        <v>5</v>
      </c>
      <c r="C10" s="92" t="s">
        <v>577</v>
      </c>
      <c r="D10" s="93" t="s">
        <v>573</v>
      </c>
      <c r="N10" s="92" t="s">
        <v>573</v>
      </c>
      <c r="O10" s="95">
        <v>0.01</v>
      </c>
    </row>
    <row r="11" spans="2:15">
      <c r="B11" s="91">
        <v>6</v>
      </c>
      <c r="C11" s="92" t="s">
        <v>579</v>
      </c>
      <c r="D11" s="93">
        <v>314.94499999999999</v>
      </c>
      <c r="N11" s="92" t="s">
        <v>576</v>
      </c>
      <c r="O11" s="95">
        <v>0.01</v>
      </c>
    </row>
    <row r="12" spans="2:15">
      <c r="B12" s="91">
        <v>7</v>
      </c>
      <c r="C12" s="92" t="s">
        <v>581</v>
      </c>
      <c r="D12" s="93">
        <v>116.768</v>
      </c>
      <c r="G12" s="90" t="s">
        <v>76</v>
      </c>
      <c r="H12" s="90" t="s">
        <v>77</v>
      </c>
      <c r="I12" s="90" t="s">
        <v>78</v>
      </c>
      <c r="J12" s="90" t="s">
        <v>79</v>
      </c>
      <c r="K12" s="90" t="s">
        <v>80</v>
      </c>
      <c r="N12" s="92" t="s">
        <v>578</v>
      </c>
      <c r="O12" s="95">
        <v>0.06</v>
      </c>
    </row>
    <row r="13" spans="2:15">
      <c r="B13" s="91">
        <v>8</v>
      </c>
      <c r="C13" s="92" t="s">
        <v>582</v>
      </c>
      <c r="D13" s="93">
        <v>198.17699999999999</v>
      </c>
      <c r="G13" s="93">
        <v>14.816699999999997</v>
      </c>
      <c r="H13" s="93">
        <v>42.984499999999997</v>
      </c>
      <c r="I13" s="93">
        <v>52.567400000000006</v>
      </c>
      <c r="J13" s="93">
        <v>53.05810000000001</v>
      </c>
      <c r="K13" s="93">
        <v>34.750399999999999</v>
      </c>
      <c r="N13" s="92" t="s">
        <v>580</v>
      </c>
      <c r="O13" s="95">
        <v>0.04</v>
      </c>
    </row>
    <row r="14" spans="2:15">
      <c r="B14" s="91">
        <v>9</v>
      </c>
      <c r="C14" s="92" t="s">
        <v>583</v>
      </c>
      <c r="D14" s="268">
        <v>3642880</v>
      </c>
    </row>
    <row r="15" spans="2:15">
      <c r="B15" s="91">
        <v>10</v>
      </c>
      <c r="C15" s="92" t="s">
        <v>584</v>
      </c>
      <c r="D15" s="97">
        <v>5.4399999999999997E-2</v>
      </c>
    </row>
    <row r="16" spans="2:15">
      <c r="B16" s="91">
        <v>11</v>
      </c>
      <c r="C16" s="92" t="s">
        <v>585</v>
      </c>
      <c r="D16" s="98" t="b">
        <f>D15&gt;INDEX($O$9:$O$13,MATCH($D$10,$N$9:$N$13,0))</f>
        <v>1</v>
      </c>
    </row>
    <row r="17" spans="2:13">
      <c r="D17" s="87"/>
    </row>
    <row r="18" spans="2:13">
      <c r="B18" s="88" t="s">
        <v>586</v>
      </c>
      <c r="C18" s="89" t="s">
        <v>587</v>
      </c>
      <c r="D18" s="87"/>
    </row>
    <row r="19" spans="2:13">
      <c r="B19" s="91">
        <v>1</v>
      </c>
      <c r="C19" s="99" t="s">
        <v>587</v>
      </c>
      <c r="D19" s="100" t="s">
        <v>638</v>
      </c>
    </row>
    <row r="20" spans="2:13">
      <c r="B20" s="91">
        <v>2</v>
      </c>
      <c r="C20" s="99" t="s">
        <v>589</v>
      </c>
      <c r="D20" s="109">
        <v>144.43</v>
      </c>
    </row>
    <row r="21" spans="2:13">
      <c r="B21" s="91">
        <v>3</v>
      </c>
      <c r="C21" s="99" t="s">
        <v>590</v>
      </c>
      <c r="D21" s="101" t="s">
        <v>591</v>
      </c>
    </row>
    <row r="22" spans="2:13">
      <c r="D22" s="87"/>
    </row>
    <row r="23" spans="2:13">
      <c r="B23" s="88" t="s">
        <v>592</v>
      </c>
      <c r="C23" s="89" t="s">
        <v>593</v>
      </c>
      <c r="D23" s="102"/>
      <c r="E23" s="103"/>
      <c r="F23" s="103"/>
      <c r="L23" s="103"/>
      <c r="M23" s="103"/>
    </row>
    <row r="24" spans="2:13">
      <c r="B24" s="104">
        <v>1</v>
      </c>
      <c r="C24" s="105" t="s">
        <v>594</v>
      </c>
      <c r="D24" s="100" t="s">
        <v>639</v>
      </c>
      <c r="E24" s="103"/>
      <c r="F24" s="103"/>
      <c r="L24" s="103"/>
      <c r="M24" s="103"/>
    </row>
    <row r="25" spans="2:13" ht="47.65" customHeight="1">
      <c r="B25" s="294" t="s">
        <v>596</v>
      </c>
      <c r="C25" s="297" t="s">
        <v>597</v>
      </c>
      <c r="D25" s="291" t="s">
        <v>653</v>
      </c>
      <c r="E25" s="103"/>
      <c r="F25" s="103"/>
      <c r="L25" s="103"/>
      <c r="M25" s="103"/>
    </row>
    <row r="26" spans="2:13" ht="89.25" customHeight="1">
      <c r="B26" s="295"/>
      <c r="C26" s="298"/>
      <c r="D26" s="292"/>
      <c r="E26" s="103"/>
      <c r="F26" s="103"/>
      <c r="L26" s="103"/>
      <c r="M26" s="103"/>
    </row>
    <row r="27" spans="2:13">
      <c r="B27" s="295"/>
      <c r="C27" s="298"/>
      <c r="D27" s="292"/>
      <c r="E27" s="103"/>
      <c r="F27" s="103"/>
      <c r="L27" s="103"/>
      <c r="M27" s="103"/>
    </row>
    <row r="28" spans="2:13" ht="199.15" customHeight="1">
      <c r="B28" s="296"/>
      <c r="C28" s="299"/>
      <c r="D28" s="293"/>
      <c r="E28" s="103"/>
      <c r="F28" s="103"/>
      <c r="L28" s="103"/>
      <c r="M28" s="103"/>
    </row>
    <row r="29" spans="2:13">
      <c r="B29" s="104">
        <v>2</v>
      </c>
      <c r="C29" s="105" t="s">
        <v>604</v>
      </c>
      <c r="D29" s="100" t="s">
        <v>654</v>
      </c>
      <c r="E29" s="103"/>
      <c r="F29" s="103"/>
      <c r="L29" s="103"/>
      <c r="M29" s="103"/>
    </row>
    <row r="30" spans="2:13" ht="9.75" customHeight="1">
      <c r="B30" s="294" t="s">
        <v>605</v>
      </c>
      <c r="C30" s="294" t="s">
        <v>604</v>
      </c>
      <c r="D30" s="291" t="s">
        <v>655</v>
      </c>
      <c r="E30" s="103"/>
      <c r="F30" s="103"/>
      <c r="L30" s="103"/>
      <c r="M30" s="103"/>
    </row>
    <row r="31" spans="2:13" ht="67.5" customHeight="1">
      <c r="B31" s="295"/>
      <c r="C31" s="295"/>
      <c r="D31" s="292"/>
      <c r="E31" s="103"/>
      <c r="F31" s="103"/>
      <c r="L31" s="103"/>
      <c r="M31" s="103"/>
    </row>
    <row r="32" spans="2:13" ht="52.5" customHeight="1">
      <c r="B32" s="296"/>
      <c r="C32" s="296"/>
      <c r="D32" s="293"/>
      <c r="E32" s="103"/>
      <c r="F32" s="103"/>
      <c r="L32" s="103"/>
      <c r="M32" s="103"/>
    </row>
    <row r="33" spans="2:13" ht="23.25">
      <c r="B33" s="106">
        <v>3</v>
      </c>
      <c r="C33" s="108" t="s">
        <v>612</v>
      </c>
      <c r="D33" s="107" t="s">
        <v>613</v>
      </c>
      <c r="E33" s="103"/>
      <c r="F33" s="103"/>
      <c r="L33" s="103"/>
      <c r="M33" s="103"/>
    </row>
    <row r="34" spans="2:13">
      <c r="B34" s="103"/>
      <c r="C34" s="103"/>
      <c r="D34" s="102"/>
      <c r="E34" s="103"/>
      <c r="F34" s="103"/>
      <c r="L34" s="103"/>
      <c r="M34" s="103"/>
    </row>
    <row r="35" spans="2:13">
      <c r="B35" s="103"/>
      <c r="C35" s="103"/>
      <c r="D35" s="102"/>
      <c r="E35" s="103"/>
      <c r="F35" s="103"/>
      <c r="L35" s="103"/>
      <c r="M35" s="103"/>
    </row>
    <row r="36" spans="2:13">
      <c r="B36" s="103"/>
      <c r="C36" s="103"/>
      <c r="D36" s="102"/>
      <c r="E36" s="103"/>
      <c r="F36" s="103"/>
      <c r="L36" s="103"/>
      <c r="M36" s="103"/>
    </row>
    <row r="37" spans="2:13">
      <c r="B37" s="103"/>
      <c r="C37" s="103"/>
      <c r="D37" s="102"/>
      <c r="E37" s="103"/>
      <c r="F37" s="103"/>
      <c r="L37" s="103"/>
      <c r="M37" s="103"/>
    </row>
    <row r="38" spans="2:13">
      <c r="B38" s="103"/>
      <c r="C38" s="103"/>
      <c r="D38" s="102"/>
      <c r="E38" s="103"/>
      <c r="F38" s="103"/>
      <c r="L38" s="103"/>
      <c r="M38" s="103"/>
    </row>
    <row r="39" spans="2:13">
      <c r="B39" s="103"/>
      <c r="C39" s="103"/>
      <c r="D39" s="102"/>
      <c r="E39" s="103"/>
      <c r="F39" s="103"/>
      <c r="L39" s="103"/>
      <c r="M39" s="103"/>
    </row>
    <row r="40" spans="2:13">
      <c r="B40" s="103"/>
      <c r="C40" s="103"/>
      <c r="E40" s="103"/>
      <c r="F40" s="103"/>
      <c r="L40" s="103"/>
      <c r="M40" s="103"/>
    </row>
    <row r="41" spans="2:13">
      <c r="B41" s="103"/>
      <c r="C41" s="103"/>
      <c r="E41" s="103"/>
      <c r="F41" s="103"/>
      <c r="L41" s="103"/>
      <c r="M41" s="103"/>
    </row>
    <row r="42" spans="2:13">
      <c r="B42" s="103"/>
      <c r="C42" s="103"/>
      <c r="E42" s="103"/>
      <c r="F42" s="103"/>
      <c r="L42" s="103"/>
      <c r="M42" s="103"/>
    </row>
    <row r="43" spans="2:13" ht="14.25" hidden="1" customHeight="1">
      <c r="B43" s="103"/>
      <c r="C43" s="103"/>
      <c r="E43" s="103"/>
      <c r="F43" s="103"/>
      <c r="L43" s="103"/>
      <c r="M43" s="103"/>
    </row>
    <row r="44" spans="2:13" ht="14.25" hidden="1" customHeight="1">
      <c r="B44" s="103"/>
      <c r="C44" s="103"/>
      <c r="E44" s="103"/>
      <c r="F44" s="103"/>
      <c r="L44" s="103"/>
      <c r="M44" s="103"/>
    </row>
    <row r="45" spans="2:13" ht="14.25" hidden="1" customHeight="1">
      <c r="B45" s="103"/>
      <c r="C45" s="103"/>
      <c r="E45" s="103"/>
      <c r="F45" s="103"/>
      <c r="L45" s="103"/>
      <c r="M45" s="103"/>
    </row>
    <row r="46" spans="2:13" ht="14.25" hidden="1" customHeight="1">
      <c r="B46" s="103"/>
      <c r="C46" s="103"/>
      <c r="E46" s="103"/>
      <c r="F46" s="103"/>
      <c r="L46" s="103"/>
      <c r="M46" s="103"/>
    </row>
    <row r="47" spans="2:13" ht="14.25" hidden="1" customHeight="1">
      <c r="B47" s="103"/>
      <c r="C47" s="103"/>
      <c r="E47" s="103"/>
      <c r="F47" s="103"/>
      <c r="L47" s="103"/>
      <c r="M47" s="103"/>
    </row>
    <row r="48" spans="2:13" ht="14.25" hidden="1" customHeight="1">
      <c r="B48" s="103"/>
      <c r="C48" s="103"/>
      <c r="E48" s="103"/>
      <c r="F48" s="103"/>
      <c r="L48" s="103"/>
      <c r="M48" s="103"/>
    </row>
    <row r="49" spans="2:13" ht="14.25" hidden="1" customHeight="1">
      <c r="B49" s="103"/>
      <c r="C49" s="103"/>
      <c r="E49" s="103"/>
      <c r="F49" s="103"/>
      <c r="L49" s="103"/>
      <c r="M49" s="103"/>
    </row>
    <row r="50" spans="2:13">
      <c r="B50" s="103"/>
      <c r="C50" s="103"/>
      <c r="E50" s="103"/>
      <c r="F50" s="103"/>
      <c r="L50" s="103"/>
      <c r="M50" s="103"/>
    </row>
    <row r="51" spans="2:13">
      <c r="B51" s="103"/>
      <c r="C51" s="103"/>
      <c r="E51" s="103"/>
      <c r="F51" s="103"/>
      <c r="L51" s="103"/>
      <c r="M51" s="103"/>
    </row>
    <row r="52" spans="2:13"/>
    <row r="53" spans="2:13"/>
    <row r="54" spans="2:13"/>
    <row r="55" spans="2:13"/>
    <row r="56" spans="2:13"/>
    <row r="57" spans="2:13"/>
    <row r="58" spans="2:13"/>
    <row r="59" spans="2:13"/>
    <row r="60" spans="2:13"/>
    <row r="61" spans="2:13"/>
    <row r="62" spans="2:13"/>
    <row r="63" spans="2:13"/>
  </sheetData>
  <mergeCells count="8">
    <mergeCell ref="B30:B32"/>
    <mergeCell ref="C30:C32"/>
    <mergeCell ref="D30:D32"/>
    <mergeCell ref="G7:I7"/>
    <mergeCell ref="N8:O8"/>
    <mergeCell ref="D25:D28"/>
    <mergeCell ref="B25:B28"/>
    <mergeCell ref="C25:C28"/>
  </mergeCells>
  <conditionalFormatting sqref="D16">
    <cfRule type="containsText" dxfId="12" priority="21" operator="containsText" text="FALSE">
      <formula>NOT(ISERROR(SEARCH("FALSE",D16)))</formula>
    </cfRule>
    <cfRule type="containsText" dxfId="11" priority="22" operator="containsText" text="TRUE">
      <formula>NOT(ISERROR(SEARCH("TRUE",D16)))</formula>
    </cfRule>
  </conditionalFormatting>
  <conditionalFormatting sqref="D19">
    <cfRule type="containsText" dxfId="10" priority="18" operator="containsText" text="Pass">
      <formula>NOT(ISERROR(SEARCH("Pass",D19)))</formula>
    </cfRule>
    <cfRule type="containsText" dxfId="9" priority="19" operator="containsText" text="Partial Pass">
      <formula>NOT(ISERROR(SEARCH("Partial Pass",D19)))</formula>
    </cfRule>
    <cfRule type="containsText" dxfId="8" priority="20" operator="containsText" text="Fail">
      <formula>NOT(ISERROR(SEARCH("Fail",D19)))</formula>
    </cfRule>
  </conditionalFormatting>
  <conditionalFormatting sqref="D24">
    <cfRule type="containsText" dxfId="7" priority="15" operator="containsText" text="Pass">
      <formula>NOT(ISERROR(SEARCH("Pass",D24)))</formula>
    </cfRule>
    <cfRule type="containsText" dxfId="6" priority="16" operator="containsText" text="Partial Pass">
      <formula>NOT(ISERROR(SEARCH("Partial Pass",D24)))</formula>
    </cfRule>
    <cfRule type="containsText" dxfId="5" priority="17" operator="containsText" text="Fail">
      <formula>NOT(ISERROR(SEARCH("Fail",D24)))</formula>
    </cfRule>
  </conditionalFormatting>
  <conditionalFormatting sqref="D29">
    <cfRule type="containsText" dxfId="4" priority="12" operator="containsText" text="Pass">
      <formula>NOT(ISERROR(SEARCH("Pass",D29)))</formula>
    </cfRule>
    <cfRule type="containsText" dxfId="3" priority="13" operator="containsText" text="Partial Pass">
      <formula>NOT(ISERROR(SEARCH("Partial Pass",D29)))</formula>
    </cfRule>
    <cfRule type="containsText" dxfId="2" priority="14" operator="containsText" text="Fail">
      <formula>NOT(ISERROR(SEARCH("Fail",D29)))</formula>
    </cfRule>
  </conditionalFormatting>
  <dataValidations count="2">
    <dataValidation type="list" allowBlank="1" showInputMessage="1" showErrorMessage="1" sqref="D10" xr:uid="{1780DF29-419C-4CB7-80DC-557F3A7E0AD1}">
      <formula1>$N$9:$N$13</formula1>
    </dataValidation>
    <dataValidation type="list" allowBlank="1" showInputMessage="1" showErrorMessage="1" sqref="D19" xr:uid="{07DBC149-6E06-47EF-91DD-5360EB9F2E71}">
      <formula1>"Pass, Partial Pass, Fail, Reallocated to enhancement"</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5D85C-5453-447E-BC7B-52794C1A8447}">
  <sheetPr>
    <tabColor rgb="FF98C561"/>
  </sheetPr>
  <dimension ref="A1"/>
  <sheetViews>
    <sheetView zoomScale="80" zoomScaleNormal="80" workbookViewId="0"/>
  </sheetViews>
  <sheetFormatPr defaultColWidth="9" defaultRowHeight="14.25"/>
  <cols>
    <col min="1" max="16384" width="9" style="3"/>
  </cols>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A067-EFB3-4A72-ADF1-A3AE11F4FB1B}">
  <sheetPr>
    <tabColor rgb="FFCCCCCE"/>
  </sheetPr>
  <dimension ref="A1:AN49"/>
  <sheetViews>
    <sheetView zoomScale="80" zoomScaleNormal="80" workbookViewId="0"/>
  </sheetViews>
  <sheetFormatPr defaultColWidth="0" defaultRowHeight="12.95" customHeight="1" zeroHeight="1"/>
  <cols>
    <col min="1" max="4" width="1.28515625" style="215" customWidth="1"/>
    <col min="5" max="5" width="2.42578125" style="215" customWidth="1"/>
    <col min="6" max="6" width="4.140625" style="215" customWidth="1"/>
    <col min="7" max="7" width="2.42578125" style="215" customWidth="1"/>
    <col min="8" max="8" width="28.5703125" style="215" customWidth="1"/>
    <col min="9" max="9" width="2.42578125" style="215" customWidth="1"/>
    <col min="10" max="10" width="4.140625" style="215" customWidth="1"/>
    <col min="11" max="11" width="2.42578125" style="215" customWidth="1"/>
    <col min="12" max="12" width="28.5703125" style="215" customWidth="1"/>
    <col min="13" max="13" width="2.42578125" style="215" customWidth="1"/>
    <col min="14" max="14" width="4.140625" style="215" customWidth="1"/>
    <col min="15" max="16" width="2.42578125" style="215" customWidth="1"/>
    <col min="17" max="17" width="28.5703125" style="215" customWidth="1"/>
    <col min="18" max="18" width="36.28515625" style="215" customWidth="1"/>
    <col min="19" max="20" width="2.42578125" style="215" hidden="1" customWidth="1"/>
    <col min="21" max="21" width="4.140625" style="215" hidden="1" customWidth="1"/>
    <col min="22" max="22" width="2.42578125" style="215" hidden="1" customWidth="1"/>
    <col min="23" max="23" width="28.5703125" style="215" hidden="1" customWidth="1"/>
    <col min="24" max="24" width="2.42578125" style="215" hidden="1" customWidth="1"/>
    <col min="25" max="25" width="4.140625" style="215" hidden="1" customWidth="1"/>
    <col min="26" max="26" width="2.42578125" style="215" hidden="1" customWidth="1"/>
    <col min="27" max="27" width="28.5703125" style="215" hidden="1" customWidth="1"/>
    <col min="28" max="28" width="2.42578125" style="215" hidden="1" customWidth="1"/>
    <col min="29" max="29" width="4.140625" style="215" hidden="1" customWidth="1"/>
    <col min="30" max="30" width="5.140625" style="215" hidden="1" customWidth="1"/>
    <col min="31" max="32" width="2.42578125" style="215" hidden="1" customWidth="1"/>
    <col min="33" max="33" width="28.5703125" style="215" hidden="1" customWidth="1"/>
    <col min="34" max="34" width="2.42578125" style="215" hidden="1" customWidth="1"/>
    <col min="35" max="35" width="5.140625" style="215" hidden="1" customWidth="1"/>
    <col min="36" max="36" width="2.42578125" style="215" hidden="1" customWidth="1"/>
    <col min="37" max="37" width="28.5703125" style="215" hidden="1" customWidth="1"/>
    <col min="38" max="39" width="2.42578125" style="215" hidden="1" customWidth="1"/>
    <col min="40" max="16384" width="6.5703125" style="191" hidden="1"/>
  </cols>
  <sheetData>
    <row r="1" spans="1:40" ht="30.75">
      <c r="A1" s="190" t="e">
        <f ca="1" xml:space="preserve"> RIGHT(CELL("filename", A1), LEN(CELL("filename", A1)) - SEARCH("]", CELL("filename", A1)))</f>
        <v>#VALUE!</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row>
    <row r="2" spans="1:40" s="196" customFormat="1" ht="13.15">
      <c r="A2" s="192"/>
      <c r="B2" s="193"/>
      <c r="C2" s="194"/>
      <c r="D2" s="194"/>
      <c r="E2" s="194"/>
      <c r="F2" s="194"/>
      <c r="G2" s="194"/>
      <c r="H2" s="195"/>
      <c r="I2" s="194"/>
      <c r="J2" s="194"/>
      <c r="K2" s="194"/>
      <c r="L2" s="194"/>
      <c r="M2" s="194"/>
      <c r="N2" s="194"/>
      <c r="O2" s="194"/>
      <c r="P2" s="194"/>
      <c r="Q2" s="194"/>
      <c r="R2" s="193"/>
      <c r="S2" s="193"/>
      <c r="T2" s="193"/>
      <c r="U2" s="193"/>
      <c r="V2" s="193"/>
      <c r="W2" s="193"/>
      <c r="X2" s="193"/>
      <c r="Y2" s="193"/>
      <c r="Z2" s="193"/>
      <c r="AA2" s="193"/>
      <c r="AB2" s="193"/>
      <c r="AC2" s="193"/>
      <c r="AD2" s="193"/>
      <c r="AE2" s="193"/>
      <c r="AF2" s="193"/>
      <c r="AG2" s="193"/>
      <c r="AH2" s="193"/>
      <c r="AI2" s="193"/>
      <c r="AJ2" s="193"/>
      <c r="AK2" s="193"/>
      <c r="AL2" s="193"/>
      <c r="AM2" s="193"/>
    </row>
    <row r="3" spans="1:40" s="197" customFormat="1" ht="13.15">
      <c r="A3" s="197" t="s">
        <v>10</v>
      </c>
    </row>
    <row r="4" spans="1:40" s="196" customFormat="1" ht="13.15">
      <c r="A4" s="192"/>
      <c r="B4" s="193"/>
      <c r="C4" s="194"/>
      <c r="D4" s="194"/>
      <c r="E4" s="194"/>
      <c r="F4" s="194"/>
      <c r="G4" s="194"/>
      <c r="H4" s="195"/>
      <c r="I4" s="194"/>
      <c r="J4" s="194"/>
      <c r="K4" s="194"/>
      <c r="L4" s="194"/>
      <c r="M4" s="194"/>
      <c r="N4" s="194"/>
      <c r="O4" s="194"/>
      <c r="P4" s="194"/>
      <c r="Q4" s="194"/>
      <c r="R4" s="193"/>
      <c r="S4" s="193"/>
      <c r="T4" s="193"/>
      <c r="U4" s="193"/>
      <c r="V4" s="193"/>
      <c r="W4" s="193"/>
      <c r="X4" s="193"/>
      <c r="Y4" s="193"/>
      <c r="Z4" s="193"/>
      <c r="AA4" s="193"/>
      <c r="AB4" s="193"/>
      <c r="AC4" s="193"/>
      <c r="AD4" s="193"/>
      <c r="AE4" s="193"/>
      <c r="AF4" s="193"/>
      <c r="AG4" s="193"/>
      <c r="AH4" s="193"/>
      <c r="AI4" s="193"/>
      <c r="AJ4" s="193"/>
      <c r="AK4" s="193"/>
      <c r="AL4" s="193"/>
      <c r="AM4" s="193"/>
    </row>
    <row r="5" spans="1:40" s="196" customFormat="1" ht="13.15">
      <c r="A5" s="198"/>
      <c r="B5" s="199"/>
      <c r="C5" s="200"/>
      <c r="D5" s="200"/>
      <c r="E5" s="200"/>
      <c r="F5" s="201"/>
      <c r="G5" s="202"/>
      <c r="H5" s="202"/>
      <c r="I5" s="202"/>
      <c r="J5" s="202"/>
      <c r="K5" s="203"/>
      <c r="L5" s="201"/>
      <c r="M5" s="203"/>
      <c r="N5" s="203"/>
      <c r="O5" s="203"/>
      <c r="P5" s="202"/>
      <c r="Q5" s="202"/>
      <c r="R5" s="204"/>
      <c r="S5" s="204"/>
      <c r="T5" s="204"/>
      <c r="U5" s="199"/>
      <c r="V5" s="199"/>
      <c r="W5" s="199"/>
      <c r="X5" s="199"/>
      <c r="Y5" s="199"/>
      <c r="Z5" s="199"/>
      <c r="AA5" s="199"/>
      <c r="AB5" s="199"/>
      <c r="AC5" s="199"/>
      <c r="AD5" s="199"/>
      <c r="AE5" s="199"/>
      <c r="AF5" s="199"/>
      <c r="AG5" s="199"/>
      <c r="AH5" s="199"/>
      <c r="AI5" s="199"/>
      <c r="AJ5" s="199"/>
      <c r="AK5" s="199"/>
      <c r="AL5" s="199"/>
      <c r="AM5" s="199"/>
    </row>
    <row r="6" spans="1:40" s="196" customFormat="1" ht="13.15">
      <c r="A6" s="192"/>
      <c r="B6" s="193"/>
      <c r="C6" s="194"/>
      <c r="D6" s="194"/>
      <c r="E6" s="194"/>
      <c r="F6" s="194"/>
      <c r="G6" s="194"/>
      <c r="H6" s="194"/>
      <c r="I6" s="194"/>
      <c r="J6" s="194"/>
      <c r="K6" s="194"/>
      <c r="L6" s="195"/>
      <c r="M6" s="194"/>
      <c r="N6" s="194"/>
      <c r="O6" s="194"/>
      <c r="P6" s="194"/>
      <c r="Q6" s="194"/>
      <c r="R6" s="193"/>
      <c r="S6" s="193"/>
      <c r="T6" s="193"/>
      <c r="U6" s="193"/>
      <c r="V6" s="193"/>
      <c r="W6" s="193"/>
      <c r="X6" s="193"/>
      <c r="Y6" s="193"/>
      <c r="Z6" s="193"/>
      <c r="AA6" s="193"/>
      <c r="AB6" s="193"/>
      <c r="AC6" s="193"/>
      <c r="AD6" s="193"/>
      <c r="AE6" s="193"/>
      <c r="AF6" s="193"/>
      <c r="AG6" s="193"/>
      <c r="AH6" s="193"/>
      <c r="AI6" s="193"/>
      <c r="AJ6" s="193"/>
      <c r="AK6" s="193"/>
      <c r="AL6" s="193"/>
      <c r="AM6" s="193"/>
    </row>
    <row r="7" spans="1:40" s="196" customFormat="1" ht="13.15">
      <c r="A7" s="192"/>
      <c r="B7" s="193"/>
      <c r="C7" s="194"/>
      <c r="D7" s="194"/>
      <c r="E7" s="194"/>
      <c r="F7" s="194"/>
      <c r="G7" s="194"/>
      <c r="H7" s="194"/>
      <c r="I7" s="194"/>
      <c r="J7" s="194"/>
      <c r="K7" s="194"/>
      <c r="L7" s="195"/>
      <c r="M7" s="194"/>
      <c r="N7" s="194"/>
      <c r="O7" s="194"/>
      <c r="P7" s="194"/>
      <c r="Q7" s="194"/>
      <c r="R7" s="193"/>
      <c r="S7" s="193"/>
      <c r="T7" s="193"/>
      <c r="U7" s="193"/>
      <c r="V7" s="193"/>
      <c r="W7" s="193"/>
      <c r="X7" s="193"/>
      <c r="Y7" s="193"/>
      <c r="Z7" s="193"/>
      <c r="AA7" s="193"/>
      <c r="AB7" s="193"/>
      <c r="AC7" s="193"/>
      <c r="AD7" s="193"/>
      <c r="AE7" s="193"/>
      <c r="AF7" s="193"/>
      <c r="AG7" s="193"/>
      <c r="AH7" s="193"/>
      <c r="AI7" s="193"/>
      <c r="AJ7" s="193"/>
      <c r="AK7" s="193"/>
      <c r="AL7" s="193"/>
      <c r="AM7" s="193"/>
    </row>
    <row r="8" spans="1:40" s="196" customFormat="1" ht="13.15">
      <c r="A8" s="192"/>
      <c r="B8" s="193"/>
      <c r="C8" s="194"/>
      <c r="D8" s="194"/>
      <c r="E8" s="194"/>
      <c r="F8" s="194"/>
      <c r="G8" s="194"/>
      <c r="H8" s="205"/>
      <c r="I8" s="194"/>
      <c r="J8" s="194"/>
      <c r="K8" s="194"/>
      <c r="L8" s="195"/>
      <c r="M8" s="194"/>
      <c r="N8" s="194"/>
      <c r="O8" s="194"/>
      <c r="P8" s="194"/>
      <c r="Q8" s="205"/>
      <c r="R8" s="193"/>
      <c r="S8" s="193"/>
      <c r="T8" s="193"/>
      <c r="U8" s="193"/>
      <c r="V8" s="193"/>
      <c r="W8" s="193"/>
      <c r="X8" s="193"/>
      <c r="Y8" s="193"/>
      <c r="Z8" s="193"/>
      <c r="AA8" s="193"/>
      <c r="AB8" s="193"/>
      <c r="AC8" s="193"/>
      <c r="AD8" s="193"/>
      <c r="AE8" s="193"/>
      <c r="AF8" s="193"/>
      <c r="AG8" s="193"/>
      <c r="AH8" s="193"/>
      <c r="AI8" s="193"/>
      <c r="AJ8" s="193"/>
      <c r="AK8" s="193"/>
      <c r="AL8" s="193"/>
      <c r="AM8" s="193"/>
    </row>
    <row r="9" spans="1:40" s="196" customFormat="1" ht="13.15">
      <c r="A9" s="192"/>
      <c r="B9" s="193"/>
      <c r="C9" s="194"/>
      <c r="D9" s="194"/>
      <c r="E9" s="194"/>
      <c r="F9" s="194"/>
      <c r="G9" s="194"/>
      <c r="H9" s="194"/>
      <c r="I9" s="194"/>
      <c r="J9" s="194"/>
      <c r="K9" s="194"/>
      <c r="L9" s="195"/>
      <c r="M9" s="194"/>
      <c r="N9" s="194"/>
      <c r="O9" s="194"/>
      <c r="P9" s="194"/>
      <c r="Q9" s="194"/>
      <c r="R9" s="193"/>
      <c r="S9" s="193"/>
      <c r="T9" s="193"/>
      <c r="U9" s="193"/>
      <c r="V9" s="193"/>
      <c r="W9" s="193"/>
      <c r="X9" s="193"/>
      <c r="Y9" s="193"/>
      <c r="Z9" s="193"/>
      <c r="AA9" s="193"/>
      <c r="AB9" s="193"/>
      <c r="AC9" s="193"/>
      <c r="AD9" s="193"/>
      <c r="AE9" s="193"/>
      <c r="AF9" s="193"/>
      <c r="AG9" s="193"/>
      <c r="AH9" s="193"/>
      <c r="AI9" s="193"/>
      <c r="AJ9" s="193"/>
      <c r="AK9" s="193"/>
      <c r="AL9" s="193"/>
      <c r="AM9" s="193"/>
    </row>
    <row r="10" spans="1:40" s="196" customFormat="1" ht="13.15">
      <c r="A10" s="192"/>
      <c r="B10" s="193"/>
      <c r="C10" s="194"/>
      <c r="D10" s="194"/>
      <c r="E10" s="194"/>
      <c r="F10" s="194"/>
      <c r="G10" s="194"/>
      <c r="H10" s="194"/>
      <c r="I10" s="194"/>
      <c r="J10" s="194"/>
      <c r="K10" s="194"/>
      <c r="L10" s="195"/>
      <c r="M10" s="194"/>
      <c r="N10" s="194"/>
      <c r="O10" s="194"/>
      <c r="P10" s="194"/>
      <c r="Q10" s="194"/>
      <c r="R10" s="193"/>
      <c r="S10" s="193"/>
      <c r="T10" s="193"/>
      <c r="U10" s="193"/>
      <c r="V10" s="193"/>
      <c r="W10" s="193"/>
      <c r="X10" s="193"/>
      <c r="Y10" s="193"/>
      <c r="Z10" s="193"/>
      <c r="AA10" s="193"/>
      <c r="AB10" s="193"/>
      <c r="AC10" s="193"/>
      <c r="AD10" s="193"/>
      <c r="AE10" s="193"/>
      <c r="AF10" s="193"/>
      <c r="AG10" s="193"/>
      <c r="AH10" s="193"/>
      <c r="AI10" s="193"/>
      <c r="AJ10" s="193"/>
      <c r="AK10" s="193"/>
      <c r="AL10" s="193"/>
      <c r="AM10" s="193"/>
    </row>
    <row r="11" spans="1:40" s="196" customFormat="1" ht="13.15">
      <c r="A11" s="192"/>
      <c r="B11" s="193"/>
      <c r="C11" s="194"/>
      <c r="D11" s="194"/>
      <c r="E11" s="194"/>
      <c r="F11" s="194"/>
      <c r="G11" s="194"/>
      <c r="H11" s="194"/>
      <c r="I11" s="194"/>
      <c r="J11" s="194"/>
      <c r="K11" s="194"/>
      <c r="L11" s="195"/>
      <c r="M11" s="194"/>
      <c r="N11" s="194"/>
      <c r="O11" s="194"/>
      <c r="P11" s="194"/>
      <c r="Q11" s="194"/>
      <c r="R11" s="193"/>
      <c r="S11" s="193"/>
      <c r="T11" s="193"/>
      <c r="U11" s="193"/>
      <c r="V11" s="193"/>
      <c r="W11" s="193"/>
      <c r="X11" s="193"/>
      <c r="Y11" s="193"/>
      <c r="Z11" s="193"/>
      <c r="AA11" s="193"/>
      <c r="AB11" s="193"/>
      <c r="AC11" s="193"/>
      <c r="AD11" s="193"/>
      <c r="AE11" s="193"/>
      <c r="AF11" s="193"/>
      <c r="AG11" s="193"/>
      <c r="AH11" s="193"/>
      <c r="AI11" s="193"/>
      <c r="AJ11" s="193"/>
      <c r="AK11" s="193"/>
      <c r="AL11" s="193"/>
      <c r="AM11" s="193"/>
    </row>
    <row r="12" spans="1:40" s="196" customFormat="1" ht="13.15">
      <c r="A12" s="192"/>
      <c r="B12" s="193"/>
      <c r="C12" s="194"/>
      <c r="D12" s="194"/>
      <c r="E12" s="194"/>
      <c r="F12" s="194"/>
      <c r="G12" s="194"/>
      <c r="H12" s="194"/>
      <c r="I12" s="194"/>
      <c r="J12" s="194"/>
      <c r="K12" s="194"/>
      <c r="L12" s="195"/>
      <c r="M12" s="194"/>
      <c r="N12" s="194"/>
      <c r="O12" s="194"/>
      <c r="P12" s="206"/>
      <c r="Q12" s="194"/>
      <c r="R12" s="193"/>
      <c r="S12" s="193"/>
      <c r="T12" s="193"/>
      <c r="U12" s="193"/>
      <c r="V12" s="193"/>
      <c r="W12" s="193"/>
      <c r="X12" s="193"/>
      <c r="Y12" s="193"/>
      <c r="Z12" s="193"/>
      <c r="AA12" s="193"/>
      <c r="AB12" s="193"/>
      <c r="AC12" s="193"/>
      <c r="AD12" s="193"/>
      <c r="AE12" s="193"/>
      <c r="AF12" s="193"/>
      <c r="AG12" s="193"/>
      <c r="AH12" s="193"/>
      <c r="AI12" s="193"/>
      <c r="AJ12" s="193"/>
      <c r="AK12" s="193"/>
      <c r="AL12" s="193"/>
      <c r="AM12" s="193"/>
    </row>
    <row r="13" spans="1:40" s="196" customFormat="1" ht="13.15">
      <c r="A13" s="198"/>
      <c r="B13" s="199"/>
      <c r="C13" s="200"/>
      <c r="D13" s="200"/>
      <c r="E13" s="200"/>
      <c r="F13" s="207"/>
      <c r="G13" s="208"/>
      <c r="H13" s="208"/>
      <c r="I13" s="208"/>
      <c r="J13" s="208"/>
      <c r="K13" s="208"/>
      <c r="L13" s="207"/>
      <c r="M13" s="208"/>
      <c r="N13" s="208"/>
      <c r="O13" s="208"/>
      <c r="P13" s="194"/>
      <c r="Q13" s="208"/>
      <c r="R13" s="209"/>
      <c r="S13" s="209"/>
      <c r="T13" s="209"/>
      <c r="U13" s="199"/>
      <c r="V13" s="199"/>
      <c r="W13" s="199"/>
      <c r="X13" s="199"/>
      <c r="Y13" s="199"/>
      <c r="Z13" s="199"/>
      <c r="AA13" s="199"/>
      <c r="AB13" s="199"/>
      <c r="AC13" s="199"/>
      <c r="AD13" s="199"/>
      <c r="AE13" s="199"/>
      <c r="AF13" s="199"/>
      <c r="AG13" s="199"/>
      <c r="AH13" s="199"/>
      <c r="AI13" s="199"/>
      <c r="AJ13" s="199"/>
      <c r="AK13" s="199"/>
      <c r="AL13" s="199"/>
      <c r="AM13" s="199"/>
    </row>
    <row r="14" spans="1:40" s="196" customFormat="1" ht="13.15">
      <c r="A14" s="198"/>
      <c r="B14" s="199"/>
      <c r="C14" s="200"/>
      <c r="D14" s="200"/>
      <c r="E14" s="200"/>
      <c r="F14" s="207"/>
      <c r="G14" s="208"/>
      <c r="H14" s="208"/>
      <c r="I14" s="208"/>
      <c r="J14" s="208"/>
      <c r="K14" s="208"/>
      <c r="L14" s="207"/>
      <c r="M14" s="208"/>
      <c r="N14" s="208"/>
      <c r="O14" s="208"/>
      <c r="P14" s="194"/>
      <c r="Q14" s="208"/>
      <c r="R14" s="209"/>
      <c r="S14" s="209"/>
      <c r="T14" s="209"/>
      <c r="U14" s="199"/>
      <c r="V14" s="199"/>
      <c r="W14" s="199"/>
      <c r="X14" s="199"/>
      <c r="Y14" s="199"/>
      <c r="Z14" s="199"/>
      <c r="AA14" s="199"/>
      <c r="AB14" s="199"/>
      <c r="AC14" s="199"/>
      <c r="AD14" s="199"/>
      <c r="AE14" s="199"/>
      <c r="AF14" s="199"/>
      <c r="AG14" s="199"/>
      <c r="AH14" s="199"/>
      <c r="AI14" s="199"/>
      <c r="AJ14" s="199"/>
      <c r="AK14" s="199"/>
      <c r="AL14" s="199"/>
      <c r="AM14" s="199"/>
    </row>
    <row r="15" spans="1:40" s="196" customFormat="1" ht="13.15">
      <c r="A15" s="198"/>
      <c r="B15" s="199"/>
      <c r="C15" s="200"/>
      <c r="D15" s="200"/>
      <c r="E15" s="200"/>
      <c r="F15" s="207"/>
      <c r="G15" s="208"/>
      <c r="H15" s="208"/>
      <c r="I15" s="208"/>
      <c r="J15" s="208"/>
      <c r="K15" s="208"/>
      <c r="L15" s="207"/>
      <c r="M15" s="208"/>
      <c r="N15" s="208"/>
      <c r="O15" s="208"/>
      <c r="P15" s="194"/>
      <c r="Q15" s="208"/>
      <c r="R15" s="209"/>
      <c r="S15" s="209"/>
      <c r="T15" s="209"/>
      <c r="U15" s="199"/>
      <c r="V15" s="199"/>
      <c r="W15" s="199"/>
      <c r="X15" s="199"/>
      <c r="Y15" s="199"/>
      <c r="Z15" s="199"/>
      <c r="AA15" s="199"/>
      <c r="AB15" s="199"/>
      <c r="AC15" s="199"/>
      <c r="AD15" s="199"/>
      <c r="AE15" s="199"/>
      <c r="AF15" s="199"/>
      <c r="AG15" s="199"/>
      <c r="AH15" s="199"/>
      <c r="AI15" s="199"/>
      <c r="AJ15" s="199"/>
      <c r="AK15" s="199"/>
      <c r="AL15" s="199"/>
      <c r="AM15" s="199"/>
    </row>
    <row r="16" spans="1:40" s="196" customFormat="1" ht="13.15">
      <c r="A16" s="192"/>
      <c r="B16" s="193"/>
      <c r="C16" s="194"/>
      <c r="D16" s="194"/>
      <c r="E16" s="194"/>
      <c r="F16" s="194"/>
      <c r="G16" s="194"/>
      <c r="H16" s="194"/>
      <c r="I16" s="194"/>
      <c r="J16" s="194"/>
      <c r="K16" s="194"/>
      <c r="L16" s="195"/>
      <c r="M16" s="194"/>
      <c r="N16" s="194"/>
      <c r="O16" s="194"/>
      <c r="P16" s="194"/>
      <c r="Q16" s="194"/>
      <c r="R16" s="193"/>
      <c r="S16" s="193"/>
      <c r="T16" s="193"/>
      <c r="U16" s="193"/>
      <c r="V16" s="193"/>
      <c r="W16" s="193"/>
      <c r="X16" s="193"/>
      <c r="Y16" s="193"/>
      <c r="Z16" s="193"/>
      <c r="AA16" s="193"/>
      <c r="AB16" s="193"/>
      <c r="AC16" s="193"/>
      <c r="AD16" s="193"/>
      <c r="AE16" s="193"/>
      <c r="AF16" s="193"/>
      <c r="AG16" s="193"/>
      <c r="AH16" s="193"/>
      <c r="AI16" s="193"/>
      <c r="AJ16" s="193"/>
      <c r="AK16" s="193"/>
      <c r="AL16" s="193"/>
      <c r="AM16" s="193"/>
    </row>
    <row r="17" spans="1:39" s="196" customFormat="1" ht="13.15">
      <c r="A17" s="192"/>
      <c r="B17" s="193"/>
      <c r="C17" s="194"/>
      <c r="D17" s="194"/>
      <c r="E17" s="194"/>
      <c r="F17" s="194"/>
      <c r="G17" s="194"/>
      <c r="H17" s="194"/>
      <c r="I17" s="194"/>
      <c r="J17" s="194"/>
      <c r="K17" s="194"/>
      <c r="L17" s="195"/>
      <c r="M17" s="194"/>
      <c r="N17" s="194"/>
      <c r="O17" s="194"/>
      <c r="P17" s="194"/>
      <c r="Q17" s="194"/>
      <c r="R17" s="193"/>
      <c r="S17" s="193"/>
      <c r="T17" s="193"/>
      <c r="U17" s="193"/>
      <c r="V17" s="193"/>
      <c r="W17" s="193"/>
      <c r="X17" s="193"/>
      <c r="Y17" s="193"/>
      <c r="Z17" s="193"/>
      <c r="AA17" s="193"/>
      <c r="AB17" s="193"/>
      <c r="AC17" s="193"/>
      <c r="AD17" s="193"/>
      <c r="AE17" s="193"/>
      <c r="AF17" s="193"/>
      <c r="AG17" s="193"/>
      <c r="AH17" s="193"/>
      <c r="AI17" s="193"/>
      <c r="AJ17" s="193"/>
      <c r="AK17" s="193"/>
      <c r="AL17" s="193"/>
      <c r="AM17" s="193"/>
    </row>
    <row r="18" spans="1:39" s="196" customFormat="1" ht="13.15">
      <c r="A18" s="192"/>
      <c r="B18" s="193"/>
      <c r="C18" s="194"/>
      <c r="D18" s="194"/>
      <c r="E18" s="194"/>
      <c r="F18" s="194"/>
      <c r="G18" s="194"/>
      <c r="H18" s="194"/>
      <c r="I18" s="194"/>
      <c r="J18" s="194"/>
      <c r="K18" s="194"/>
      <c r="L18" s="195"/>
      <c r="M18" s="194"/>
      <c r="N18" s="194"/>
      <c r="O18" s="194"/>
      <c r="P18" s="194"/>
      <c r="Q18" s="194"/>
      <c r="R18" s="193"/>
      <c r="S18" s="193"/>
      <c r="T18" s="193"/>
      <c r="U18" s="193"/>
      <c r="V18" s="193"/>
      <c r="W18" s="193"/>
      <c r="X18" s="193"/>
      <c r="Y18" s="193"/>
      <c r="Z18" s="193"/>
      <c r="AA18" s="193"/>
      <c r="AB18" s="193"/>
      <c r="AC18" s="193"/>
      <c r="AD18" s="193"/>
      <c r="AE18" s="193"/>
      <c r="AF18" s="193"/>
      <c r="AG18" s="193"/>
      <c r="AH18" s="193"/>
      <c r="AI18" s="193"/>
      <c r="AJ18" s="193"/>
      <c r="AK18" s="193"/>
      <c r="AL18" s="193"/>
      <c r="AM18" s="193"/>
    </row>
    <row r="19" spans="1:39" s="196" customFormat="1" ht="13.15">
      <c r="A19" s="192"/>
      <c r="B19" s="193"/>
      <c r="C19" s="194"/>
      <c r="D19" s="194"/>
      <c r="E19" s="194"/>
      <c r="F19" s="194"/>
      <c r="G19" s="194"/>
      <c r="H19" s="194"/>
      <c r="I19" s="194"/>
      <c r="J19" s="194"/>
      <c r="K19" s="194"/>
      <c r="L19" s="195"/>
      <c r="M19" s="194"/>
      <c r="N19" s="194"/>
      <c r="O19" s="194"/>
      <c r="P19" s="194"/>
      <c r="Q19" s="194"/>
      <c r="R19" s="193"/>
      <c r="S19" s="193"/>
      <c r="T19" s="193"/>
      <c r="U19" s="193"/>
      <c r="V19" s="193"/>
      <c r="W19" s="193"/>
      <c r="X19" s="193"/>
      <c r="Y19" s="193"/>
      <c r="Z19" s="193"/>
      <c r="AA19" s="193"/>
      <c r="AB19" s="193"/>
      <c r="AC19" s="193"/>
      <c r="AD19" s="193"/>
      <c r="AE19" s="193"/>
      <c r="AF19" s="193"/>
      <c r="AG19" s="193"/>
      <c r="AH19" s="193"/>
      <c r="AI19" s="193"/>
      <c r="AJ19" s="193"/>
      <c r="AK19" s="193"/>
      <c r="AL19" s="193"/>
      <c r="AM19" s="193"/>
    </row>
    <row r="20" spans="1:39" s="196" customFormat="1" ht="13.15">
      <c r="A20" s="192"/>
      <c r="B20" s="193"/>
      <c r="C20" s="194"/>
      <c r="D20" s="194"/>
      <c r="E20" s="194"/>
      <c r="F20" s="194"/>
      <c r="G20" s="194"/>
      <c r="H20" s="194"/>
      <c r="I20" s="194"/>
      <c r="J20" s="194"/>
      <c r="K20" s="194"/>
      <c r="L20" s="194"/>
      <c r="M20" s="194"/>
      <c r="N20" s="194"/>
      <c r="O20" s="194"/>
      <c r="P20" s="194"/>
      <c r="Q20" s="194"/>
      <c r="R20" s="193"/>
      <c r="S20" s="193"/>
      <c r="T20" s="193"/>
      <c r="U20" s="193"/>
      <c r="V20" s="193"/>
      <c r="W20" s="193"/>
      <c r="X20" s="193"/>
      <c r="Y20" s="193"/>
      <c r="Z20" s="193"/>
      <c r="AA20" s="193"/>
      <c r="AB20" s="193"/>
      <c r="AC20" s="193"/>
      <c r="AD20" s="193"/>
      <c r="AE20" s="193"/>
      <c r="AF20" s="193"/>
      <c r="AG20" s="193"/>
      <c r="AH20" s="193"/>
      <c r="AI20" s="193"/>
      <c r="AJ20" s="193"/>
      <c r="AK20" s="193"/>
      <c r="AL20" s="193"/>
      <c r="AM20" s="193"/>
    </row>
    <row r="21" spans="1:39" s="196" customFormat="1" ht="13.15">
      <c r="A21" s="192"/>
      <c r="B21" s="193"/>
      <c r="C21" s="194"/>
      <c r="D21" s="194"/>
      <c r="E21" s="194"/>
      <c r="F21" s="194"/>
      <c r="G21" s="194"/>
      <c r="H21" s="194"/>
      <c r="I21" s="194"/>
      <c r="J21" s="194"/>
      <c r="K21" s="194"/>
      <c r="L21" s="194"/>
      <c r="M21" s="194"/>
      <c r="N21" s="194"/>
      <c r="O21" s="194"/>
      <c r="P21" s="194"/>
      <c r="Q21" s="194"/>
      <c r="R21" s="193"/>
      <c r="S21" s="193"/>
      <c r="T21" s="193"/>
      <c r="U21" s="193"/>
      <c r="V21" s="193"/>
      <c r="W21" s="193"/>
      <c r="X21" s="193"/>
      <c r="Y21" s="193"/>
      <c r="Z21" s="193"/>
      <c r="AA21" s="193"/>
      <c r="AB21" s="193"/>
      <c r="AC21" s="193"/>
      <c r="AD21" s="193"/>
      <c r="AE21" s="193"/>
      <c r="AF21" s="193"/>
      <c r="AG21" s="193"/>
      <c r="AH21" s="193"/>
      <c r="AI21" s="193"/>
      <c r="AJ21" s="193"/>
      <c r="AK21" s="193"/>
      <c r="AL21" s="193"/>
      <c r="AM21" s="193"/>
    </row>
    <row r="22" spans="1:39" s="196" customFormat="1" ht="13.15">
      <c r="A22" s="192"/>
      <c r="B22" s="193"/>
      <c r="C22" s="194"/>
      <c r="D22" s="194"/>
      <c r="E22" s="194"/>
      <c r="F22" s="194"/>
      <c r="G22" s="194"/>
      <c r="H22" s="205"/>
      <c r="I22" s="194"/>
      <c r="J22" s="194"/>
      <c r="K22" s="194"/>
      <c r="L22" s="205"/>
      <c r="M22" s="194"/>
      <c r="N22" s="194"/>
      <c r="O22" s="194"/>
      <c r="P22" s="194"/>
      <c r="Q22" s="205"/>
      <c r="R22" s="193"/>
      <c r="S22" s="193"/>
      <c r="T22" s="193"/>
      <c r="U22" s="193"/>
      <c r="V22" s="193"/>
      <c r="W22" s="193"/>
      <c r="X22" s="193"/>
      <c r="Y22" s="193"/>
      <c r="Z22" s="193"/>
      <c r="AA22" s="193"/>
      <c r="AB22" s="193"/>
      <c r="AC22" s="193"/>
      <c r="AD22" s="193"/>
      <c r="AE22" s="193"/>
      <c r="AF22" s="193"/>
      <c r="AG22" s="193"/>
      <c r="AH22" s="193"/>
      <c r="AI22" s="193"/>
      <c r="AJ22" s="193"/>
      <c r="AK22" s="193"/>
      <c r="AL22" s="193"/>
      <c r="AM22" s="193"/>
    </row>
    <row r="23" spans="1:39" s="196" customFormat="1" ht="13.15">
      <c r="A23" s="192"/>
      <c r="B23" s="193"/>
      <c r="C23" s="194"/>
      <c r="D23" s="194"/>
      <c r="E23" s="194"/>
      <c r="F23" s="194"/>
      <c r="G23" s="194"/>
      <c r="H23" s="194"/>
      <c r="I23" s="194"/>
      <c r="J23" s="194"/>
      <c r="K23" s="194"/>
      <c r="L23" s="194"/>
      <c r="M23" s="194"/>
      <c r="N23" s="194"/>
      <c r="O23" s="194"/>
      <c r="P23" s="194"/>
      <c r="Q23" s="194"/>
      <c r="R23" s="193"/>
      <c r="S23" s="193"/>
      <c r="T23" s="193"/>
      <c r="U23" s="193"/>
      <c r="V23" s="193"/>
      <c r="W23" s="193"/>
      <c r="X23" s="193"/>
      <c r="Y23" s="193"/>
      <c r="Z23" s="193"/>
      <c r="AA23" s="193"/>
      <c r="AB23" s="193"/>
      <c r="AC23" s="193"/>
      <c r="AD23" s="193"/>
      <c r="AE23" s="193"/>
      <c r="AF23" s="193"/>
      <c r="AG23" s="193"/>
      <c r="AH23" s="193"/>
      <c r="AI23" s="193"/>
      <c r="AJ23" s="193"/>
      <c r="AK23" s="193"/>
      <c r="AL23" s="193"/>
      <c r="AM23" s="193"/>
    </row>
    <row r="24" spans="1:39" s="196" customFormat="1" ht="13.15">
      <c r="A24" s="192"/>
      <c r="B24" s="193"/>
      <c r="C24" s="194"/>
      <c r="D24" s="194"/>
      <c r="E24" s="194"/>
      <c r="F24" s="194"/>
      <c r="G24" s="194"/>
      <c r="H24" s="194"/>
      <c r="I24" s="194"/>
      <c r="J24" s="194"/>
      <c r="K24" s="194"/>
      <c r="L24" s="195"/>
      <c r="M24" s="194"/>
      <c r="N24" s="194"/>
      <c r="O24" s="194"/>
      <c r="P24" s="194"/>
      <c r="Q24" s="194"/>
      <c r="R24" s="193"/>
      <c r="S24" s="193"/>
      <c r="T24" s="193"/>
      <c r="U24" s="193"/>
      <c r="V24" s="193"/>
      <c r="W24" s="193"/>
      <c r="X24" s="193"/>
      <c r="Y24" s="193"/>
      <c r="Z24" s="193"/>
      <c r="AA24" s="193"/>
      <c r="AB24" s="193"/>
      <c r="AC24" s="193"/>
      <c r="AD24" s="193"/>
      <c r="AE24" s="193"/>
      <c r="AF24" s="193"/>
      <c r="AG24" s="193"/>
      <c r="AH24" s="193"/>
      <c r="AI24" s="193"/>
      <c r="AJ24" s="193"/>
      <c r="AK24" s="193"/>
      <c r="AL24" s="193"/>
      <c r="AM24" s="193"/>
    </row>
    <row r="25" spans="1:39" s="196" customFormat="1" ht="13.15">
      <c r="A25" s="192"/>
      <c r="B25" s="193"/>
      <c r="C25" s="194"/>
      <c r="D25" s="194"/>
      <c r="E25" s="194"/>
      <c r="F25" s="194"/>
      <c r="G25" s="194"/>
      <c r="H25" s="194"/>
      <c r="I25" s="194"/>
      <c r="J25" s="194"/>
      <c r="K25" s="194"/>
      <c r="L25" s="195"/>
      <c r="M25" s="194"/>
      <c r="N25" s="194"/>
      <c r="O25" s="194"/>
      <c r="P25" s="194"/>
      <c r="Q25" s="194"/>
      <c r="R25" s="193"/>
      <c r="S25" s="193"/>
      <c r="T25" s="193"/>
      <c r="U25" s="193"/>
      <c r="V25" s="193"/>
      <c r="W25" s="193"/>
      <c r="X25" s="193"/>
      <c r="Y25" s="193"/>
      <c r="Z25" s="193"/>
      <c r="AA25" s="193"/>
      <c r="AB25" s="193"/>
      <c r="AC25" s="193"/>
      <c r="AD25" s="193"/>
      <c r="AE25" s="193"/>
      <c r="AF25" s="193"/>
      <c r="AG25" s="193"/>
      <c r="AH25" s="193"/>
      <c r="AI25" s="193"/>
      <c r="AJ25" s="193"/>
      <c r="AK25" s="193"/>
      <c r="AL25" s="193"/>
      <c r="AM25" s="193"/>
    </row>
    <row r="26" spans="1:39" s="196" customFormat="1" ht="13.15">
      <c r="A26" s="192"/>
      <c r="B26" s="193"/>
      <c r="C26" s="194"/>
      <c r="D26" s="194"/>
      <c r="E26" s="194"/>
      <c r="F26" s="194"/>
      <c r="G26" s="194"/>
      <c r="H26" s="194"/>
      <c r="I26" s="194"/>
      <c r="J26" s="194"/>
      <c r="K26" s="194"/>
      <c r="L26" s="195"/>
      <c r="M26" s="194"/>
      <c r="N26" s="194"/>
      <c r="O26" s="194"/>
      <c r="P26" s="194"/>
      <c r="Q26" s="194"/>
      <c r="R26" s="193"/>
      <c r="S26" s="193"/>
      <c r="T26" s="193"/>
      <c r="U26" s="193"/>
      <c r="V26" s="193"/>
      <c r="W26" s="193"/>
      <c r="X26" s="193"/>
      <c r="Y26" s="193"/>
      <c r="Z26" s="193"/>
      <c r="AA26" s="193"/>
      <c r="AB26" s="193"/>
      <c r="AC26" s="193"/>
      <c r="AD26" s="193"/>
      <c r="AE26" s="193"/>
      <c r="AF26" s="193"/>
      <c r="AG26" s="193"/>
      <c r="AH26" s="193"/>
      <c r="AI26" s="193"/>
      <c r="AJ26" s="193"/>
      <c r="AK26" s="193"/>
      <c r="AL26" s="193"/>
      <c r="AM26" s="193"/>
    </row>
    <row r="27" spans="1:39" s="196" customFormat="1" ht="13.15">
      <c r="A27" s="192"/>
      <c r="B27" s="193"/>
      <c r="C27" s="194"/>
      <c r="D27" s="194"/>
      <c r="E27" s="194"/>
      <c r="F27" s="194"/>
      <c r="G27" s="194"/>
      <c r="H27" s="194"/>
      <c r="I27" s="194"/>
      <c r="J27" s="194"/>
      <c r="K27" s="194"/>
      <c r="L27" s="195"/>
      <c r="M27" s="194"/>
      <c r="N27" s="194"/>
      <c r="O27" s="194"/>
      <c r="P27" s="194"/>
      <c r="Q27" s="194"/>
      <c r="R27" s="193"/>
      <c r="S27" s="193"/>
      <c r="T27" s="193"/>
      <c r="U27" s="193"/>
      <c r="V27" s="193"/>
      <c r="W27" s="193"/>
      <c r="X27" s="193"/>
      <c r="Y27" s="193"/>
      <c r="Z27" s="193"/>
      <c r="AA27" s="193"/>
      <c r="AB27" s="193"/>
      <c r="AC27" s="193"/>
      <c r="AD27" s="193"/>
      <c r="AE27" s="193"/>
      <c r="AF27" s="193"/>
      <c r="AG27" s="193"/>
      <c r="AH27" s="193"/>
      <c r="AI27" s="193"/>
      <c r="AJ27" s="193"/>
      <c r="AK27" s="193"/>
      <c r="AL27" s="193"/>
      <c r="AM27" s="193"/>
    </row>
    <row r="28" spans="1:39" s="196" customFormat="1" ht="13.15">
      <c r="A28" s="192"/>
      <c r="B28" s="193"/>
      <c r="C28" s="194"/>
      <c r="D28" s="194"/>
      <c r="E28" s="194"/>
      <c r="F28" s="194"/>
      <c r="G28" s="194"/>
      <c r="H28" s="194"/>
      <c r="I28" s="194"/>
      <c r="J28" s="194"/>
      <c r="K28" s="194"/>
      <c r="L28" s="195"/>
      <c r="M28" s="194"/>
      <c r="N28" s="194"/>
      <c r="O28" s="194"/>
      <c r="P28" s="194"/>
      <c r="Q28" s="194"/>
      <c r="R28" s="193"/>
      <c r="S28" s="193"/>
      <c r="T28" s="193"/>
      <c r="U28" s="193"/>
      <c r="V28" s="193"/>
      <c r="W28" s="193"/>
      <c r="X28" s="193"/>
      <c r="Y28" s="193"/>
      <c r="Z28" s="193"/>
      <c r="AA28" s="193"/>
      <c r="AB28" s="193"/>
      <c r="AC28" s="193"/>
      <c r="AD28" s="193"/>
      <c r="AE28" s="193"/>
      <c r="AF28" s="193"/>
      <c r="AG28" s="193"/>
      <c r="AH28" s="193"/>
      <c r="AI28" s="193"/>
      <c r="AJ28" s="193"/>
      <c r="AK28" s="193"/>
      <c r="AL28" s="193"/>
      <c r="AM28" s="193"/>
    </row>
    <row r="29" spans="1:39" s="196" customFormat="1" ht="13.15">
      <c r="A29" s="192"/>
      <c r="B29" s="193"/>
      <c r="C29" s="194"/>
      <c r="D29" s="194"/>
      <c r="E29" s="194"/>
      <c r="F29" s="194"/>
      <c r="G29" s="194"/>
      <c r="H29" s="194"/>
      <c r="I29" s="194"/>
      <c r="J29" s="194"/>
      <c r="K29" s="194"/>
      <c r="L29" s="195"/>
      <c r="M29" s="194"/>
      <c r="N29" s="194"/>
      <c r="O29" s="194"/>
      <c r="P29" s="194"/>
      <c r="Q29" s="194"/>
      <c r="R29" s="193"/>
      <c r="S29" s="193"/>
      <c r="T29" s="193"/>
      <c r="U29" s="193"/>
      <c r="V29" s="193"/>
      <c r="W29" s="193"/>
      <c r="X29" s="193"/>
      <c r="Y29" s="193"/>
      <c r="Z29" s="193"/>
      <c r="AA29" s="193"/>
      <c r="AB29" s="193"/>
      <c r="AC29" s="193"/>
      <c r="AD29" s="193"/>
      <c r="AE29" s="193"/>
      <c r="AF29" s="193"/>
      <c r="AG29" s="193"/>
      <c r="AH29" s="193"/>
      <c r="AI29" s="193"/>
      <c r="AJ29" s="193"/>
      <c r="AK29" s="193"/>
      <c r="AL29" s="193"/>
      <c r="AM29" s="193"/>
    </row>
    <row r="30" spans="1:39" s="196" customFormat="1" ht="13.15">
      <c r="A30" s="192"/>
      <c r="B30" s="193"/>
      <c r="C30" s="194"/>
      <c r="D30" s="194"/>
      <c r="E30" s="194"/>
      <c r="F30" s="194"/>
      <c r="G30" s="194"/>
      <c r="H30" s="194"/>
      <c r="I30" s="194"/>
      <c r="J30" s="194"/>
      <c r="K30" s="194"/>
      <c r="L30" s="195"/>
      <c r="M30" s="194"/>
      <c r="N30" s="194"/>
      <c r="O30" s="194"/>
      <c r="P30" s="194"/>
      <c r="Q30" s="194"/>
      <c r="R30" s="193"/>
      <c r="S30" s="193"/>
      <c r="T30" s="193"/>
      <c r="U30" s="193"/>
      <c r="V30" s="193"/>
      <c r="W30" s="193"/>
      <c r="X30" s="193"/>
      <c r="Y30" s="193"/>
      <c r="Z30" s="193"/>
      <c r="AA30" s="193"/>
      <c r="AB30" s="193"/>
      <c r="AC30" s="193"/>
      <c r="AD30" s="193"/>
      <c r="AE30" s="193"/>
      <c r="AF30" s="193"/>
      <c r="AG30" s="193"/>
      <c r="AH30" s="193"/>
      <c r="AI30" s="193"/>
      <c r="AJ30" s="193"/>
      <c r="AK30" s="193"/>
      <c r="AL30" s="193"/>
      <c r="AM30" s="193"/>
    </row>
    <row r="31" spans="1:39" s="196" customFormat="1" ht="13.15">
      <c r="A31" s="192"/>
      <c r="B31" s="193"/>
      <c r="C31" s="194"/>
      <c r="D31" s="194"/>
      <c r="E31" s="194"/>
      <c r="F31" s="194"/>
      <c r="G31" s="194"/>
      <c r="H31" s="194"/>
      <c r="I31" s="194"/>
      <c r="J31" s="194"/>
      <c r="K31" s="194"/>
      <c r="L31" s="195"/>
      <c r="M31" s="194"/>
      <c r="N31" s="194"/>
      <c r="O31" s="194"/>
      <c r="P31" s="194"/>
      <c r="Q31" s="194"/>
      <c r="R31" s="193"/>
      <c r="S31" s="193"/>
      <c r="T31" s="193"/>
      <c r="U31" s="193"/>
      <c r="V31" s="193"/>
      <c r="W31" s="193"/>
      <c r="X31" s="193"/>
      <c r="Y31" s="193"/>
      <c r="Z31" s="193"/>
      <c r="AA31" s="193"/>
      <c r="AB31" s="193"/>
      <c r="AC31" s="193"/>
      <c r="AD31" s="193"/>
      <c r="AE31" s="193"/>
      <c r="AF31" s="193"/>
      <c r="AG31" s="193"/>
      <c r="AH31" s="193"/>
      <c r="AI31" s="193"/>
      <c r="AJ31" s="193"/>
      <c r="AK31" s="193"/>
      <c r="AL31" s="193"/>
      <c r="AM31" s="193"/>
    </row>
    <row r="32" spans="1:39" s="196" customFormat="1" ht="13.15">
      <c r="A32" s="192"/>
      <c r="B32" s="193"/>
      <c r="C32" s="194"/>
      <c r="D32" s="194"/>
      <c r="E32" s="194"/>
      <c r="F32" s="194"/>
      <c r="G32" s="194"/>
      <c r="H32" s="194"/>
      <c r="I32" s="194"/>
      <c r="J32" s="194"/>
      <c r="K32" s="194"/>
      <c r="L32" s="195"/>
      <c r="M32" s="194"/>
      <c r="N32" s="194"/>
      <c r="O32" s="194"/>
      <c r="P32" s="194"/>
      <c r="Q32" s="194"/>
      <c r="R32" s="193"/>
      <c r="S32" s="193"/>
      <c r="T32" s="193"/>
      <c r="U32" s="193"/>
      <c r="V32" s="193"/>
      <c r="W32" s="193"/>
      <c r="X32" s="193"/>
      <c r="Y32" s="193"/>
      <c r="Z32" s="193"/>
      <c r="AA32" s="193"/>
      <c r="AB32" s="193"/>
      <c r="AC32" s="193"/>
      <c r="AD32" s="193"/>
      <c r="AE32" s="193"/>
      <c r="AF32" s="193"/>
      <c r="AG32" s="193"/>
      <c r="AH32" s="193"/>
      <c r="AI32" s="193"/>
      <c r="AJ32" s="193"/>
      <c r="AK32" s="193"/>
      <c r="AL32" s="193"/>
      <c r="AM32" s="193"/>
    </row>
    <row r="33" spans="1:39" s="196" customFormat="1" ht="13.15">
      <c r="A33" s="192"/>
      <c r="B33" s="193"/>
      <c r="C33" s="194"/>
      <c r="D33" s="194"/>
      <c r="E33" s="194"/>
      <c r="F33" s="194"/>
      <c r="G33" s="194"/>
      <c r="H33" s="194"/>
      <c r="I33" s="194"/>
      <c r="J33" s="194"/>
      <c r="K33" s="194"/>
      <c r="L33" s="195"/>
      <c r="M33" s="194"/>
      <c r="N33" s="194"/>
      <c r="O33" s="194"/>
      <c r="P33" s="194"/>
      <c r="Q33" s="194"/>
      <c r="R33" s="193"/>
      <c r="S33" s="193"/>
      <c r="T33" s="193"/>
      <c r="U33" s="193"/>
      <c r="V33" s="193"/>
      <c r="W33" s="193"/>
      <c r="X33" s="193"/>
      <c r="Y33" s="193"/>
      <c r="Z33" s="193"/>
      <c r="AA33" s="193"/>
      <c r="AB33" s="193"/>
      <c r="AC33" s="193"/>
      <c r="AD33" s="193"/>
      <c r="AE33" s="193"/>
      <c r="AF33" s="193"/>
      <c r="AG33" s="193"/>
      <c r="AH33" s="193"/>
      <c r="AI33" s="193"/>
      <c r="AJ33" s="193"/>
      <c r="AK33" s="193"/>
      <c r="AL33" s="193"/>
      <c r="AM33" s="193"/>
    </row>
    <row r="34" spans="1:39" s="196" customFormat="1" ht="13.15">
      <c r="A34" s="192"/>
      <c r="B34" s="193"/>
      <c r="C34" s="194"/>
      <c r="D34" s="194"/>
      <c r="E34" s="194"/>
      <c r="F34" s="194"/>
      <c r="G34" s="194"/>
      <c r="H34" s="194"/>
      <c r="I34" s="194"/>
      <c r="J34" s="194"/>
      <c r="K34" s="194"/>
      <c r="L34" s="195"/>
      <c r="M34" s="194"/>
      <c r="N34" s="194"/>
      <c r="O34" s="194"/>
      <c r="P34" s="194"/>
      <c r="Q34" s="194"/>
      <c r="R34" s="193"/>
      <c r="S34" s="193"/>
      <c r="T34" s="193"/>
      <c r="U34" s="193"/>
      <c r="V34" s="193"/>
      <c r="W34" s="193"/>
      <c r="X34" s="193"/>
      <c r="Y34" s="193"/>
      <c r="Z34" s="193"/>
      <c r="AA34" s="193"/>
      <c r="AB34" s="193"/>
      <c r="AC34" s="193"/>
      <c r="AD34" s="193"/>
      <c r="AE34" s="193"/>
      <c r="AF34" s="193"/>
      <c r="AG34" s="193"/>
      <c r="AH34" s="193"/>
      <c r="AI34" s="193"/>
      <c r="AJ34" s="193"/>
      <c r="AK34" s="193"/>
      <c r="AL34" s="193"/>
      <c r="AM34" s="193"/>
    </row>
    <row r="35" spans="1:39" s="196" customFormat="1" ht="13.15">
      <c r="A35" s="192"/>
      <c r="B35" s="193"/>
      <c r="C35" s="194"/>
      <c r="D35" s="194"/>
      <c r="E35" s="194"/>
      <c r="F35" s="194"/>
      <c r="G35" s="194"/>
      <c r="H35" s="194"/>
      <c r="I35" s="194"/>
      <c r="J35" s="194"/>
      <c r="K35" s="194"/>
      <c r="L35" s="195"/>
      <c r="M35" s="194"/>
      <c r="N35" s="194"/>
      <c r="O35" s="194"/>
      <c r="P35" s="194"/>
      <c r="Q35" s="194"/>
      <c r="R35" s="193"/>
      <c r="S35" s="193"/>
      <c r="T35" s="193"/>
      <c r="U35" s="193"/>
      <c r="V35" s="193"/>
      <c r="W35" s="193"/>
      <c r="X35" s="193"/>
      <c r="Y35" s="193"/>
      <c r="Z35" s="193"/>
      <c r="AA35" s="193"/>
      <c r="AB35" s="193"/>
      <c r="AC35" s="193"/>
      <c r="AD35" s="193"/>
      <c r="AE35" s="193"/>
      <c r="AF35" s="193"/>
      <c r="AG35" s="193"/>
      <c r="AH35" s="193"/>
      <c r="AI35" s="193"/>
      <c r="AJ35" s="193"/>
      <c r="AK35" s="193"/>
      <c r="AL35" s="193"/>
      <c r="AM35" s="193"/>
    </row>
    <row r="36" spans="1:39" s="196" customFormat="1" ht="13.15">
      <c r="A36" s="192"/>
      <c r="B36" s="193"/>
      <c r="C36" s="194"/>
      <c r="D36" s="194"/>
      <c r="E36" s="194"/>
      <c r="F36" s="194"/>
      <c r="G36" s="194"/>
      <c r="H36" s="194"/>
      <c r="I36" s="194"/>
      <c r="J36" s="194"/>
      <c r="K36" s="194"/>
      <c r="L36" s="195"/>
      <c r="M36" s="194"/>
      <c r="N36" s="194"/>
      <c r="O36" s="194"/>
      <c r="P36" s="194"/>
      <c r="Q36" s="194"/>
      <c r="R36" s="193"/>
      <c r="S36" s="193"/>
      <c r="T36" s="193"/>
      <c r="U36" s="193"/>
      <c r="V36" s="193"/>
      <c r="W36" s="193"/>
      <c r="X36" s="193"/>
      <c r="Y36" s="193"/>
      <c r="Z36" s="193"/>
      <c r="AA36" s="193"/>
      <c r="AB36" s="193"/>
      <c r="AC36" s="193"/>
      <c r="AD36" s="193"/>
      <c r="AE36" s="193"/>
      <c r="AF36" s="193"/>
      <c r="AG36" s="193"/>
      <c r="AH36" s="193"/>
      <c r="AI36" s="193"/>
      <c r="AJ36" s="193"/>
      <c r="AK36" s="193"/>
      <c r="AL36" s="193"/>
      <c r="AM36" s="193"/>
    </row>
    <row r="37" spans="1:39" s="196" customFormat="1" ht="13.15">
      <c r="A37" s="192"/>
      <c r="B37" s="193"/>
      <c r="C37" s="194"/>
      <c r="D37" s="194"/>
      <c r="E37" s="194"/>
      <c r="F37" s="194"/>
      <c r="G37" s="194"/>
      <c r="H37" s="194"/>
      <c r="I37" s="194"/>
      <c r="J37" s="194"/>
      <c r="K37" s="194"/>
      <c r="L37" s="195"/>
      <c r="M37" s="194"/>
      <c r="N37" s="194"/>
      <c r="O37" s="194"/>
      <c r="P37" s="194"/>
      <c r="Q37" s="194"/>
      <c r="R37" s="193"/>
      <c r="S37" s="193"/>
      <c r="T37" s="193"/>
      <c r="U37" s="193"/>
      <c r="V37" s="193"/>
      <c r="W37" s="193"/>
      <c r="X37" s="193"/>
      <c r="Y37" s="193"/>
      <c r="Z37" s="193"/>
      <c r="AA37" s="193"/>
      <c r="AB37" s="193"/>
      <c r="AC37" s="193"/>
      <c r="AD37" s="193"/>
      <c r="AE37" s="193"/>
      <c r="AF37" s="193"/>
      <c r="AG37" s="193"/>
      <c r="AH37" s="193"/>
      <c r="AI37" s="193"/>
      <c r="AJ37" s="193"/>
      <c r="AK37" s="193"/>
      <c r="AL37" s="193"/>
      <c r="AM37" s="193"/>
    </row>
    <row r="38" spans="1:39" s="196" customFormat="1" ht="13.15">
      <c r="A38" s="192"/>
      <c r="B38" s="193"/>
      <c r="C38" s="194"/>
      <c r="D38" s="194"/>
      <c r="E38" s="194"/>
      <c r="F38" s="194"/>
      <c r="G38" s="194"/>
      <c r="H38" s="194"/>
      <c r="I38" s="194"/>
      <c r="J38" s="194"/>
      <c r="K38" s="194"/>
      <c r="L38" s="195"/>
      <c r="M38" s="194"/>
      <c r="N38" s="194"/>
      <c r="O38" s="194"/>
      <c r="P38" s="194"/>
      <c r="Q38" s="194"/>
      <c r="R38" s="193"/>
      <c r="S38" s="193"/>
      <c r="T38" s="193"/>
      <c r="U38" s="193"/>
      <c r="V38" s="193"/>
      <c r="W38" s="193"/>
      <c r="X38" s="193"/>
      <c r="Y38" s="193"/>
      <c r="Z38" s="193"/>
      <c r="AA38" s="193"/>
      <c r="AB38" s="193"/>
      <c r="AC38" s="193"/>
      <c r="AD38" s="193"/>
      <c r="AE38" s="193"/>
      <c r="AF38" s="193"/>
      <c r="AG38" s="193"/>
      <c r="AH38" s="193"/>
      <c r="AI38" s="193"/>
      <c r="AJ38" s="193"/>
      <c r="AK38" s="193"/>
      <c r="AL38" s="193"/>
      <c r="AM38" s="193"/>
    </row>
    <row r="39" spans="1:39" s="196" customFormat="1" ht="13.15">
      <c r="A39" s="192"/>
      <c r="B39" s="193"/>
      <c r="C39" s="194"/>
      <c r="D39" s="194"/>
      <c r="E39" s="194"/>
      <c r="F39" s="194"/>
      <c r="G39" s="194"/>
      <c r="H39" s="194"/>
      <c r="I39" s="194"/>
      <c r="J39" s="194"/>
      <c r="K39" s="194"/>
      <c r="L39" s="195"/>
      <c r="M39" s="194"/>
      <c r="N39" s="194"/>
      <c r="O39" s="194"/>
      <c r="P39" s="194"/>
      <c r="Q39" s="194"/>
      <c r="R39" s="193"/>
      <c r="S39" s="193"/>
      <c r="T39" s="193"/>
      <c r="U39" s="193"/>
      <c r="V39" s="193"/>
      <c r="W39" s="193"/>
      <c r="X39" s="193"/>
      <c r="Y39" s="193"/>
      <c r="Z39" s="193"/>
      <c r="AA39" s="193"/>
      <c r="AB39" s="193"/>
      <c r="AC39" s="193"/>
      <c r="AD39" s="193"/>
      <c r="AE39" s="193"/>
      <c r="AF39" s="193"/>
      <c r="AG39" s="193"/>
      <c r="AH39" s="193"/>
      <c r="AI39" s="193"/>
      <c r="AJ39" s="193"/>
      <c r="AK39" s="193"/>
      <c r="AL39" s="193"/>
      <c r="AM39" s="193"/>
    </row>
    <row r="40" spans="1:39" s="196" customFormat="1" ht="13.15">
      <c r="A40" s="192"/>
      <c r="B40" s="193"/>
      <c r="C40" s="194"/>
      <c r="D40" s="194"/>
      <c r="E40" s="194"/>
      <c r="F40" s="194"/>
      <c r="G40" s="194"/>
      <c r="H40" s="194"/>
      <c r="I40" s="194"/>
      <c r="J40" s="194"/>
      <c r="K40" s="194"/>
      <c r="L40" s="195"/>
      <c r="M40" s="194"/>
      <c r="N40" s="194"/>
      <c r="O40" s="194"/>
      <c r="P40" s="194"/>
      <c r="Q40" s="194"/>
      <c r="R40" s="193"/>
      <c r="S40" s="193"/>
      <c r="T40" s="193"/>
      <c r="U40" s="193"/>
      <c r="V40" s="193"/>
      <c r="W40" s="193"/>
      <c r="X40" s="193"/>
      <c r="Y40" s="193"/>
      <c r="Z40" s="193"/>
      <c r="AA40" s="193"/>
      <c r="AB40" s="193"/>
      <c r="AC40" s="193"/>
      <c r="AD40" s="193"/>
      <c r="AE40" s="193"/>
      <c r="AF40" s="193"/>
      <c r="AG40" s="193"/>
      <c r="AH40" s="193"/>
      <c r="AI40" s="193"/>
      <c r="AJ40" s="193"/>
      <c r="AK40" s="193"/>
      <c r="AL40" s="193"/>
      <c r="AM40" s="193"/>
    </row>
    <row r="41" spans="1:39" s="196" customFormat="1" ht="13.15">
      <c r="A41" s="192"/>
      <c r="B41" s="193"/>
      <c r="C41" s="194"/>
      <c r="D41" s="194"/>
      <c r="E41" s="194"/>
      <c r="F41" s="194"/>
      <c r="G41" s="194"/>
      <c r="H41" s="194"/>
      <c r="I41" s="194"/>
      <c r="J41" s="194"/>
      <c r="K41" s="194"/>
      <c r="L41" s="195"/>
      <c r="M41" s="194"/>
      <c r="N41" s="194"/>
      <c r="O41" s="194"/>
      <c r="P41" s="194"/>
      <c r="Q41" s="194"/>
      <c r="R41" s="193"/>
      <c r="S41" s="193"/>
      <c r="T41" s="193"/>
      <c r="U41" s="193"/>
      <c r="V41" s="193"/>
      <c r="W41" s="193"/>
      <c r="X41" s="193"/>
      <c r="Y41" s="193"/>
      <c r="Z41" s="193"/>
      <c r="AA41" s="193"/>
      <c r="AB41" s="193"/>
      <c r="AC41" s="193"/>
      <c r="AD41" s="193"/>
      <c r="AE41" s="193"/>
      <c r="AF41" s="193"/>
      <c r="AG41" s="193"/>
      <c r="AH41" s="193"/>
      <c r="AI41" s="193"/>
      <c r="AJ41" s="193"/>
      <c r="AK41" s="193"/>
      <c r="AL41" s="193"/>
      <c r="AM41" s="193"/>
    </row>
    <row r="42" spans="1:39" s="196" customFormat="1" ht="13.15">
      <c r="A42" s="192"/>
      <c r="B42" s="193"/>
      <c r="C42" s="194"/>
      <c r="D42" s="194"/>
      <c r="E42" s="194"/>
      <c r="F42" s="194"/>
      <c r="G42" s="194"/>
      <c r="H42" s="194"/>
      <c r="I42" s="194"/>
      <c r="J42" s="194"/>
      <c r="K42" s="194"/>
      <c r="L42" s="195"/>
      <c r="M42" s="194"/>
      <c r="N42" s="194"/>
      <c r="O42" s="194"/>
      <c r="P42" s="194"/>
      <c r="Q42" s="194"/>
      <c r="R42" s="193"/>
      <c r="S42" s="193"/>
      <c r="T42" s="193"/>
      <c r="U42" s="193"/>
      <c r="V42" s="193"/>
      <c r="W42" s="193"/>
      <c r="X42" s="193"/>
      <c r="Y42" s="193"/>
      <c r="Z42" s="193"/>
      <c r="AA42" s="193"/>
      <c r="AB42" s="193"/>
      <c r="AC42" s="193"/>
      <c r="AD42" s="193"/>
      <c r="AE42" s="193"/>
      <c r="AF42" s="193"/>
      <c r="AG42" s="193"/>
      <c r="AH42" s="193"/>
      <c r="AI42" s="193"/>
      <c r="AJ42" s="193"/>
      <c r="AK42" s="193"/>
      <c r="AL42" s="193"/>
      <c r="AM42" s="193"/>
    </row>
    <row r="43" spans="1:39" s="196" customFormat="1" ht="13.15">
      <c r="A43" s="192"/>
      <c r="B43" s="193"/>
      <c r="C43" s="194"/>
      <c r="D43" s="194"/>
      <c r="E43" s="194"/>
      <c r="F43" s="194"/>
      <c r="G43" s="194"/>
      <c r="H43" s="194"/>
      <c r="I43" s="194"/>
      <c r="J43" s="194"/>
      <c r="K43" s="194"/>
      <c r="L43" s="195"/>
      <c r="M43" s="194"/>
      <c r="N43" s="194"/>
      <c r="O43" s="194"/>
      <c r="P43" s="194"/>
      <c r="Q43" s="194"/>
      <c r="R43" s="193"/>
      <c r="S43" s="193"/>
      <c r="T43" s="193"/>
      <c r="U43" s="193"/>
      <c r="V43" s="193"/>
      <c r="W43" s="193"/>
      <c r="X43" s="193"/>
      <c r="Y43" s="193"/>
      <c r="Z43" s="193"/>
      <c r="AA43" s="193"/>
      <c r="AB43" s="193"/>
      <c r="AC43" s="193"/>
      <c r="AD43" s="193"/>
      <c r="AE43" s="193"/>
      <c r="AF43" s="193"/>
      <c r="AG43" s="193"/>
      <c r="AH43" s="193"/>
      <c r="AI43" s="193"/>
      <c r="AJ43" s="193"/>
      <c r="AK43" s="193"/>
      <c r="AL43" s="193"/>
      <c r="AM43" s="193"/>
    </row>
    <row r="44" spans="1:39" s="196" customFormat="1" ht="13.15">
      <c r="A44" s="192"/>
      <c r="B44" s="193"/>
      <c r="C44" s="194"/>
      <c r="D44" s="194"/>
      <c r="E44" s="194"/>
      <c r="F44" s="194"/>
      <c r="G44" s="194"/>
      <c r="H44" s="194"/>
      <c r="I44" s="194"/>
      <c r="J44" s="194"/>
      <c r="K44" s="194"/>
      <c r="L44" s="195"/>
      <c r="M44" s="194"/>
      <c r="N44" s="194"/>
      <c r="O44" s="194"/>
      <c r="P44" s="194"/>
      <c r="Q44" s="194"/>
      <c r="R44" s="193"/>
      <c r="S44" s="193"/>
      <c r="T44" s="193"/>
      <c r="U44" s="193"/>
      <c r="V44" s="193"/>
      <c r="W44" s="193"/>
      <c r="X44" s="193"/>
      <c r="Y44" s="193"/>
      <c r="Z44" s="193"/>
      <c r="AA44" s="193"/>
      <c r="AB44" s="193"/>
      <c r="AC44" s="193"/>
      <c r="AD44" s="193"/>
      <c r="AE44" s="193"/>
      <c r="AF44" s="193"/>
      <c r="AG44" s="193"/>
      <c r="AH44" s="193"/>
      <c r="AI44" s="193"/>
      <c r="AJ44" s="193"/>
      <c r="AK44" s="193"/>
      <c r="AL44" s="193"/>
      <c r="AM44" s="193"/>
    </row>
    <row r="45" spans="1:39" s="196" customFormat="1" ht="13.15">
      <c r="A45" s="192"/>
      <c r="B45" s="193"/>
      <c r="C45" s="194"/>
      <c r="D45" s="194"/>
      <c r="E45" s="194"/>
      <c r="F45" s="194"/>
      <c r="G45" s="194"/>
      <c r="H45" s="194"/>
      <c r="I45" s="194"/>
      <c r="J45" s="194"/>
      <c r="K45" s="194"/>
      <c r="L45" s="195"/>
      <c r="M45" s="194"/>
      <c r="N45" s="194"/>
      <c r="O45" s="194"/>
      <c r="P45" s="194"/>
      <c r="Q45" s="194"/>
      <c r="R45" s="193"/>
      <c r="S45" s="193"/>
      <c r="T45" s="193"/>
      <c r="U45" s="193"/>
      <c r="V45" s="193"/>
      <c r="W45" s="193"/>
      <c r="X45" s="193"/>
      <c r="Y45" s="193"/>
      <c r="Z45" s="193"/>
      <c r="AA45" s="193"/>
      <c r="AB45" s="193"/>
      <c r="AC45" s="193"/>
      <c r="AD45" s="193"/>
      <c r="AE45" s="193"/>
      <c r="AF45" s="193"/>
      <c r="AG45" s="193"/>
      <c r="AH45" s="193"/>
      <c r="AI45" s="193"/>
      <c r="AJ45" s="193"/>
      <c r="AK45" s="193"/>
      <c r="AL45" s="193"/>
      <c r="AM45" s="193"/>
    </row>
    <row r="46" spans="1:39" s="196" customFormat="1" ht="13.15">
      <c r="A46" s="192"/>
      <c r="B46" s="193"/>
      <c r="C46" s="194"/>
      <c r="D46" s="194"/>
      <c r="E46" s="194"/>
      <c r="F46" s="194"/>
      <c r="G46" s="194"/>
      <c r="H46" s="194"/>
      <c r="I46" s="194"/>
      <c r="J46" s="194"/>
      <c r="K46" s="194"/>
      <c r="L46" s="195"/>
      <c r="M46" s="194"/>
      <c r="N46" s="194"/>
      <c r="O46" s="194"/>
      <c r="P46" s="194"/>
      <c r="Q46" s="194"/>
      <c r="R46" s="193"/>
      <c r="S46" s="193"/>
      <c r="T46" s="193"/>
      <c r="U46" s="193"/>
      <c r="V46" s="193"/>
      <c r="W46" s="193"/>
      <c r="X46" s="193"/>
      <c r="Y46" s="193"/>
      <c r="Z46" s="193"/>
      <c r="AA46" s="193"/>
      <c r="AB46" s="193"/>
      <c r="AC46" s="193"/>
      <c r="AD46" s="193"/>
      <c r="AE46" s="193"/>
      <c r="AF46" s="193"/>
      <c r="AG46" s="193"/>
      <c r="AH46" s="193"/>
      <c r="AI46" s="193"/>
      <c r="AJ46" s="193"/>
      <c r="AK46" s="193"/>
      <c r="AL46" s="193"/>
      <c r="AM46" s="193"/>
    </row>
    <row r="47" spans="1:39" s="196" customFormat="1" ht="13.15">
      <c r="A47" s="192"/>
      <c r="B47" s="193"/>
      <c r="C47" s="193"/>
      <c r="D47" s="193"/>
      <c r="E47" s="193"/>
      <c r="F47" s="193"/>
      <c r="G47" s="193"/>
      <c r="H47" s="193"/>
      <c r="I47" s="193"/>
      <c r="J47" s="193"/>
      <c r="K47" s="193"/>
      <c r="L47" s="210"/>
      <c r="M47" s="193"/>
      <c r="N47" s="193"/>
      <c r="O47" s="193"/>
      <c r="P47" s="193"/>
      <c r="Q47" s="193"/>
      <c r="R47" s="193"/>
      <c r="S47" s="193"/>
      <c r="T47" s="193"/>
      <c r="U47" s="193"/>
      <c r="V47" s="193"/>
      <c r="W47" s="193"/>
      <c r="X47" s="193"/>
      <c r="Y47" s="193"/>
      <c r="Z47" s="193"/>
      <c r="AA47" s="193"/>
      <c r="AB47" s="193"/>
      <c r="AC47" s="193"/>
      <c r="AD47" s="193"/>
      <c r="AE47" s="193"/>
      <c r="AF47" s="193"/>
      <c r="AG47" s="193"/>
      <c r="AH47" s="193"/>
      <c r="AI47" s="193"/>
      <c r="AJ47" s="193"/>
      <c r="AK47" s="193"/>
      <c r="AL47" s="193"/>
      <c r="AM47" s="193"/>
    </row>
    <row r="48" spans="1:39" s="196" customFormat="1" ht="13.15">
      <c r="A48" s="192"/>
      <c r="B48" s="193"/>
      <c r="C48" s="193"/>
      <c r="D48" s="193"/>
      <c r="E48" s="193"/>
      <c r="F48" s="193"/>
      <c r="G48" s="193"/>
      <c r="H48" s="193"/>
      <c r="I48" s="193"/>
      <c r="J48" s="193"/>
      <c r="K48" s="193"/>
      <c r="L48" s="210"/>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row>
    <row r="49" spans="1:39" ht="13.15">
      <c r="A49" s="211" t="s">
        <v>11</v>
      </c>
      <c r="B49" s="211"/>
      <c r="C49" s="212"/>
      <c r="D49" s="213"/>
      <c r="E49" s="212"/>
      <c r="F49" s="214"/>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1"/>
      <c r="AE49" s="211"/>
      <c r="AF49" s="211"/>
      <c r="AG49" s="211"/>
      <c r="AH49" s="211"/>
      <c r="AI49" s="211"/>
      <c r="AJ49" s="211"/>
      <c r="AK49" s="211"/>
      <c r="AL49" s="211"/>
      <c r="AM49" s="211"/>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F662C-1400-4144-97C3-6C7BE2ECCD03}">
  <sheetPr>
    <tabColor rgb="FF98C561"/>
  </sheetPr>
  <dimension ref="A1:M23"/>
  <sheetViews>
    <sheetView zoomScale="80" zoomScaleNormal="80" workbookViewId="0"/>
  </sheetViews>
  <sheetFormatPr defaultColWidth="9" defaultRowHeight="16.149999999999999"/>
  <cols>
    <col min="1" max="2" width="9" style="5"/>
    <col min="3" max="4" width="11" style="5" customWidth="1"/>
    <col min="5" max="5" width="10.7109375" style="5" customWidth="1"/>
    <col min="6" max="6" width="11.5703125" style="5" bestFit="1" customWidth="1"/>
    <col min="7" max="7" width="9.85546875" style="5" customWidth="1"/>
    <col min="8" max="8" width="11.5703125" style="5" customWidth="1"/>
    <col min="9" max="9" width="11.28515625" style="5" customWidth="1"/>
    <col min="10" max="10" width="10.85546875" style="5" customWidth="1"/>
    <col min="11" max="11" width="10.5703125" style="5" customWidth="1"/>
    <col min="14" max="16384" width="9" style="5"/>
  </cols>
  <sheetData>
    <row r="1" spans="1:11">
      <c r="A1" s="4" t="s">
        <v>656</v>
      </c>
    </row>
    <row r="2" spans="1:11">
      <c r="A2" s="82" t="s">
        <v>657</v>
      </c>
    </row>
    <row r="3" spans="1:11">
      <c r="A3" s="82"/>
    </row>
    <row r="4" spans="1:11" ht="30.4" customHeight="1">
      <c r="C4" s="306" t="s">
        <v>658</v>
      </c>
      <c r="D4" s="306"/>
      <c r="E4" s="306"/>
      <c r="F4" s="304" t="s">
        <v>659</v>
      </c>
      <c r="G4" s="305"/>
      <c r="H4" s="307" t="s">
        <v>660</v>
      </c>
      <c r="I4" s="308"/>
      <c r="J4" s="308"/>
      <c r="K4" s="308"/>
    </row>
    <row r="5" spans="1:11" ht="76.900000000000006">
      <c r="B5" s="8" t="s">
        <v>86</v>
      </c>
      <c r="C5" s="10" t="s">
        <v>661</v>
      </c>
      <c r="D5" s="10" t="s">
        <v>662</v>
      </c>
      <c r="E5" s="10" t="s">
        <v>663</v>
      </c>
      <c r="F5" s="10" t="s">
        <v>664</v>
      </c>
      <c r="G5" s="10" t="s">
        <v>665</v>
      </c>
      <c r="H5" s="242" t="s">
        <v>666</v>
      </c>
      <c r="I5" s="242" t="s">
        <v>667</v>
      </c>
      <c r="J5" s="242" t="s">
        <v>668</v>
      </c>
      <c r="K5" s="242" t="s">
        <v>669</v>
      </c>
    </row>
    <row r="6" spans="1:11">
      <c r="B6" s="9" t="s">
        <v>84</v>
      </c>
      <c r="C6" s="11">
        <f>INDEX('Renewal rates'!$V$5:$V$22, MATCH('Rates summary'!B6, 'Renewal rates'!$A$5:$A$22, 0))</f>
        <v>4.7089933937308846E-3</v>
      </c>
      <c r="D6" s="11">
        <f>INDEX('Renewal rates'!$U$5:$U$22, MATCH('Rates summary'!B6, 'Renewal rates'!$A$5:$A$22, 0))</f>
        <v>6.6427372284089785E-3</v>
      </c>
      <c r="E6" s="11">
        <f>INDEX('Renewal rates'!$W$5:$W$22, MATCH('Rates summary'!B6, 'Renewal rates'!$A$5:$A$22, 0))</f>
        <v>7.6149677534079587E-4</v>
      </c>
      <c r="F6" s="29">
        <f>SUMIFS(Base_Enh_PR24Query!$E$2:$E$324, Base_Enh_PR24Query!$B$2:$B$324, 'Rates summary'!B6, Base_Enh_PR24Query!$C$2:$C$324, "&gt;="&amp;"2025-26")</f>
        <v>129.30000000000001</v>
      </c>
      <c r="G6" s="11">
        <f>AVERAGEIFS(Base_Enh_PR24Query!$I$2:$I$324, Base_Enh_PR24Query!$B$2:$B$324, 'Rates summary'!B6, Base_Enh_PR24Query!$C$2:$C$324, "&gt;="&amp;"2025-26")</f>
        <v>1.500707484008349E-3</v>
      </c>
      <c r="H6" s="239">
        <f>SUMIFS(Base_Enh_PR24Query!$F$2:$F$324, Base_Enh_PR24Query!$B$2:$B$324, 'Rates summary'!B6, Base_Enh_PR24Query!$C$2:$C$324, "&gt;="&amp;"2025-26")</f>
        <v>120.79999999999998</v>
      </c>
      <c r="I6" s="240">
        <f>AVERAGEIFS(Base_Enh_PR24Query!$J$2:$J$324, Base_Enh_PR24Query!$B$2:$B$324, 'Rates summary'!B6, Base_Enh_PR24Query!$C$2:$C$324, "&gt;="&amp;"2025-26")</f>
        <v>1.4019349267068038E-3</v>
      </c>
      <c r="J6" s="241" t="s">
        <v>506</v>
      </c>
      <c r="K6" s="240">
        <f>IF(J6 = "Reject", INDEX('PR09 vs PR24'!$R$36:$R$52, MATCH('Rates summary'!B6, 'PR09 vs PR24'!$Q$36:$Q$52, 0)), I6)</f>
        <v>3.0286503682779241E-3</v>
      </c>
    </row>
    <row r="7" spans="1:11">
      <c r="B7" s="9" t="s">
        <v>21</v>
      </c>
      <c r="C7" s="11">
        <f>INDEX('Renewal rates'!$V$5:$V$22, MATCH('Rates summary'!B7, 'Renewal rates'!$A$5:$A$22, 0))</f>
        <v>1.7813343790369408E-3</v>
      </c>
      <c r="D7" s="11">
        <f>INDEX('Renewal rates'!$U$5:$U$22, MATCH('Rates summary'!B7, 'Renewal rates'!$A$5:$A$22, 0))</f>
        <v>2.2903175911800264E-3</v>
      </c>
      <c r="E7" s="11">
        <f>INDEX('Renewal rates'!$W$5:$W$22, MATCH('Rates summary'!B7, 'Renewal rates'!$A$5:$A$22, 0))</f>
        <v>7.9294174304269033E-4</v>
      </c>
      <c r="F7" s="29">
        <f>SUMIFS(Base_Enh_PR24Query!$E$2:$E$324, Base_Enh_PR24Query!$B$2:$B$324, 'Rates summary'!B7, Base_Enh_PR24Query!$C$2:$C$324, "&gt;="&amp;"2025-26")</f>
        <v>992.99999999999989</v>
      </c>
      <c r="G7" s="11">
        <f>AVERAGEIFS(Base_Enh_PR24Query!$I$2:$I$324, Base_Enh_PR24Query!$B$2:$B$324, 'Rates summary'!B7, Base_Enh_PR24Query!$C$2:$C$324, "&gt;="&amp;"2025-26")</f>
        <v>4.9350526824890094E-3</v>
      </c>
      <c r="H7" s="13">
        <f>SUMIFS(Base_Enh_PR24Query!$F$2:$F$324, Base_Enh_PR24Query!$B$2:$B$324, 'Rates summary'!B7, Base_Enh_PR24Query!$C$2:$C$324, "&gt;="&amp;"2025-26")</f>
        <v>253.70000000000002</v>
      </c>
      <c r="I7" s="11">
        <f>AVERAGEIFS(Base_Enh_PR24Query!$J$2:$J$324, Base_Enh_PR24Query!$B$2:$B$324, 'Rates summary'!B7, Base_Enh_PR24Query!$C$2:$C$324, "&gt;="&amp;"2025-26")</f>
        <v>1.2603768433730772E-3</v>
      </c>
      <c r="J7" s="183" t="s">
        <v>506</v>
      </c>
      <c r="K7" s="11">
        <f>IF(J7 = "Reject", INDEX('PR09 vs PR24'!$R$36:$R$52, MATCH('Rates summary'!B7, 'PR09 vs PR24'!$Q$36:$Q$52, 0)), I7)</f>
        <v>3.0286503682779241E-3</v>
      </c>
    </row>
    <row r="8" spans="1:11">
      <c r="B8" s="9" t="s">
        <v>34</v>
      </c>
      <c r="C8" s="11">
        <f>INDEX('Renewal rates'!$V$5:$V$22, MATCH('Rates summary'!B8, 'Renewal rates'!$A$5:$A$22, 0))</f>
        <v>4.5077387740029449E-3</v>
      </c>
      <c r="D8" s="11">
        <f>INDEX('Renewal rates'!$U$5:$U$22, MATCH('Rates summary'!B8, 'Renewal rates'!$A$5:$A$22, 0))</f>
        <v>5.5622391849048892E-3</v>
      </c>
      <c r="E8" s="11">
        <f>INDEX('Renewal rates'!$W$5:$W$22, MATCH('Rates summary'!B8, 'Renewal rates'!$A$5:$A$22, 0))</f>
        <v>2.1427040082916834E-3</v>
      </c>
      <c r="F8" s="29">
        <f>SUMIFS(Base_Enh_PR24Query!$E$2:$E$324, Base_Enh_PR24Query!$B$2:$B$324, 'Rates summary'!B8, Base_Enh_PR24Query!$C$2:$C$324, "&gt;="&amp;"2025-26")</f>
        <v>164.5</v>
      </c>
      <c r="G8" s="11">
        <f>AVERAGEIFS(Base_Enh_PR24Query!$I$2:$I$324, Base_Enh_PR24Query!$B$2:$B$324, 'Rates summary'!B8, Base_Enh_PR24Query!$C$2:$C$324, "&gt;="&amp;"2025-26")</f>
        <v>4.6639925175861159E-3</v>
      </c>
      <c r="H8" s="13">
        <f>SUMIFS(Base_Enh_PR24Query!$F$2:$F$324, Base_Enh_PR24Query!$B$2:$B$324, 'Rates summary'!B8, Base_Enh_PR24Query!$C$2:$C$324, "&gt;="&amp;"2025-26")</f>
        <v>98.3</v>
      </c>
      <c r="I8" s="11">
        <f>AVERAGEIFS(Base_Enh_PR24Query!$J$2:$J$324, Base_Enh_PR24Query!$B$2:$B$324, 'Rates summary'!B8, Base_Enh_PR24Query!$C$2:$C$324, "&gt;="&amp;"2025-26")</f>
        <v>2.7872601661663664E-3</v>
      </c>
      <c r="J8" s="183" t="s">
        <v>506</v>
      </c>
      <c r="K8" s="11">
        <f>IF(J8 = "Reject", INDEX('PR09 vs PR24'!$R$36:$R$52, MATCH('Rates summary'!B8, 'PR09 vs PR24'!$Q$36:$Q$52, 0)), I8)</f>
        <v>3.0286503682779241E-3</v>
      </c>
    </row>
    <row r="9" spans="1:11">
      <c r="B9" s="9" t="s">
        <v>81</v>
      </c>
      <c r="C9" s="11">
        <f>INDEX('Renewal rates'!$V$5:$V$22, MATCH('Rates summary'!B9, 'Renewal rates'!$A$5:$A$22, 0))</f>
        <v>3.776483715038467E-3</v>
      </c>
      <c r="D9" s="11">
        <f>INDEX('Renewal rates'!$U$5:$U$22, MATCH('Rates summary'!B9, 'Renewal rates'!$A$5:$A$22, 0))</f>
        <v>4.4568563001102677E-3</v>
      </c>
      <c r="E9" s="11">
        <f>INDEX('Renewal rates'!$W$5:$W$22, MATCH('Rates summary'!B9, 'Renewal rates'!$A$5:$A$22, 0))</f>
        <v>1.9588716456078905E-3</v>
      </c>
      <c r="F9" s="29">
        <f>SUMIFS(Base_Enh_PR24Query!$E$2:$E$324, Base_Enh_PR24Query!$B$2:$B$324, 'Rates summary'!B9, Base_Enh_PR24Query!$C$2:$C$324, "&gt;="&amp;"2025-26")</f>
        <v>68</v>
      </c>
      <c r="G9" s="11">
        <f>AVERAGEIFS(Base_Enh_PR24Query!$I$2:$I$324, Base_Enh_PR24Query!$B$2:$B$324, 'Rates summary'!B9, Base_Enh_PR24Query!$C$2:$C$324, "&gt;="&amp;"2025-26")</f>
        <v>5.119994866575695E-3</v>
      </c>
      <c r="H9" s="13">
        <f>SUMIFS(Base_Enh_PR24Query!$F$2:$F$324, Base_Enh_PR24Query!$B$2:$B$324, 'Rates summary'!B9, Base_Enh_PR24Query!$C$2:$C$324, "&gt;="&amp;"2025-26")</f>
        <v>51.15</v>
      </c>
      <c r="I9" s="11">
        <f>AVERAGEIFS(Base_Enh_PR24Query!$J$2:$J$324, Base_Enh_PR24Query!$B$2:$B$324, 'Rates summary'!B9, Base_Enh_PR24Query!$C$2:$C$324, "&gt;="&amp;"2025-26")</f>
        <v>3.8510707757935829E-3</v>
      </c>
      <c r="J9" s="183" t="s">
        <v>670</v>
      </c>
      <c r="K9" s="11">
        <f>IF(J9 = "Reject", INDEX('PR09 vs PR24'!$R$36:$R$52, MATCH('Rates summary'!B9, 'PR09 vs PR24'!$Q$36:$Q$52, 0)), I9)</f>
        <v>3.8510707757935829E-3</v>
      </c>
    </row>
    <row r="10" spans="1:11">
      <c r="B10" s="9" t="s">
        <v>38</v>
      </c>
      <c r="C10" s="11">
        <f>INDEX('Renewal rates'!$V$5:$V$22, MATCH('Rates summary'!B10, 'Renewal rates'!$A$5:$A$22, 0))</f>
        <v>3.2025933418636729E-3</v>
      </c>
      <c r="D10" s="11">
        <f>INDEX('Renewal rates'!$U$5:$U$22, MATCH('Rates summary'!B10, 'Renewal rates'!$A$5:$A$22, 0))</f>
        <v>4.0088045319519195E-3</v>
      </c>
      <c r="E10" s="11">
        <f>INDEX('Renewal rates'!$W$5:$W$22, MATCH('Rates summary'!B10, 'Renewal rates'!$A$5:$A$22, 0))</f>
        <v>1.4703520779023953E-3</v>
      </c>
      <c r="F10" s="29">
        <f>SUMIFS(Base_Enh_PR24Query!$E$2:$E$324, Base_Enh_PR24Query!$B$2:$B$324, 'Rates summary'!B10, Base_Enh_PR24Query!$C$2:$C$324, "&gt;="&amp;"2025-26")</f>
        <v>589.29</v>
      </c>
      <c r="G10" s="11">
        <f>AVERAGEIFS(Base_Enh_PR24Query!$I$2:$I$324, Base_Enh_PR24Query!$B$2:$B$324, 'Rates summary'!B10, Base_Enh_PR24Query!$C$2:$C$324, "&gt;="&amp;"2025-26")</f>
        <v>4.3682958165029585E-3</v>
      </c>
      <c r="H10" s="13">
        <f>SUMIFS(Base_Enh_PR24Query!$F$2:$F$324, Base_Enh_PR24Query!$B$2:$B$324, 'Rates summary'!B10, Base_Enh_PR24Query!$C$2:$C$324, "&gt;="&amp;"2025-26")</f>
        <v>274.69</v>
      </c>
      <c r="I10" s="11">
        <f>AVERAGEIFS(Base_Enh_PR24Query!$J$2:$J$324, Base_Enh_PR24Query!$B$2:$B$324, 'Rates summary'!B10, Base_Enh_PR24Query!$C$2:$C$324, "&gt;="&amp;"2025-26")</f>
        <v>2.0365152643763386E-3</v>
      </c>
      <c r="J10" s="183" t="s">
        <v>506</v>
      </c>
      <c r="K10" s="11">
        <f>IF(J10 = "Reject", INDEX('PR09 vs PR24'!$R$36:$R$52, MATCH('Rates summary'!B10, 'PR09 vs PR24'!$Q$36:$Q$52, 0)), I10)</f>
        <v>3.0286503682779241E-3</v>
      </c>
    </row>
    <row r="11" spans="1:11">
      <c r="B11" s="9" t="s">
        <v>50</v>
      </c>
      <c r="C11" s="11">
        <f>INDEX('Renewal rates'!$V$5:$V$22, MATCH('Rates summary'!B11, 'Renewal rates'!$A$5:$A$22, 0))</f>
        <v>4.2832947567652012E-4</v>
      </c>
      <c r="D11" s="11">
        <f>INDEX('Renewal rates'!$U$5:$U$22, MATCH('Rates summary'!B11, 'Renewal rates'!$A$5:$A$22, 0))</f>
        <v>5.4920474914718837E-4</v>
      </c>
      <c r="E11" s="11">
        <f>INDEX('Renewal rates'!$W$5:$W$22, MATCH('Rates summary'!B11, 'Renewal rates'!$A$5:$A$22, 0))</f>
        <v>1.9573989639873806E-4</v>
      </c>
      <c r="F11" s="29">
        <f>SUMIFS(Base_Enh_PR24Query!$E$2:$E$324, Base_Enh_PR24Query!$B$2:$B$324, 'Rates summary'!B11, Base_Enh_PR24Query!$C$2:$C$324, "&gt;="&amp;"2025-26")</f>
        <v>927.82153137441992</v>
      </c>
      <c r="G11" s="11">
        <f>AVERAGEIFS(Base_Enh_PR24Query!$I$2:$I$324, Base_Enh_PR24Query!$B$2:$B$324, 'Rates summary'!B11, Base_Enh_PR24Query!$C$2:$C$324, "&gt;="&amp;"2025-26")</f>
        <v>4.2405657098925301E-3</v>
      </c>
      <c r="H11" s="13">
        <f>SUMIFS(Base_Enh_PR24Query!$F$2:$F$324, Base_Enh_PR24Query!$B$2:$B$324, 'Rates summary'!B11, Base_Enh_PR24Query!$C$2:$C$324, "&gt;="&amp;"2025-26")</f>
        <v>220.03198487119124</v>
      </c>
      <c r="I11" s="11">
        <f>AVERAGEIFS(Base_Enh_PR24Query!$J$2:$J$324, Base_Enh_PR24Query!$B$2:$B$324, 'Rates summary'!B11, Base_Enh_PR24Query!$C$2:$C$324, "&gt;="&amp;"2025-26")</f>
        <v>1.006068864049407E-3</v>
      </c>
      <c r="J11" s="183" t="s">
        <v>506</v>
      </c>
      <c r="K11" s="11">
        <f>IF(J11 = "Reject", INDEX('PR09 vs PR24'!$R$36:$R$52, MATCH('Rates summary'!B11, 'PR09 vs PR24'!$Q$36:$Q$52, 0)), I11)</f>
        <v>3.0286503682779241E-3</v>
      </c>
    </row>
    <row r="12" spans="1:11">
      <c r="B12" s="9" t="s">
        <v>39</v>
      </c>
      <c r="C12" s="11">
        <f>INDEX('Renewal rates'!$V$5:$V$22, MATCH('Rates summary'!B12, 'Renewal rates'!$A$5:$A$22, 0))</f>
        <v>5.2035181105998182E-3</v>
      </c>
      <c r="D12" s="11">
        <f>INDEX('Renewal rates'!$U$5:$U$22, MATCH('Rates summary'!B12, 'Renewal rates'!$A$5:$A$22, 0))</f>
        <v>5.896769320277489E-3</v>
      </c>
      <c r="E12" s="11">
        <f>INDEX('Renewal rates'!$W$5:$W$22, MATCH('Rates summary'!B12, 'Renewal rates'!$A$5:$A$22, 0))</f>
        <v>3.6813626263308705E-3</v>
      </c>
      <c r="F12" s="29">
        <f>SUMIFS(Base_Enh_PR24Query!$E$2:$E$324, Base_Enh_PR24Query!$B$2:$B$324, 'Rates summary'!B12, Base_Enh_PR24Query!$C$2:$C$324, "&gt;="&amp;"2025-26")</f>
        <v>41</v>
      </c>
      <c r="G12" s="11">
        <f>AVERAGEIFS(Base_Enh_PR24Query!$I$2:$I$324, Base_Enh_PR24Query!$B$2:$B$324, 'Rates summary'!B12, Base_Enh_PR24Query!$C$2:$C$324, "&gt;="&amp;"2025-26")</f>
        <v>2.3878653796601101E-3</v>
      </c>
      <c r="H12" s="13">
        <f>SUMIFS(Base_Enh_PR24Query!$F$2:$F$324, Base_Enh_PR24Query!$B$2:$B$324, 'Rates summary'!B12, Base_Enh_PR24Query!$C$2:$C$324, "&gt;="&amp;"2025-26")</f>
        <v>41</v>
      </c>
      <c r="I12" s="11">
        <f>AVERAGEIFS(Base_Enh_PR24Query!$J$2:$J$324, Base_Enh_PR24Query!$B$2:$B$324, 'Rates summary'!B12, Base_Enh_PR24Query!$C$2:$C$324, "&gt;="&amp;"2025-26")</f>
        <v>2.3878653796601101E-3</v>
      </c>
      <c r="J12" s="183" t="s">
        <v>506</v>
      </c>
      <c r="K12" s="11">
        <f>IF(J12 = "Reject", INDEX('PR09 vs PR24'!$R$36:$R$52, MATCH('Rates summary'!B12, 'PR09 vs PR24'!$Q$36:$Q$52, 0)), I12)</f>
        <v>3.0286503682779241E-3</v>
      </c>
    </row>
    <row r="13" spans="1:11">
      <c r="B13" s="9" t="s">
        <v>41</v>
      </c>
      <c r="C13" s="11">
        <f>INDEX('Renewal rates'!$V$5:$V$22, MATCH('Rates summary'!B13, 'Renewal rates'!$A$5:$A$22, 0))</f>
        <v>4.7035468754050222E-3</v>
      </c>
      <c r="D13" s="11">
        <f>INDEX('Renewal rates'!$U$5:$U$22, MATCH('Rates summary'!B13, 'Renewal rates'!$A$5:$A$22, 0))</f>
        <v>5.4738966800897352E-3</v>
      </c>
      <c r="E13" s="11">
        <f>INDEX('Renewal rates'!$W$5:$W$22, MATCH('Rates summary'!B13, 'Renewal rates'!$A$5:$A$22, 0))</f>
        <v>2.8818713253610851E-3</v>
      </c>
      <c r="F13" s="29">
        <f>SUMIFS(Base_Enh_PR24Query!$E$2:$E$324, Base_Enh_PR24Query!$B$2:$B$324, 'Rates summary'!B13, Base_Enh_PR24Query!$C$2:$C$324, "&gt;="&amp;"2025-26")</f>
        <v>53.240958055427051</v>
      </c>
      <c r="G13" s="11">
        <f>AVERAGEIFS(Base_Enh_PR24Query!$I$2:$I$324, Base_Enh_PR24Query!$B$2:$B$324, 'Rates summary'!B13, Base_Enh_PR24Query!$C$2:$C$324, "&gt;="&amp;"2025-26")</f>
        <v>2.9954274694671259E-3</v>
      </c>
      <c r="H13" s="13">
        <f>SUMIFS(Base_Enh_PR24Query!$F$2:$F$324, Base_Enh_PR24Query!$B$2:$B$324, 'Rates summary'!B13, Base_Enh_PR24Query!$C$2:$C$324, "&gt;="&amp;"2025-26")</f>
        <v>53.240958055427051</v>
      </c>
      <c r="I13" s="11">
        <f>AVERAGEIFS(Base_Enh_PR24Query!$J$2:$J$324, Base_Enh_PR24Query!$B$2:$B$324, 'Rates summary'!B13, Base_Enh_PR24Query!$C$2:$C$324, "&gt;="&amp;"2025-26")</f>
        <v>2.9954274694671259E-3</v>
      </c>
      <c r="J13" s="183" t="s">
        <v>670</v>
      </c>
      <c r="K13" s="11">
        <f>IF(J13 = "Reject", INDEX('PR09 vs PR24'!$R$36:$R$52, MATCH('Rates summary'!B13, 'PR09 vs PR24'!$Q$36:$Q$52, 0)), I13)</f>
        <v>2.9954274694671259E-3</v>
      </c>
    </row>
    <row r="14" spans="1:11">
      <c r="B14" s="9" t="s">
        <v>42</v>
      </c>
      <c r="C14" s="11">
        <f>INDEX('Renewal rates'!$V$5:$V$22, MATCH('Rates summary'!B14, 'Renewal rates'!$A$5:$A$22, 0))</f>
        <v>1.876982436929661E-3</v>
      </c>
      <c r="D14" s="11">
        <f>INDEX('Renewal rates'!$U$5:$U$22, MATCH('Rates summary'!B14, 'Renewal rates'!$A$5:$A$22, 0))</f>
        <v>2.3730563790325711E-3</v>
      </c>
      <c r="E14" s="11">
        <f>INDEX('Renewal rates'!$W$5:$W$22, MATCH('Rates summary'!B14, 'Renewal rates'!$A$5:$A$22, 0))</f>
        <v>8.2258088088751435E-4</v>
      </c>
      <c r="F14" s="29">
        <f>SUMIFS(Base_Enh_PR24Query!$E$2:$E$324, Base_Enh_PR24Query!$B$2:$B$324, 'Rates summary'!B14, Base_Enh_PR24Query!$C$2:$C$324, "&gt;="&amp;"2025-26")</f>
        <v>319.08</v>
      </c>
      <c r="G14" s="11">
        <f>AVERAGEIFS(Base_Enh_PR24Query!$I$2:$I$324, Base_Enh_PR24Query!$B$2:$B$324, 'Rates summary'!B14, Base_Enh_PR24Query!$C$2:$C$324, "&gt;="&amp;"2025-26")</f>
        <v>4.1427738939428856E-3</v>
      </c>
      <c r="H14" s="13">
        <f>SUMIFS(Base_Enh_PR24Query!$F$2:$F$324, Base_Enh_PR24Query!$B$2:$B$324, 'Rates summary'!B14, Base_Enh_PR24Query!$C$2:$C$324, "&gt;="&amp;"2025-26")</f>
        <v>142.5</v>
      </c>
      <c r="I14" s="11">
        <f>AVERAGEIFS(Base_Enh_PR24Query!$J$2:$J$324, Base_Enh_PR24Query!$B$2:$B$324, 'Rates summary'!B14, Base_Enh_PR24Query!$C$2:$C$324, "&gt;="&amp;"2025-26")</f>
        <v>1.8501717440333309E-3</v>
      </c>
      <c r="J14" s="183" t="s">
        <v>506</v>
      </c>
      <c r="K14" s="11">
        <f>IF(J14 = "Reject", INDEX('PR09 vs PR24'!$R$36:$R$52, MATCH('Rates summary'!B14, 'PR09 vs PR24'!$Q$36:$Q$52, 0)), I14)</f>
        <v>3.0286503682779241E-3</v>
      </c>
    </row>
    <row r="15" spans="1:11">
      <c r="B15" s="9" t="s">
        <v>43</v>
      </c>
      <c r="C15" s="11">
        <f>INDEX('Renewal rates'!$V$5:$V$22, MATCH('Rates summary'!B15, 'Renewal rates'!$A$5:$A$22, 0))</f>
        <v>1.6075188568583706E-3</v>
      </c>
      <c r="D15" s="11">
        <f>INDEX('Renewal rates'!$U$5:$U$22, MATCH('Rates summary'!B15, 'Renewal rates'!$A$5:$A$22, 0))</f>
        <v>2.3717639523613398E-3</v>
      </c>
      <c r="E15" s="11">
        <f>INDEX('Renewal rates'!$W$5:$W$22, MATCH('Rates summary'!B15, 'Renewal rates'!$A$5:$A$22, 0))</f>
        <v>2.6848179645819334E-4</v>
      </c>
      <c r="F15" s="29">
        <f>SUMIFS(Base_Enh_PR24Query!$E$2:$E$324, Base_Enh_PR24Query!$B$2:$B$324, 'Rates summary'!B15, Base_Enh_PR24Query!$C$2:$C$324, "&gt;="&amp;"2025-26")</f>
        <v>421.5</v>
      </c>
      <c r="G15" s="11">
        <f>AVERAGEIFS(Base_Enh_PR24Query!$I$2:$I$324, Base_Enh_PR24Query!$B$2:$B$324, 'Rates summary'!B15, Base_Enh_PR24Query!$C$2:$C$324, "&gt;="&amp;"2025-26")</f>
        <v>5.8853135847032126E-3</v>
      </c>
      <c r="H15" s="13">
        <f>SUMIFS(Base_Enh_PR24Query!$F$2:$F$324, Base_Enh_PR24Query!$B$2:$B$324, 'Rates summary'!B15, Base_Enh_PR24Query!$C$2:$C$324, "&gt;="&amp;"2025-26")</f>
        <v>121.49999999999999</v>
      </c>
      <c r="I15" s="11">
        <f>AVERAGEIFS(Base_Enh_PR24Query!$J$2:$J$324, Base_Enh_PR24Query!$B$2:$B$324, 'Rates summary'!B15, Base_Enh_PR24Query!$C$2:$C$324, "&gt;="&amp;"2025-26")</f>
        <v>1.7034673180493973E-3</v>
      </c>
      <c r="J15" s="183" t="s">
        <v>506</v>
      </c>
      <c r="K15" s="11">
        <f>IF(J15 = "Reject", INDEX('PR09 vs PR24'!$R$36:$R$52, MATCH('Rates summary'!B15, 'PR09 vs PR24'!$Q$36:$Q$52, 0)), I15)</f>
        <v>4.0045993557379922E-3</v>
      </c>
    </row>
    <row r="16" spans="1:11">
      <c r="B16" s="9" t="s">
        <v>85</v>
      </c>
      <c r="C16" s="11">
        <f>INDEX('Renewal rates'!$V$5:$V$22, MATCH('Rates summary'!B16, 'Renewal rates'!$A$5:$A$22, 0))</f>
        <v>5.2800407601604803E-3</v>
      </c>
      <c r="D16" s="11">
        <f>INDEX('Renewal rates'!$U$5:$U$22, MATCH('Rates summary'!B16, 'Renewal rates'!$A$5:$A$22, 0))</f>
        <v>6.3937958241099373E-3</v>
      </c>
      <c r="E16" s="11">
        <f>INDEX('Renewal rates'!$W$5:$W$22, MATCH('Rates summary'!B16, 'Renewal rates'!$A$5:$A$22, 0))</f>
        <v>2.6180697101938488E-3</v>
      </c>
      <c r="F16" s="29">
        <f>SUMIFS(Base_Enh_PR24Query!$E$2:$E$324, Base_Enh_PR24Query!$B$2:$B$324, 'Rates summary'!B16, Base_Enh_PR24Query!$C$2:$C$324, "&gt;="&amp;"2025-26")</f>
        <v>250</v>
      </c>
      <c r="G16" s="11">
        <f>AVERAGEIFS(Base_Enh_PR24Query!$I$2:$I$324, Base_Enh_PR24Query!$B$2:$B$324, 'Rates summary'!B16, Base_Enh_PR24Query!$C$2:$C$324, "&gt;="&amp;"2025-26")</f>
        <v>5.6070605329919471E-3</v>
      </c>
      <c r="H16" s="13">
        <f>SUMIFS(Base_Enh_PR24Query!$F$2:$F$324, Base_Enh_PR24Query!$B$2:$B$324, 'Rates summary'!B16, Base_Enh_PR24Query!$C$2:$C$324, "&gt;="&amp;"2025-26")</f>
        <v>250</v>
      </c>
      <c r="I16" s="11">
        <f>AVERAGEIFS(Base_Enh_PR24Query!$J$2:$J$324, Base_Enh_PR24Query!$B$2:$B$324, 'Rates summary'!B16, Base_Enh_PR24Query!$C$2:$C$324, "&gt;="&amp;"2025-26")</f>
        <v>5.6070605329919471E-3</v>
      </c>
      <c r="J16" s="183" t="s">
        <v>670</v>
      </c>
      <c r="K16" s="11">
        <f>IF(J16 = "Reject", INDEX('PR09 vs PR24'!$R$36:$R$52, MATCH('Rates summary'!B16, 'PR09 vs PR24'!$Q$36:$Q$52, 0)), I16)</f>
        <v>5.6070605329919471E-3</v>
      </c>
    </row>
    <row r="17" spans="2:11">
      <c r="B17" s="9" t="s">
        <v>82</v>
      </c>
      <c r="C17" s="11">
        <f>INDEX('Renewal rates'!$V$5:$V$22, MATCH('Rates summary'!B17, 'Renewal rates'!$A$5:$A$22, 0))</f>
        <v>4.165821579818106E-3</v>
      </c>
      <c r="D17" s="11">
        <f>INDEX('Renewal rates'!$U$5:$U$22, MATCH('Rates summary'!B17, 'Renewal rates'!$A$5:$A$22, 0))</f>
        <v>4.9625296196332599E-3</v>
      </c>
      <c r="E17" s="11">
        <f>INDEX('Renewal rates'!$W$5:$W$22, MATCH('Rates summary'!B17, 'Renewal rates'!$A$5:$A$22, 0))</f>
        <v>2.4388363408029087E-3</v>
      </c>
      <c r="F17" s="29">
        <f>SUMIFS(Base_Enh_PR24Query!$E$2:$E$324, Base_Enh_PR24Query!$B$2:$B$324, 'Rates summary'!B17, Base_Enh_PR24Query!$C$2:$C$324, "&gt;="&amp;"2025-26")</f>
        <v>1395</v>
      </c>
      <c r="G17" s="11">
        <f>AVERAGEIFS(Base_Enh_PR24Query!$I$2:$I$324, Base_Enh_PR24Query!$B$2:$B$324, 'Rates summary'!B17, Base_Enh_PR24Query!$C$2:$C$324, "&gt;="&amp;"2025-26")</f>
        <v>5.7307383608504832E-3</v>
      </c>
      <c r="H17" s="13">
        <f>SUMIFS(Base_Enh_PR24Query!$F$2:$F$324, Base_Enh_PR24Query!$B$2:$B$324, 'Rates summary'!B17, Base_Enh_PR24Query!$C$2:$C$324, "&gt;="&amp;"2025-26")</f>
        <v>930</v>
      </c>
      <c r="I17" s="11">
        <f>AVERAGEIFS(Base_Enh_PR24Query!$J$2:$J$324, Base_Enh_PR24Query!$B$2:$B$324, 'Rates summary'!B17, Base_Enh_PR24Query!$C$2:$C$324, "&gt;="&amp;"2025-26")</f>
        <v>3.8204922405669891E-3</v>
      </c>
      <c r="J17" s="183" t="s">
        <v>670</v>
      </c>
      <c r="K17" s="11">
        <f>IF(J17 = "Reject", INDEX('PR09 vs PR24'!$R$36:$R$52, MATCH('Rates summary'!B17, 'PR09 vs PR24'!$Q$36:$Q$52, 0)), I17)</f>
        <v>3.8204922405669891E-3</v>
      </c>
    </row>
    <row r="18" spans="2:11">
      <c r="B18" s="9" t="s">
        <v>83</v>
      </c>
      <c r="C18" s="11">
        <f>INDEX('Renewal rates'!$V$5:$V$22, MATCH('Rates summary'!B18, 'Renewal rates'!$A$5:$A$22, 0))</f>
        <v>1.1114758203153504E-3</v>
      </c>
      <c r="D18" s="11">
        <f>INDEX('Renewal rates'!$U$5:$U$22, MATCH('Rates summary'!B18, 'Renewal rates'!$A$5:$A$22, 0))</f>
        <v>1.3693841253197335E-3</v>
      </c>
      <c r="E18" s="11">
        <f>INDEX('Renewal rates'!$W$5:$W$22, MATCH('Rates summary'!B18, 'Renewal rates'!$A$5:$A$22, 0))</f>
        <v>5.881323490345737E-4</v>
      </c>
      <c r="F18" s="29">
        <f>SUMIFS(Base_Enh_PR24Query!$E$2:$E$324, Base_Enh_PR24Query!$B$2:$B$324, 'Rates summary'!B18, Base_Enh_PR24Query!$C$2:$C$324, "&gt;="&amp;"2025-26")</f>
        <v>180</v>
      </c>
      <c r="G18" s="11">
        <f>AVERAGEIFS(Base_Enh_PR24Query!$I$2:$I$324, Base_Enh_PR24Query!$B$2:$B$324, 'Rates summary'!B18, Base_Enh_PR24Query!$C$2:$C$324, "&gt;="&amp;"2025-26")</f>
        <v>1.9189121508021677E-3</v>
      </c>
      <c r="H18" s="13">
        <f>SUMIFS(Base_Enh_PR24Query!$F$2:$F$324, Base_Enh_PR24Query!$B$2:$B$324, 'Rates summary'!B18, Base_Enh_PR24Query!$C$2:$C$324, "&gt;="&amp;"2025-26")</f>
        <v>50.5</v>
      </c>
      <c r="I18" s="11">
        <f>AVERAGEIFS(Base_Enh_PR24Query!$J$2:$J$324, Base_Enh_PR24Query!$B$2:$B$324, 'Rates summary'!B18, Base_Enh_PR24Query!$C$2:$C$324, "&gt;="&amp;"2025-26")</f>
        <v>5.3836146453060821E-4</v>
      </c>
      <c r="J18" s="183" t="s">
        <v>506</v>
      </c>
      <c r="K18" s="11">
        <f>IF(J18 = "Reject", INDEX('PR09 vs PR24'!$R$36:$R$52, MATCH('Rates summary'!B18, 'PR09 vs PR24'!$Q$36:$Q$52, 0)), I18)</f>
        <v>3.0286503682779241E-3</v>
      </c>
    </row>
    <row r="19" spans="2:11">
      <c r="B19" s="9" t="s">
        <v>48</v>
      </c>
      <c r="C19" s="11">
        <f>INDEX('Renewal rates'!$V$5:$V$22, MATCH('Rates summary'!B19, 'Renewal rates'!$A$5:$A$22, 0))</f>
        <v>1.7083326131556978E-3</v>
      </c>
      <c r="D19" s="11">
        <f>INDEX('Renewal rates'!$U$5:$U$22, MATCH('Rates summary'!B19, 'Renewal rates'!$A$5:$A$22, 0))</f>
        <v>1.8550355348983037E-3</v>
      </c>
      <c r="E19" s="11">
        <f>INDEX('Renewal rates'!$W$5:$W$22, MATCH('Rates summary'!B19, 'Renewal rates'!$A$5:$A$22, 0))</f>
        <v>1.2887669176873356E-3</v>
      </c>
      <c r="F19" s="29">
        <f>SUMIFS(Base_Enh_PR24Query!$E$2:$E$324, Base_Enh_PR24Query!$B$2:$B$324, 'Rates summary'!B19, Base_Enh_PR24Query!$C$2:$C$324, "&gt;="&amp;"2025-26")</f>
        <v>500</v>
      </c>
      <c r="G19" s="11">
        <f>AVERAGEIFS(Base_Enh_PR24Query!$I$2:$I$324, Base_Enh_PR24Query!$B$2:$B$324, 'Rates summary'!B19, Base_Enh_PR24Query!$C$2:$C$324, "&gt;="&amp;"2025-26")</f>
        <v>3.0887442565540359E-3</v>
      </c>
      <c r="H19" s="13">
        <f>SUMIFS(Base_Enh_PR24Query!$F$2:$F$324, Base_Enh_PR24Query!$B$2:$B$324, 'Rates summary'!B19, Base_Enh_PR24Query!$C$2:$C$324, "&gt;="&amp;"2025-26")</f>
        <v>274.44244229506705</v>
      </c>
      <c r="I19" s="11">
        <f>AVERAGEIFS(Base_Enh_PR24Query!$J$2:$J$324, Base_Enh_PR24Query!$B$2:$B$324, 'Rates summary'!B19, Base_Enh_PR24Query!$C$2:$C$324, "&gt;="&amp;"2025-26")</f>
        <v>1.697279321273728E-3</v>
      </c>
      <c r="J19" s="183" t="s">
        <v>506</v>
      </c>
      <c r="K19" s="11">
        <f>IF(J19 = "Reject", INDEX('PR09 vs PR24'!$R$36:$R$52, MATCH('Rates summary'!B19, 'PR09 vs PR24'!$Q$36:$Q$52, 0)), I19)</f>
        <v>3.0286503682779241E-3</v>
      </c>
    </row>
    <row r="20" spans="2:11">
      <c r="B20" s="9" t="s">
        <v>51</v>
      </c>
      <c r="C20" s="11">
        <f>INDEX('Renewal rates'!$V$5:$V$22, MATCH('Rates summary'!B20, 'Renewal rates'!$A$5:$A$22, 0))</f>
        <v>2.2565079057646764E-3</v>
      </c>
      <c r="D20" s="11">
        <f>INDEX('Renewal rates'!$U$5:$U$22, MATCH('Rates summary'!B20, 'Renewal rates'!$A$5:$A$22, 0))</f>
        <v>3.0853731475898138E-3</v>
      </c>
      <c r="E20" s="11">
        <f>INDEX('Renewal rates'!$W$5:$W$22, MATCH('Rates summary'!B20, 'Renewal rates'!$A$5:$A$22, 0))</f>
        <v>5.5354666341903295E-4</v>
      </c>
      <c r="F20" s="29">
        <f>SUMIFS(Base_Enh_PR24Query!$E$2:$E$324, Base_Enh_PR24Query!$B$2:$B$324, 'Rates summary'!B20, Base_Enh_PR24Query!$C$2:$C$324, "&gt;="&amp;"2025-26")</f>
        <v>306.40000000000003</v>
      </c>
      <c r="G20" s="11">
        <f>AVERAGEIFS(Base_Enh_PR24Query!$I$2:$I$324, Base_Enh_PR24Query!$B$2:$B$324, 'Rates summary'!B20, Base_Enh_PR24Query!$C$2:$C$324, "&gt;="&amp;"2025-26")</f>
        <v>2.1757480521194467E-3</v>
      </c>
      <c r="H20" s="13">
        <f>SUMIFS(Base_Enh_PR24Query!$F$2:$F$324, Base_Enh_PR24Query!$B$2:$B$324, 'Rates summary'!B20, Base_Enh_PR24Query!$C$2:$C$324, "&gt;="&amp;"2025-26")</f>
        <v>30.400000000000002</v>
      </c>
      <c r="I20" s="11">
        <f>AVERAGEIFS(Base_Enh_PR24Query!$J$2:$J$324, Base_Enh_PR24Query!$B$2:$B$324, 'Rates summary'!B20, Base_Enh_PR24Query!$C$2:$C$324, "&gt;="&amp;"2025-26")</f>
        <v>2.1590051074397819E-4</v>
      </c>
      <c r="J20" s="183" t="s">
        <v>506</v>
      </c>
      <c r="K20" s="11">
        <f>IF(J20 = "Reject", INDEX('PR09 vs PR24'!$R$36:$R$52, MATCH('Rates summary'!B20, 'PR09 vs PR24'!$Q$36:$Q$52, 0)), I20)</f>
        <v>3.3424928788226772E-3</v>
      </c>
    </row>
    <row r="21" spans="2:11">
      <c r="B21" s="9" t="s">
        <v>52</v>
      </c>
      <c r="C21" s="11">
        <f>INDEX('Renewal rates'!$V$5:$V$22, MATCH('Rates summary'!B21, 'Renewal rates'!$A$5:$A$22, 0))</f>
        <v>3.8110060084832064E-3</v>
      </c>
      <c r="D21" s="11">
        <f>INDEX('Renewal rates'!$U$5:$U$22, MATCH('Rates summary'!B21, 'Renewal rates'!$A$5:$A$22, 0))</f>
        <v>4.7075606567170579E-3</v>
      </c>
      <c r="E21" s="11">
        <f>INDEX('Renewal rates'!$W$5:$W$22, MATCH('Rates summary'!B21, 'Renewal rates'!$A$5:$A$22, 0))</f>
        <v>1.9369803267525547E-3</v>
      </c>
      <c r="F21" s="29">
        <f>SUMIFS(Base_Enh_PR24Query!$E$2:$E$324, Base_Enh_PR24Query!$B$2:$B$324, 'Rates summary'!B21, Base_Enh_PR24Query!$C$2:$C$324, "&gt;="&amp;"2025-26")</f>
        <v>245</v>
      </c>
      <c r="G21" s="11">
        <f>AVERAGEIFS(Base_Enh_PR24Query!$I$2:$I$324, Base_Enh_PR24Query!$B$2:$B$324, 'Rates summary'!B21, Base_Enh_PR24Query!$C$2:$C$324, "&gt;="&amp;"2025-26")</f>
        <v>3.9947324136856309E-3</v>
      </c>
      <c r="H21" s="13">
        <f>SUMIFS(Base_Enh_PR24Query!$F$2:$F$324, Base_Enh_PR24Query!$B$2:$B$324, 'Rates summary'!B21, Base_Enh_PR24Query!$C$2:$C$324, "&gt;="&amp;"2025-26")</f>
        <v>147.19559999999998</v>
      </c>
      <c r="I21" s="11">
        <f>AVERAGEIFS(Base_Enh_PR24Query!$J$2:$J$324, Base_Enh_PR24Query!$B$2:$B$324, 'Rates summary'!B21, Base_Enh_PR24Query!$C$2:$C$324, "&gt;="&amp;"2025-26")</f>
        <v>2.3999999999999998E-3</v>
      </c>
      <c r="J21" s="183" t="s">
        <v>506</v>
      </c>
      <c r="K21" s="11">
        <f>IF(J21 = "Reject", INDEX('PR09 vs PR24'!$R$36:$R$52, MATCH('Rates summary'!B21, 'PR09 vs PR24'!$Q$36:$Q$52, 0)), I21)</f>
        <v>3.0286503682779241E-3</v>
      </c>
    </row>
    <row r="22" spans="2:11">
      <c r="B22" s="14" t="s">
        <v>53</v>
      </c>
      <c r="C22" s="11">
        <f>INDEX('Renewal rates'!$V$5:$V$22, MATCH('Rates summary'!B22, 'Renewal rates'!$A$5:$A$22, 0))</f>
        <v>1.3568322138848843E-3</v>
      </c>
      <c r="D22" s="11">
        <f>INDEX('Renewal rates'!$U$5:$U$22, MATCH('Rates summary'!B22, 'Renewal rates'!$A$5:$A$22, 0))</f>
        <v>1.7435651723753981E-3</v>
      </c>
      <c r="E22" s="11">
        <f>INDEX('Renewal rates'!$W$5:$W$22, MATCH('Rates summary'!B22, 'Renewal rates'!$A$5:$A$22, 0))</f>
        <v>5.3290339347015613E-4</v>
      </c>
      <c r="F22" s="29">
        <f>SUMIFS(Base_Enh_PR24Query!$E$2:$E$324, Base_Enh_PR24Query!$B$2:$B$324, 'Rates summary'!B22, Base_Enh_PR24Query!$C$2:$C$324, "&gt;="&amp;"2025-26")</f>
        <v>1082.2317000000003</v>
      </c>
      <c r="G22" s="11">
        <f>AVERAGEIFS(Base_Enh_PR24Query!$I$2:$I$324, Base_Enh_PR24Query!$B$2:$B$324, 'Rates summary'!B22, Base_Enh_PR24Query!$C$2:$C$324, "&gt;="&amp;"2025-26")</f>
        <v>6.6E-3</v>
      </c>
      <c r="H22" s="13">
        <f>SUMIFS(Base_Enh_PR24Query!$F$2:$F$324, Base_Enh_PR24Query!$B$2:$B$324, 'Rates summary'!B22, Base_Enh_PR24Query!$C$2:$C$324, "&gt;="&amp;"2025-26")</f>
        <v>336.14772500000004</v>
      </c>
      <c r="I22" s="11">
        <f>AVERAGEIFS(Base_Enh_PR24Query!$J$2:$J$324, Base_Enh_PR24Query!$B$2:$B$324, 'Rates summary'!B22, Base_Enh_PR24Query!$C$2:$C$324, "&gt;="&amp;"2025-26")</f>
        <v>2.0500000000000002E-3</v>
      </c>
      <c r="J22" s="183" t="s">
        <v>506</v>
      </c>
      <c r="K22" s="11">
        <f>IF(J22 = "Reject", INDEX('PR09 vs PR24'!$R$36:$R$52, MATCH('Rates summary'!B22, 'PR09 vs PR24'!$Q$36:$Q$52, 0)), I22)</f>
        <v>4.4509808724049532E-3</v>
      </c>
    </row>
    <row r="23" spans="2:11">
      <c r="B23" s="15" t="s">
        <v>20</v>
      </c>
      <c r="C23" s="17">
        <f>AVERAGE(C6:C22)</f>
        <v>3.0286503682779241E-3</v>
      </c>
      <c r="D23" s="17">
        <f>AVERAGE(D6:D22)</f>
        <v>3.7495817645945831E-3</v>
      </c>
      <c r="E23" s="17">
        <f>AVERAGE(E6:E22)</f>
        <v>1.4666846162930747E-3</v>
      </c>
      <c r="F23" s="16">
        <f>SUM(F6:F22)</f>
        <v>7665.3641894298471</v>
      </c>
      <c r="G23" s="17">
        <f>AVERAGE(G6:G22)</f>
        <v>4.079760304225394E-3</v>
      </c>
      <c r="H23" s="16">
        <f>SUM(H6:H22)</f>
        <v>3395.5987102216859</v>
      </c>
      <c r="I23" s="18">
        <f>AVERAGE(I6:I22)</f>
        <v>2.2123089895166349E-3</v>
      </c>
      <c r="J23" s="18"/>
      <c r="K23" s="18">
        <f>AVERAGE(K6:K22)</f>
        <v>3.4328604593273238E-3</v>
      </c>
    </row>
  </sheetData>
  <mergeCells count="3">
    <mergeCell ref="F4:G4"/>
    <mergeCell ref="C4:E4"/>
    <mergeCell ref="H4:K4"/>
  </mergeCells>
  <conditionalFormatting sqref="J6:J22">
    <cfRule type="cellIs" dxfId="1" priority="1" operator="equal">
      <formula>"Accept"</formula>
    </cfRule>
    <cfRule type="cellIs" dxfId="0" priority="2" operator="equal">
      <formula>"Reject"</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70B63-BC70-4ABE-A5E8-3430EF833CD0}">
  <sheetPr>
    <tabColor rgb="FF98C561"/>
  </sheetPr>
  <dimension ref="A1:J26"/>
  <sheetViews>
    <sheetView zoomScale="80" zoomScaleNormal="80" workbookViewId="0"/>
  </sheetViews>
  <sheetFormatPr defaultRowHeight="14.25"/>
  <cols>
    <col min="1" max="1" width="16.28515625" customWidth="1"/>
    <col min="2" max="2" width="13.5703125" customWidth="1"/>
    <col min="3" max="3" width="10.85546875" customWidth="1"/>
    <col min="4" max="5" width="14.140625" customWidth="1"/>
    <col min="6" max="6" width="15" customWidth="1"/>
    <col min="7" max="7" width="17.7109375" customWidth="1"/>
    <col min="8" max="8" width="16.85546875" customWidth="1"/>
    <col min="9" max="9" width="14.7109375" customWidth="1"/>
    <col min="10" max="10" width="11.42578125" customWidth="1"/>
    <col min="11" max="11" width="13.85546875" customWidth="1"/>
    <col min="12" max="12" width="12" bestFit="1" customWidth="1"/>
    <col min="13" max="13" width="11.5703125" customWidth="1"/>
  </cols>
  <sheetData>
    <row r="1" spans="1:9" s="5" customFormat="1" ht="16.149999999999999">
      <c r="A1" s="4" t="s">
        <v>671</v>
      </c>
    </row>
    <row r="2" spans="1:9">
      <c r="D2" s="24"/>
    </row>
    <row r="3" spans="1:9" s="85" customFormat="1" ht="57">
      <c r="A3" s="83"/>
      <c r="B3" s="83" t="s">
        <v>672</v>
      </c>
      <c r="C3" s="83" t="s">
        <v>673</v>
      </c>
      <c r="D3" s="84"/>
    </row>
    <row r="4" spans="1:9">
      <c r="A4" s="1" t="s">
        <v>535</v>
      </c>
      <c r="B4" s="27">
        <v>300</v>
      </c>
      <c r="C4" s="27">
        <v>1180</v>
      </c>
      <c r="D4" s="24"/>
    </row>
    <row r="5" spans="1:9" ht="57" customHeight="1">
      <c r="A5" s="310" t="s">
        <v>523</v>
      </c>
      <c r="B5" s="309" t="s">
        <v>674</v>
      </c>
      <c r="C5" s="309" t="s">
        <v>675</v>
      </c>
      <c r="D5" s="24"/>
    </row>
    <row r="6" spans="1:9" ht="47.25" customHeight="1">
      <c r="A6" s="311"/>
      <c r="B6" s="309"/>
      <c r="C6" s="309"/>
      <c r="D6" s="24"/>
    </row>
    <row r="7" spans="1:9" ht="16.149999999999999">
      <c r="B7" s="5"/>
      <c r="C7" s="5"/>
      <c r="D7" s="5"/>
      <c r="E7" s="5"/>
    </row>
    <row r="8" spans="1:9" ht="60.75" customHeight="1">
      <c r="B8" s="184" t="s">
        <v>86</v>
      </c>
      <c r="C8" s="185" t="s">
        <v>676</v>
      </c>
      <c r="D8" s="186" t="s">
        <v>677</v>
      </c>
      <c r="E8" s="186" t="s">
        <v>678</v>
      </c>
      <c r="F8" s="187" t="s">
        <v>679</v>
      </c>
      <c r="G8" s="187" t="s">
        <v>680</v>
      </c>
      <c r="H8" s="187" t="s">
        <v>681</v>
      </c>
      <c r="I8" s="185" t="s">
        <v>682</v>
      </c>
    </row>
    <row r="9" spans="1:9" ht="16.149999999999999">
      <c r="B9" s="6" t="s">
        <v>84</v>
      </c>
      <c r="C9" s="21">
        <f>INDEX('Renewal rates'!$Z$5:$Z$21, MATCH('Base adjustment'!B9, 'Renewal rates'!$A$5:$A$21, 0))</f>
        <v>1.4019349267068038E-3</v>
      </c>
      <c r="D9" s="19">
        <f>INDEX('Rates summary'!$K$6:$K$22,MATCH('Base adjustment'!B9,'Rates summary'!$B$6:$B$22,0))</f>
        <v>3.0286503682779241E-3</v>
      </c>
      <c r="E9" s="20" t="str">
        <f>_xlfn.IFNA(INDEX('CG uplift'!$C$8:$C$16,MATCH('Base adjustment'!B9, 'CG uplift'!$A$8:$A$16,0)), "")</f>
        <v/>
      </c>
      <c r="F9" s="25">
        <f>IF(E9="",D9, E9+D9)</f>
        <v>3.0286503682779241E-3</v>
      </c>
      <c r="G9" s="23">
        <f>$F9*INDEX(Base_Enh_PR24Query!$D$2:$D$324, MATCH('Base adjustment'!B9&amp;"30", Base_Enh_PR24Query!$A$2:$A$324, 0))*5</f>
        <v>262.23266348697575</v>
      </c>
      <c r="H9" s="23" t="str">
        <f>IF(E9 = "", "", $E9*INDEX(Base_Enh_PR24Query!$D$2:$D$324, MATCH('Base adjustment'!B9&amp;"30", Base_Enh_PR24Query!$A$2:$A$324, 0))*5)</f>
        <v/>
      </c>
      <c r="I9" s="261">
        <f>IF(H9 = "", 0, (H9*$B$4)/1000)</f>
        <v>0</v>
      </c>
    </row>
    <row r="10" spans="1:9" ht="16.149999999999999">
      <c r="B10" s="6" t="s">
        <v>21</v>
      </c>
      <c r="C10" s="21">
        <f>INDEX('Renewal rates'!$Z$5:$Z$21, MATCH('Base adjustment'!B10, 'Renewal rates'!$A$5:$A$21, 0))</f>
        <v>1.2603768433730772E-3</v>
      </c>
      <c r="D10" s="19">
        <f>INDEX('Rates summary'!$K$6:$K$22,MATCH('Base adjustment'!B10,'Rates summary'!$B$6:$B$22,0))</f>
        <v>3.0286503682779241E-3</v>
      </c>
      <c r="E10" s="20">
        <f>_xlfn.IFNA(INDEX('CG uplift'!$C$8:$C$16,MATCH('Base adjustment'!B10, 'CG uplift'!$A$8:$A$16,0)), "")</f>
        <v>2.3713496317220762E-3</v>
      </c>
      <c r="F10" s="25">
        <f t="shared" ref="F10:F25" si="0">IF(E10="",D10, E10+D10)</f>
        <v>5.4000000000000003E-3</v>
      </c>
      <c r="G10" s="23">
        <f>$F10*INDEX(Base_Enh_PR24Query!$D$2:$D$324, MATCH('Base adjustment'!B10&amp;"30", Base_Enh_PR24Query!$A$2:$A$324, 0))*5</f>
        <v>1096.3134</v>
      </c>
      <c r="H10" s="23">
        <f>IF(E10 = "", "", $E10*INDEX(Base_Enh_PR24Query!$D$2:$D$324, MATCH('Base adjustment'!B10&amp;"30", Base_Enh_PR24Query!$A$2:$A$324, 0))*5)</f>
        <v>481.43377358184756</v>
      </c>
      <c r="I10" s="262">
        <f t="shared" ref="I10:I24" si="1">IF(H10 = "", 0, (H10*$B$4)/1000)</f>
        <v>144.43013207455428</v>
      </c>
    </row>
    <row r="11" spans="1:9" ht="16.149999999999999">
      <c r="B11" s="6" t="s">
        <v>34</v>
      </c>
      <c r="C11" s="21">
        <f>INDEX('Renewal rates'!$Z$5:$Z$21, MATCH('Base adjustment'!B11, 'Renewal rates'!$A$5:$A$21, 0))</f>
        <v>2.7872601661663664E-3</v>
      </c>
      <c r="D11" s="19">
        <f>INDEX('Rates summary'!$K$6:$K$22,MATCH('Base adjustment'!B11,'Rates summary'!$B$6:$B$22,0))</f>
        <v>3.0286503682779241E-3</v>
      </c>
      <c r="E11" s="20">
        <f>_xlfn.IFNA(INDEX('CG uplift'!$C$8:$C$16,MATCH('Base adjustment'!B11, 'CG uplift'!$A$8:$A$16,0)), "")</f>
        <v>1.25956066802217E-3</v>
      </c>
      <c r="F11" s="25">
        <f t="shared" si="0"/>
        <v>4.2882110363000941E-3</v>
      </c>
      <c r="G11" s="23">
        <f>$F11*INDEX(Base_Enh_PR24Query!$D$2:$D$324, MATCH('Base adjustment'!B11&amp;"30", Base_Enh_PR24Query!$A$2:$A$324, 0))*5</f>
        <v>151.94418164922124</v>
      </c>
      <c r="H11" s="23">
        <f>IF(E11 = "", "", $E11*INDEX(Base_Enh_PR24Query!$D$2:$D$324, MATCH('Base adjustment'!B11&amp;"30", Base_Enh_PR24Query!$A$2:$A$324, 0))*5)</f>
        <v>44.630013150029555</v>
      </c>
      <c r="I11" s="261">
        <f t="shared" si="1"/>
        <v>13.389003945008866</v>
      </c>
    </row>
    <row r="12" spans="1:9" ht="16.149999999999999">
      <c r="B12" s="6" t="s">
        <v>81</v>
      </c>
      <c r="C12" s="21">
        <f>INDEX('Renewal rates'!$Z$5:$Z$21, MATCH('Base adjustment'!B12, 'Renewal rates'!$A$5:$A$21, 0))</f>
        <v>3.8510707757935829E-3</v>
      </c>
      <c r="D12" s="19">
        <f>INDEX('Rates summary'!$K$6:$K$22,MATCH('Base adjustment'!B12,'Rates summary'!$B$6:$B$22,0))</f>
        <v>3.8510707757935829E-3</v>
      </c>
      <c r="E12" s="20" t="str">
        <f>_xlfn.IFNA(INDEX('CG uplift'!$C$8:$C$16,MATCH('Base adjustment'!B12, 'CG uplift'!$A$8:$A$16,0)), "")</f>
        <v/>
      </c>
      <c r="F12" s="25">
        <f t="shared" si="0"/>
        <v>3.8510707757935829E-3</v>
      </c>
      <c r="G12" s="23">
        <f>$F12*INDEX(Base_Enh_PR24Query!$D$2:$D$324, MATCH('Base adjustment'!B12&amp;"30", Base_Enh_PR24Query!$A$2:$A$324, 0))*5</f>
        <v>51.253900955036798</v>
      </c>
      <c r="H12" s="23" t="str">
        <f>IF(E12 = "", "", $E12*INDEX(Base_Enh_PR24Query!$D$2:$D$324, MATCH('Base adjustment'!B12&amp;"30", Base_Enh_PR24Query!$A$2:$A$324, 0))*5)</f>
        <v/>
      </c>
      <c r="I12" s="261">
        <f t="shared" si="1"/>
        <v>0</v>
      </c>
    </row>
    <row r="13" spans="1:9" ht="16.149999999999999">
      <c r="B13" s="6" t="s">
        <v>38</v>
      </c>
      <c r="C13" s="21">
        <f>INDEX('Renewal rates'!$Z$5:$Z$21, MATCH('Base adjustment'!B13, 'Renewal rates'!$A$5:$A$21, 0))</f>
        <v>2.0365152643763386E-3</v>
      </c>
      <c r="D13" s="19">
        <f>INDEX('Rates summary'!$K$6:$K$22,MATCH('Base adjustment'!B13,'Rates summary'!$B$6:$B$22,0))</f>
        <v>3.0286503682779241E-3</v>
      </c>
      <c r="E13" s="20">
        <f>_xlfn.IFNA(INDEX('CG uplift'!$C$8:$C$16,MATCH('Base adjustment'!B13, 'CG uplift'!$A$8:$A$16,0)), "")</f>
        <v>1.25956066802217E-3</v>
      </c>
      <c r="F13" s="25">
        <f t="shared" si="0"/>
        <v>4.2882110363000941E-3</v>
      </c>
      <c r="G13" s="23">
        <f>$F13*INDEX(Base_Enh_PR24Query!$D$2:$D$324, MATCH('Base adjustment'!B13&amp;"30", Base_Enh_PR24Query!$A$2:$A$324, 0))*5</f>
        <v>582.62636886898485</v>
      </c>
      <c r="H13" s="23">
        <f>IF(E13 = "", "", $E13*INDEX(Base_Enh_PR24Query!$D$2:$D$324, MATCH('Base adjustment'!B13&amp;"30", Base_Enh_PR24Query!$A$2:$A$324, 0))*5)</f>
        <v>171.13272928216819</v>
      </c>
      <c r="I13" s="261">
        <f t="shared" si="1"/>
        <v>51.339818784650461</v>
      </c>
    </row>
    <row r="14" spans="1:9" ht="16.149999999999999">
      <c r="B14" s="6" t="s">
        <v>50</v>
      </c>
      <c r="C14" s="21">
        <f>INDEX('Renewal rates'!$Z$5:$Z$21, MATCH('Base adjustment'!B14, 'Renewal rates'!$A$5:$A$21, 0))</f>
        <v>1.006068864049407E-3</v>
      </c>
      <c r="D14" s="19">
        <f>INDEX('Rates summary'!$K$6:$K$22,MATCH('Base adjustment'!B14,'Rates summary'!$B$6:$B$22,0))</f>
        <v>3.0286503682779241E-3</v>
      </c>
      <c r="E14" s="20" t="str">
        <f>_xlfn.IFNA(INDEX('CG uplift'!$C$8:$C$16,MATCH('Base adjustment'!B14, 'CG uplift'!$A$8:$A$16,0)), "")</f>
        <v/>
      </c>
      <c r="F14" s="25">
        <f t="shared" si="0"/>
        <v>3.0286503682779241E-3</v>
      </c>
      <c r="G14" s="23">
        <f>$F14*INDEX(Base_Enh_PR24Query!$D$2:$D$324, MATCH('Base adjustment'!B14&amp;"30", Base_Enh_PR24Query!$A$2:$A$324, 0))*5</f>
        <v>668.37240638526919</v>
      </c>
      <c r="H14" s="23" t="str">
        <f>IF(E14 = "", "", $E14*INDEX(Base_Enh_PR24Query!$D$2:$D$324, MATCH('Base adjustment'!B14&amp;"30", Base_Enh_PR24Query!$A$2:$A$324, 0))*5)</f>
        <v/>
      </c>
      <c r="I14" s="261">
        <f t="shared" si="1"/>
        <v>0</v>
      </c>
    </row>
    <row r="15" spans="1:9" ht="16.149999999999999">
      <c r="B15" s="6" t="s">
        <v>39</v>
      </c>
      <c r="C15" s="21">
        <f>INDEX('Renewal rates'!$Z$5:$Z$21, MATCH('Base adjustment'!B15, 'Renewal rates'!$A$5:$A$21, 0))</f>
        <v>2.3878653796601101E-3</v>
      </c>
      <c r="D15" s="19">
        <f>INDEX('Rates summary'!$K$6:$K$22,MATCH('Base adjustment'!B15,'Rates summary'!$B$6:$B$22,0))</f>
        <v>3.0286503682779241E-3</v>
      </c>
      <c r="E15" s="20" t="str">
        <f>_xlfn.IFNA(INDEX('CG uplift'!$C$8:$C$16,MATCH('Base adjustment'!B15, 'CG uplift'!$A$8:$A$16,0)), "")</f>
        <v/>
      </c>
      <c r="F15" s="25">
        <f t="shared" si="0"/>
        <v>3.0286503682779241E-3</v>
      </c>
      <c r="G15" s="23">
        <f>$F15*INDEX(Base_Enh_PR24Query!$D$2:$D$324, MATCH('Base adjustment'!B15&amp;"30", Base_Enh_PR24Query!$A$2:$A$324, 0))*5</f>
        <v>52.32750673792183</v>
      </c>
      <c r="H15" s="23" t="str">
        <f>IF(E15 = "", "", $E15*INDEX(Base_Enh_PR24Query!$D$2:$D$324, MATCH('Base adjustment'!B15&amp;"30", Base_Enh_PR24Query!$A$2:$A$324, 0))*5)</f>
        <v/>
      </c>
      <c r="I15" s="261">
        <f t="shared" si="1"/>
        <v>0</v>
      </c>
    </row>
    <row r="16" spans="1:9" ht="16.149999999999999">
      <c r="B16" s="6" t="s">
        <v>41</v>
      </c>
      <c r="C16" s="21">
        <f>INDEX('Renewal rates'!$Z$5:$Z$21, MATCH('Base adjustment'!B16, 'Renewal rates'!$A$5:$A$21, 0))</f>
        <v>2.9954274694671259E-3</v>
      </c>
      <c r="D16" s="19">
        <f>INDEX('Rates summary'!$K$6:$K$22,MATCH('Base adjustment'!B16,'Rates summary'!$B$6:$B$22,0))</f>
        <v>2.9954274694671259E-3</v>
      </c>
      <c r="E16" s="20" t="str">
        <f>_xlfn.IFNA(INDEX('CG uplift'!$C$8:$C$16,MATCH('Base adjustment'!B16, 'CG uplift'!$A$8:$A$16,0)), "")</f>
        <v/>
      </c>
      <c r="F16" s="25">
        <f t="shared" si="0"/>
        <v>2.9954274694671259E-3</v>
      </c>
      <c r="G16" s="23">
        <f>$F16*INDEX(Base_Enh_PR24Query!$D$2:$D$324, MATCH('Base adjustment'!B16&amp;"30", Base_Enh_PR24Query!$A$2:$A$324, 0))*5</f>
        <v>53.403742583016943</v>
      </c>
      <c r="H16" s="23" t="str">
        <f>IF(E16 = "", "", $E16*INDEX(Base_Enh_PR24Query!$D$2:$D$324, MATCH('Base adjustment'!B16&amp;"30", Base_Enh_PR24Query!$A$2:$A$324, 0))*5)</f>
        <v/>
      </c>
      <c r="I16" s="261">
        <f t="shared" si="1"/>
        <v>0</v>
      </c>
    </row>
    <row r="17" spans="2:10" ht="16.149999999999999">
      <c r="B17" s="6" t="s">
        <v>42</v>
      </c>
      <c r="C17" s="21">
        <f>INDEX('Renewal rates'!$Z$5:$Z$21, MATCH('Base adjustment'!B17, 'Renewal rates'!$A$5:$A$21, 0))</f>
        <v>1.8501717440333309E-3</v>
      </c>
      <c r="D17" s="19">
        <f>INDEX('Rates summary'!$K$6:$K$22,MATCH('Base adjustment'!B17,'Rates summary'!$B$6:$B$22,0))</f>
        <v>3.0286503682779241E-3</v>
      </c>
      <c r="E17" s="20">
        <f>_xlfn.IFNA(INDEX('CG uplift'!$C$8:$C$16,MATCH('Base adjustment'!B17, 'CG uplift'!$A$8:$A$16,0)), "")</f>
        <v>1.25956066802217E-3</v>
      </c>
      <c r="F17" s="25">
        <f t="shared" si="0"/>
        <v>4.2882110363000941E-3</v>
      </c>
      <c r="G17" s="23">
        <f>$F17*INDEX(Base_Enh_PR24Query!$D$2:$D$324, MATCH('Base adjustment'!B17&amp;"30", Base_Enh_PR24Query!$A$2:$A$324, 0))*5</f>
        <v>334.56782991870978</v>
      </c>
      <c r="H17" s="23">
        <f>IF(E17 = "", "", $E17*INDEX(Base_Enh_PR24Query!$D$2:$D$324, MATCH('Base adjustment'!B17&amp;"30", Base_Enh_PR24Query!$A$2:$A$324, 0))*5)</f>
        <v>98.271394710725986</v>
      </c>
      <c r="I17" s="261">
        <f t="shared" si="1"/>
        <v>29.481418413217796</v>
      </c>
    </row>
    <row r="18" spans="2:10" ht="16.149999999999999">
      <c r="B18" s="6" t="s">
        <v>43</v>
      </c>
      <c r="C18" s="21">
        <f>INDEX('Renewal rates'!$Z$5:$Z$21, MATCH('Base adjustment'!B18, 'Renewal rates'!$A$5:$A$21, 0))</f>
        <v>1.7034673180493973E-3</v>
      </c>
      <c r="D18" s="19">
        <f>INDEX('Rates summary'!$K$6:$K$22,MATCH('Base adjustment'!B18,'Rates summary'!$B$6:$B$22,0))</f>
        <v>4.0045993557379922E-3</v>
      </c>
      <c r="E18" s="20">
        <f>_xlfn.IFNA(INDEX('CG uplift'!$C$8:$C$16,MATCH('Base adjustment'!B18, 'CG uplift'!$A$8:$A$16,0)), "")</f>
        <v>2.8361168056210192E-4</v>
      </c>
      <c r="F18" s="25">
        <f t="shared" si="0"/>
        <v>4.2882110363000941E-3</v>
      </c>
      <c r="G18" s="23">
        <f>$F18*INDEX(Base_Enh_PR24Query!$D$2:$D$324, MATCH('Base adjustment'!B18&amp;"30", Base_Enh_PR24Query!$A$2:$A$324, 0))*5</f>
        <v>309.84468842786333</v>
      </c>
      <c r="H18" s="23">
        <f>IF(E18 = "", "", $E18*INDEX(Base_Enh_PR24Query!$D$2:$D$324, MATCH('Base adjustment'!B18&amp;"30", Base_Enh_PR24Query!$A$2:$A$324, 0))*5)</f>
        <v>20.492361979014674</v>
      </c>
      <c r="I18" s="261">
        <f t="shared" si="1"/>
        <v>6.1477085937044018</v>
      </c>
    </row>
    <row r="19" spans="2:10" ht="16.149999999999999">
      <c r="B19" s="6" t="s">
        <v>85</v>
      </c>
      <c r="C19" s="21">
        <f>INDEX('Renewal rates'!$Z$5:$Z$21, MATCH('Base adjustment'!B19, 'Renewal rates'!$A$5:$A$21, 0))</f>
        <v>5.6070605329919471E-3</v>
      </c>
      <c r="D19" s="19">
        <f>INDEX('Rates summary'!$K$6:$K$22,MATCH('Base adjustment'!B19,'Rates summary'!$B$6:$B$22,0))</f>
        <v>5.6070605329919471E-3</v>
      </c>
      <c r="E19" s="20" t="str">
        <f>_xlfn.IFNA(INDEX('CG uplift'!$C$8:$C$16,MATCH('Base adjustment'!B19, 'CG uplift'!$A$8:$A$16,0)), "")</f>
        <v/>
      </c>
      <c r="F19" s="25">
        <f t="shared" si="0"/>
        <v>5.6070605329919471E-3</v>
      </c>
      <c r="G19" s="23">
        <f>$F19*INDEX(Base_Enh_PR24Query!$D$2:$D$324, MATCH('Base adjustment'!B19&amp;"30", Base_Enh_PR24Query!$A$2:$A$324, 0))*5</f>
        <v>252.42832325365094</v>
      </c>
      <c r="H19" s="23" t="str">
        <f>IF(E19 = "", "", $E19*INDEX(Base_Enh_PR24Query!$D$2:$D$324, MATCH('Base adjustment'!B19&amp;"30", Base_Enh_PR24Query!$A$2:$A$324, 0))*5)</f>
        <v/>
      </c>
      <c r="I19" s="261">
        <f t="shared" si="1"/>
        <v>0</v>
      </c>
    </row>
    <row r="20" spans="2:10" ht="16.149999999999999">
      <c r="B20" s="6" t="s">
        <v>82</v>
      </c>
      <c r="C20" s="21">
        <f>INDEX('Renewal rates'!$Z$5:$Z$21, MATCH('Base adjustment'!B20, 'Renewal rates'!$A$5:$A$21, 0))</f>
        <v>3.8204922405669891E-3</v>
      </c>
      <c r="D20" s="19">
        <f>INDEX('Rates summary'!$K$6:$K$22,MATCH('Base adjustment'!B20,'Rates summary'!$B$6:$B$22,0))</f>
        <v>3.8204922405669891E-3</v>
      </c>
      <c r="E20" s="20" t="str">
        <f>_xlfn.IFNA(INDEX('CG uplift'!$C$8:$C$16,MATCH('Base adjustment'!B20, 'CG uplift'!$A$8:$A$16,0)), "")</f>
        <v/>
      </c>
      <c r="F20" s="25">
        <f t="shared" si="0"/>
        <v>3.8204922405669891E-3</v>
      </c>
      <c r="G20" s="23">
        <f>$F20*INDEX(Base_Enh_PR24Query!$D$2:$D$324, MATCH('Base adjustment'!B20&amp;"30", Base_Enh_PR24Query!$A$2:$A$324, 0))*5</f>
        <v>935.9957657393486</v>
      </c>
      <c r="H20" s="23" t="str">
        <f>IF(E20 = "", "", $E20*INDEX(Base_Enh_PR24Query!$D$2:$D$324, MATCH('Base adjustment'!B20&amp;"30", Base_Enh_PR24Query!$A$2:$A$324, 0))*5)</f>
        <v/>
      </c>
      <c r="I20" s="261">
        <f t="shared" si="1"/>
        <v>0</v>
      </c>
    </row>
    <row r="21" spans="2:10" ht="16.149999999999999">
      <c r="B21" s="6" t="s">
        <v>83</v>
      </c>
      <c r="C21" s="21">
        <f>INDEX('Renewal rates'!$Z$5:$Z$21, MATCH('Base adjustment'!B21, 'Renewal rates'!$A$5:$A$21, 0))</f>
        <v>5.3836146453060821E-4</v>
      </c>
      <c r="D21" s="19">
        <f>INDEX('Rates summary'!$K$6:$K$22,MATCH('Base adjustment'!B21,'Rates summary'!$B$6:$B$22,0))</f>
        <v>3.0286503682779241E-3</v>
      </c>
      <c r="E21" s="20" t="str">
        <f>_xlfn.IFNA(INDEX('CG uplift'!$C$8:$C$16,MATCH('Base adjustment'!B21, 'CG uplift'!$A$8:$A$16,0)), "")</f>
        <v/>
      </c>
      <c r="F21" s="25">
        <f t="shared" si="0"/>
        <v>3.0286503682779241E-3</v>
      </c>
      <c r="G21" s="23">
        <f>$F21*INDEX(Base_Enh_PR24Query!$D$2:$D$324, MATCH('Base adjustment'!B21&amp;"30", Base_Enh_PR24Query!$A$2:$A$324, 0))*5</f>
        <v>285.51844184348062</v>
      </c>
      <c r="H21" s="23" t="str">
        <f>IF(E21 = "", "", $E21*INDEX(Base_Enh_PR24Query!$D$2:$D$324, MATCH('Base adjustment'!B21&amp;"30", Base_Enh_PR24Query!$A$2:$A$324, 0))*5)</f>
        <v/>
      </c>
      <c r="I21" s="261">
        <f t="shared" si="1"/>
        <v>0</v>
      </c>
    </row>
    <row r="22" spans="2:10" ht="16.149999999999999">
      <c r="B22" s="6" t="s">
        <v>51</v>
      </c>
      <c r="C22" s="26">
        <f>INDEX('Renewal rates'!$Z$5:$Z$21, MATCH('Base adjustment'!B22, 'Renewal rates'!$A$5:$A$21, 0))</f>
        <v>2.1590051074397819E-4</v>
      </c>
      <c r="D22" s="19">
        <f>INDEX('Rates summary'!$K$6:$K$22,MATCH('Base adjustment'!B22,'Rates summary'!$B$6:$B$22,0))</f>
        <v>3.3424928788226772E-3</v>
      </c>
      <c r="E22" s="20">
        <f>_xlfn.IFNA(INDEX('CG uplift'!$C$8:$C$16,MATCH('Base adjustment'!B22, 'CG uplift'!$A$8:$A$16,0)), "")</f>
        <v>2.2571815747741671E-4</v>
      </c>
      <c r="F22" s="25">
        <f t="shared" si="0"/>
        <v>3.568211036300094E-3</v>
      </c>
      <c r="G22" s="23">
        <f>$F22*INDEX(Base_Enh_PR24Query!$D$2:$D$324, MATCH('Base adjustment'!B22&amp;"30", Base_Enh_PR24Query!$A$2:$A$324, 0))*5</f>
        <v>504.85012257643689</v>
      </c>
      <c r="H22" s="23">
        <f>IF(E22 = "", "", $E22*INDEX(Base_Enh_PR24Query!$D$2:$D$324, MATCH('Base adjustment'!B22&amp;"30", Base_Enh_PR24Query!$A$2:$A$324, 0))*5)</f>
        <v>31.935846369771038</v>
      </c>
      <c r="I22" s="261">
        <f t="shared" si="1"/>
        <v>9.5807539109313105</v>
      </c>
    </row>
    <row r="23" spans="2:10" ht="16.149999999999999">
      <c r="B23" s="6" t="s">
        <v>52</v>
      </c>
      <c r="C23" s="26">
        <f>INDEX('Renewal rates'!$Z$5:$Z$21, MATCH('Base adjustment'!B23, 'Renewal rates'!$A$5:$A$21, 0))</f>
        <v>2.3999999999999998E-3</v>
      </c>
      <c r="D23" s="19">
        <f>INDEX('Rates summary'!$K$6:$K$22,MATCH('Base adjustment'!B23,'Rates summary'!$B$6:$B$22,0))</f>
        <v>3.0286503682779241E-3</v>
      </c>
      <c r="E23" s="20">
        <f>_xlfn.IFNA(INDEX('CG uplift'!$C$8:$C$16,MATCH('Base adjustment'!B23, 'CG uplift'!$A$8:$A$16,0)), "")</f>
        <v>1.25956066802217E-3</v>
      </c>
      <c r="F23" s="25">
        <f t="shared" si="0"/>
        <v>4.2882110363000941E-3</v>
      </c>
      <c r="G23" s="23">
        <f>$F23*INDEX(Base_Enh_PR24Query!$D$2:$D$324, MATCH('Base adjustment'!B23&amp;"30", Base_Enh_PR24Query!$A$2:$A$324, 0))*5</f>
        <v>264.28887848372926</v>
      </c>
      <c r="H23" s="23">
        <f>IF(E23 = "", "", $E23*INDEX(Base_Enh_PR24Query!$D$2:$D$324, MATCH('Base adjustment'!B23&amp;"30", Base_Enh_PR24Query!$A$2:$A$324, 0))*5)</f>
        <v>77.628613311208369</v>
      </c>
      <c r="I23" s="261">
        <f t="shared" si="1"/>
        <v>23.288583993362511</v>
      </c>
    </row>
    <row r="24" spans="2:10" ht="16.149999999999999">
      <c r="B24" s="6" t="s">
        <v>53</v>
      </c>
      <c r="C24" s="26">
        <f>INDEX('Renewal rates'!$Z$5:$Z$21, MATCH('Base adjustment'!B24, 'Renewal rates'!$A$5:$A$21, 0))</f>
        <v>2.0500000000000002E-3</v>
      </c>
      <c r="D24" s="19">
        <f>INDEX('Rates summary'!$K$6:$K$22,MATCH('Base adjustment'!B24,'Rates summary'!$B$6:$B$22,0))</f>
        <v>4.4509808724049532E-3</v>
      </c>
      <c r="E24" s="20">
        <f>_xlfn.IFNA(INDEX('CG uplift'!$C$8:$C$16,MATCH('Base adjustment'!B24, 'CG uplift'!$A$8:$A$16,0)), "")</f>
        <v>2.1490191275950468E-3</v>
      </c>
      <c r="F24" s="25">
        <f t="shared" si="0"/>
        <v>6.6E-3</v>
      </c>
      <c r="G24" s="23">
        <f>$F24*INDEX(Base_Enh_PR24Query!$D$2:$D$324, MATCH('Base adjustment'!B24&amp;"30", Base_Enh_PR24Query!$A$2:$A$324, 0))*5</f>
        <v>1089.1947</v>
      </c>
      <c r="H24" s="23">
        <f>IF(E24 = "", "", $E24*INDEX(Base_Enh_PR24Query!$D$2:$D$324, MATCH('Base adjustment'!B24&amp;"30", Base_Enh_PR24Query!$A$2:$A$324, 0))*5)</f>
        <v>354.65155211744678</v>
      </c>
      <c r="I24" s="262">
        <f t="shared" si="1"/>
        <v>106.39546563523403</v>
      </c>
    </row>
    <row r="25" spans="2:10" ht="16.149999999999999">
      <c r="B25" s="6" t="s">
        <v>48</v>
      </c>
      <c r="C25" s="26">
        <f>INDEX('Renewal rates'!$Z$5:$Z$21, MATCH('Base adjustment'!B25, 'Renewal rates'!$A$5:$A$21, 0))</f>
        <v>1.697279321273728E-3</v>
      </c>
      <c r="D25" s="21">
        <f>INDEX('Rates summary'!$K$6:$K$22,MATCH('Base adjustment'!B25,'Rates summary'!$B$6:$B$22,0))</f>
        <v>3.0286503682779241E-3</v>
      </c>
      <c r="E25" s="20">
        <f>_xlfn.IFNA(INDEX('CG uplift'!$C$8:$C$16,MATCH('Base adjustment'!B25, 'CG uplift'!$A$8:$A$16,0)), "")</f>
        <v>3.7561019000849566E-4</v>
      </c>
      <c r="F25" s="25">
        <f t="shared" si="0"/>
        <v>3.4042605582864198E-3</v>
      </c>
      <c r="G25" s="23">
        <f>$F25*INDEX(Base_Enh_PR24Query!$D$2:$D$324, MATCH('Base adjustment'!B25&amp;"30", Base_Enh_PR24Query!$A$2:$A$324, 0))*5</f>
        <v>553</v>
      </c>
      <c r="H25" s="23">
        <f>IF(E25 = "", "", $E25*INDEX(Base_Enh_PR24Query!$D$2:$D$324, MATCH('Base adjustment'!B25&amp;"30", Base_Enh_PR24Query!$A$2:$A$324, 0))*5)</f>
        <v>61.015433900645064</v>
      </c>
      <c r="I25" s="263">
        <f>IF(H25 = "", 0, (H25*$C$4)/1000)</f>
        <v>71.998212002761178</v>
      </c>
    </row>
    <row r="26" spans="2:10" ht="16.149999999999999">
      <c r="B26" s="257" t="s">
        <v>20</v>
      </c>
      <c r="C26" s="22">
        <f>AVERAGE(C9:C25)</f>
        <v>2.2123089895166349E-3</v>
      </c>
      <c r="D26" s="22">
        <f>AVERAGE(D9:D25)</f>
        <v>3.4328604593273238E-3</v>
      </c>
      <c r="E26" s="22"/>
      <c r="F26" s="22">
        <f>AVERAGE(F9:F25)</f>
        <v>4.0471870157657843E-3</v>
      </c>
      <c r="G26" s="258">
        <f>SUM(G9:G25)</f>
        <v>7448.1629209096463</v>
      </c>
      <c r="H26" s="258">
        <f>SUM(H9:H25)</f>
        <v>1341.1917184028573</v>
      </c>
      <c r="I26" s="258">
        <f>SUM(I9:I25)</f>
        <v>456.05109735342484</v>
      </c>
      <c r="J26" s="260"/>
    </row>
  </sheetData>
  <mergeCells count="3">
    <mergeCell ref="B5:B6"/>
    <mergeCell ref="C5:C6"/>
    <mergeCell ref="A5:A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5C6CB-03D9-428D-8BDA-7EA92B6818AF}">
  <sheetPr>
    <tabColor rgb="FFFFDB8E"/>
  </sheetPr>
  <dimension ref="A1"/>
  <sheetViews>
    <sheetView zoomScale="80" zoomScaleNormal="80" workbookViewId="0"/>
  </sheetViews>
  <sheetFormatPr defaultColWidth="9" defaultRowHeight="14.25"/>
  <cols>
    <col min="1" max="16384" width="9" style="3"/>
  </cols>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06518-E7A9-4817-A0B8-643CE5D602D7}">
  <sheetPr>
    <tabColor rgb="FFFFDB8E"/>
  </sheetPr>
  <dimension ref="A1:Q211"/>
  <sheetViews>
    <sheetView zoomScale="80" zoomScaleNormal="80" workbookViewId="0">
      <pane xSplit="1" ySplit="1" topLeftCell="B2" activePane="bottomRight" state="frozen"/>
      <selection pane="bottomRight"/>
      <selection pane="bottomLeft" activeCell="A2" sqref="A2"/>
      <selection pane="topRight" activeCell="B1" sqref="B1"/>
    </sheetView>
  </sheetViews>
  <sheetFormatPr defaultRowHeight="14.25"/>
  <cols>
    <col min="1" max="1" width="10.5703125" customWidth="1"/>
    <col min="2" max="2" width="80.140625" customWidth="1"/>
    <col min="3" max="3" width="10.42578125" customWidth="1"/>
    <col min="4" max="4" width="12.42578125" customWidth="1"/>
    <col min="5" max="5" width="9" customWidth="1"/>
  </cols>
  <sheetData>
    <row r="1" spans="1:17" s="28" customFormat="1" ht="28.5">
      <c r="A1" s="126" t="s">
        <v>12</v>
      </c>
      <c r="B1" s="127" t="s">
        <v>13</v>
      </c>
      <c r="C1" s="128" t="s">
        <v>14</v>
      </c>
      <c r="D1" s="127" t="s">
        <v>15</v>
      </c>
      <c r="E1" s="127" t="s">
        <v>16</v>
      </c>
      <c r="F1" s="127" t="s">
        <v>17</v>
      </c>
      <c r="G1" s="127" t="s">
        <v>18</v>
      </c>
      <c r="H1" s="127" t="s">
        <v>19</v>
      </c>
      <c r="I1" s="127" t="s">
        <v>20</v>
      </c>
      <c r="J1" s="129"/>
      <c r="K1" s="129"/>
    </row>
    <row r="2" spans="1:17">
      <c r="A2" s="130" t="s">
        <v>21</v>
      </c>
      <c r="B2" s="130" t="s">
        <v>22</v>
      </c>
      <c r="C2" s="131" t="s">
        <v>23</v>
      </c>
      <c r="D2" s="130">
        <v>19452.93</v>
      </c>
      <c r="E2" s="130">
        <v>11094.81</v>
      </c>
      <c r="F2" s="130">
        <v>3807.16</v>
      </c>
      <c r="G2" s="130">
        <v>485.22</v>
      </c>
      <c r="H2" s="130">
        <v>57.13</v>
      </c>
      <c r="I2" s="130">
        <v>34897.26</v>
      </c>
      <c r="J2" s="130"/>
      <c r="K2" s="130"/>
      <c r="M2" s="254"/>
    </row>
    <row r="3" spans="1:17" ht="14.25" customHeight="1">
      <c r="A3" s="130" t="s">
        <v>21</v>
      </c>
      <c r="B3" s="130" t="s">
        <v>24</v>
      </c>
      <c r="C3" s="131" t="s">
        <v>25</v>
      </c>
      <c r="D3" s="130">
        <v>902.4</v>
      </c>
      <c r="E3" s="130">
        <v>1988.2</v>
      </c>
      <c r="F3" s="130">
        <v>1255</v>
      </c>
      <c r="G3" s="130">
        <v>304.60000000000002</v>
      </c>
      <c r="H3" s="130">
        <v>88.8</v>
      </c>
      <c r="I3" s="130">
        <v>4539</v>
      </c>
      <c r="J3" s="130"/>
      <c r="K3" s="130"/>
      <c r="M3" s="238"/>
      <c r="N3" s="238"/>
      <c r="O3" s="238"/>
      <c r="P3" s="238"/>
      <c r="Q3" s="238"/>
    </row>
    <row r="4" spans="1:17">
      <c r="A4" s="130" t="s">
        <v>21</v>
      </c>
      <c r="B4" s="130" t="s">
        <v>26</v>
      </c>
      <c r="C4" s="131" t="s">
        <v>27</v>
      </c>
      <c r="D4" s="130">
        <v>46.39</v>
      </c>
      <c r="E4" s="130">
        <v>179.2</v>
      </c>
      <c r="F4" s="130">
        <v>329.64</v>
      </c>
      <c r="G4" s="130">
        <v>627.75</v>
      </c>
      <c r="H4" s="130">
        <v>1554.41</v>
      </c>
      <c r="I4" s="130">
        <v>130.07</v>
      </c>
      <c r="J4" s="130"/>
      <c r="K4" s="130"/>
      <c r="M4" s="238"/>
      <c r="N4" s="238"/>
      <c r="O4" s="238"/>
      <c r="P4" s="238"/>
      <c r="Q4" s="238"/>
    </row>
    <row r="5" spans="1:17">
      <c r="A5" s="130" t="s">
        <v>21</v>
      </c>
      <c r="B5" s="130" t="s">
        <v>28</v>
      </c>
      <c r="C5" s="131" t="s">
        <v>25</v>
      </c>
      <c r="D5" s="130">
        <v>0</v>
      </c>
      <c r="E5" s="130">
        <v>0</v>
      </c>
      <c r="F5" s="130">
        <v>0</v>
      </c>
      <c r="G5" s="130">
        <v>0</v>
      </c>
      <c r="H5" s="130">
        <v>0</v>
      </c>
      <c r="I5" s="130">
        <v>0</v>
      </c>
      <c r="J5" s="130"/>
      <c r="K5" s="130"/>
      <c r="M5" s="238"/>
      <c r="N5" s="238"/>
      <c r="O5" s="238"/>
      <c r="P5" s="238"/>
      <c r="Q5" s="238"/>
    </row>
    <row r="6" spans="1:17">
      <c r="A6" s="130" t="s">
        <v>21</v>
      </c>
      <c r="B6" s="130" t="s">
        <v>29</v>
      </c>
      <c r="C6" s="131" t="s">
        <v>25</v>
      </c>
      <c r="D6" s="130">
        <v>0</v>
      </c>
      <c r="E6" s="130">
        <v>0</v>
      </c>
      <c r="F6" s="130">
        <v>0</v>
      </c>
      <c r="G6" s="130">
        <v>0</v>
      </c>
      <c r="H6" s="130">
        <v>0</v>
      </c>
      <c r="I6" s="130">
        <v>4539</v>
      </c>
      <c r="J6" s="130"/>
      <c r="K6" s="130"/>
      <c r="M6" s="238"/>
      <c r="N6" s="238"/>
      <c r="O6" s="238"/>
      <c r="P6" s="238"/>
      <c r="Q6" s="238"/>
    </row>
    <row r="7" spans="1:17">
      <c r="A7" s="130" t="s">
        <v>21</v>
      </c>
      <c r="B7" s="130" t="s">
        <v>30</v>
      </c>
      <c r="C7" s="131" t="s">
        <v>23</v>
      </c>
      <c r="D7" s="130">
        <v>19452.93</v>
      </c>
      <c r="E7" s="130">
        <v>11094.81</v>
      </c>
      <c r="F7" s="130">
        <v>3807.16</v>
      </c>
      <c r="G7" s="130">
        <v>485.22</v>
      </c>
      <c r="H7" s="130">
        <v>57.13</v>
      </c>
      <c r="I7" s="130">
        <v>34897.26</v>
      </c>
      <c r="J7" s="130"/>
      <c r="K7" s="130"/>
      <c r="M7" s="238"/>
      <c r="N7" s="238"/>
      <c r="O7" s="238"/>
      <c r="P7" s="238"/>
      <c r="Q7" s="238"/>
    </row>
    <row r="8" spans="1:17">
      <c r="A8" s="130" t="s">
        <v>21</v>
      </c>
      <c r="B8" s="130" t="s">
        <v>31</v>
      </c>
      <c r="C8" s="131" t="s">
        <v>25</v>
      </c>
      <c r="D8" s="130">
        <v>902.4</v>
      </c>
      <c r="E8" s="130">
        <v>1988.2</v>
      </c>
      <c r="F8" s="130">
        <v>1255</v>
      </c>
      <c r="G8" s="130">
        <v>304.60000000000002</v>
      </c>
      <c r="H8" s="130">
        <v>88.8</v>
      </c>
      <c r="I8" s="130">
        <v>4539</v>
      </c>
      <c r="J8" s="130"/>
      <c r="K8" s="130"/>
      <c r="M8" s="238"/>
      <c r="N8" s="238"/>
      <c r="O8" s="238"/>
      <c r="P8" s="238"/>
      <c r="Q8" s="238"/>
    </row>
    <row r="9" spans="1:17">
      <c r="A9" s="130" t="s">
        <v>21</v>
      </c>
      <c r="B9" s="130" t="s">
        <v>31</v>
      </c>
      <c r="C9" s="131" t="s">
        <v>27</v>
      </c>
      <c r="D9" s="130">
        <v>46.39</v>
      </c>
      <c r="E9" s="130">
        <v>179.2</v>
      </c>
      <c r="F9" s="130">
        <v>329.64</v>
      </c>
      <c r="G9" s="130">
        <v>627.75</v>
      </c>
      <c r="H9" s="130">
        <v>1554.41</v>
      </c>
      <c r="I9" s="130">
        <v>130.07</v>
      </c>
      <c r="J9" s="130"/>
      <c r="K9" s="130"/>
    </row>
    <row r="10" spans="1:17">
      <c r="A10" s="130" t="s">
        <v>21</v>
      </c>
      <c r="B10" s="130" t="s">
        <v>32</v>
      </c>
      <c r="C10" s="131" t="s">
        <v>25</v>
      </c>
      <c r="D10" s="130">
        <v>0</v>
      </c>
      <c r="E10" s="130">
        <v>0</v>
      </c>
      <c r="F10" s="130">
        <v>0</v>
      </c>
      <c r="G10" s="130">
        <v>0</v>
      </c>
      <c r="H10" s="130">
        <v>0</v>
      </c>
      <c r="I10" s="130">
        <v>64.599999999999994</v>
      </c>
      <c r="J10" s="130"/>
      <c r="K10" s="130"/>
    </row>
    <row r="11" spans="1:17">
      <c r="A11" s="130" t="s">
        <v>21</v>
      </c>
      <c r="B11" s="130" t="s">
        <v>33</v>
      </c>
      <c r="C11" s="131" t="s">
        <v>25</v>
      </c>
      <c r="D11" s="130">
        <v>0</v>
      </c>
      <c r="E11" s="130">
        <v>0</v>
      </c>
      <c r="F11" s="130">
        <v>0</v>
      </c>
      <c r="G11" s="130">
        <v>0</v>
      </c>
      <c r="H11" s="130">
        <v>0</v>
      </c>
      <c r="I11" s="130">
        <v>4603.6000000000004</v>
      </c>
      <c r="J11" s="130"/>
      <c r="K11" s="130"/>
    </row>
    <row r="12" spans="1:17">
      <c r="A12" s="130" t="s">
        <v>34</v>
      </c>
      <c r="B12" s="130" t="s">
        <v>22</v>
      </c>
      <c r="C12" s="131" t="s">
        <v>23</v>
      </c>
      <c r="D12" s="130">
        <v>3165.88</v>
      </c>
      <c r="E12" s="130">
        <v>1734.02</v>
      </c>
      <c r="F12" s="130">
        <v>953.61</v>
      </c>
      <c r="G12" s="130">
        <v>180.29</v>
      </c>
      <c r="H12" s="130">
        <v>7.36</v>
      </c>
      <c r="I12" s="130">
        <v>6041.17</v>
      </c>
      <c r="J12" s="130"/>
      <c r="K12" s="130"/>
    </row>
    <row r="13" spans="1:17">
      <c r="A13" s="130" t="s">
        <v>34</v>
      </c>
      <c r="B13" s="130" t="s">
        <v>24</v>
      </c>
      <c r="C13" s="131" t="s">
        <v>25</v>
      </c>
      <c r="D13" s="130">
        <v>213.2</v>
      </c>
      <c r="E13" s="130">
        <v>300.39999999999998</v>
      </c>
      <c r="F13" s="130">
        <v>315.60000000000002</v>
      </c>
      <c r="G13" s="130">
        <v>113.4</v>
      </c>
      <c r="H13" s="130">
        <v>10.199999999999999</v>
      </c>
      <c r="I13" s="130">
        <v>952.8</v>
      </c>
      <c r="J13" s="130"/>
      <c r="K13" s="130"/>
    </row>
    <row r="14" spans="1:17">
      <c r="A14" s="130" t="s">
        <v>34</v>
      </c>
      <c r="B14" s="130" t="s">
        <v>26</v>
      </c>
      <c r="C14" s="131" t="s">
        <v>27</v>
      </c>
      <c r="D14" s="130">
        <v>67.34</v>
      </c>
      <c r="E14" s="130">
        <v>173.24</v>
      </c>
      <c r="F14" s="130">
        <v>330.95</v>
      </c>
      <c r="G14" s="130">
        <v>628.97</v>
      </c>
      <c r="H14" s="130">
        <v>1386.35</v>
      </c>
      <c r="I14" s="130">
        <v>157.72</v>
      </c>
      <c r="J14" s="130"/>
      <c r="K14" s="130"/>
    </row>
    <row r="15" spans="1:17">
      <c r="A15" s="130" t="s">
        <v>34</v>
      </c>
      <c r="B15" s="130" t="s">
        <v>28</v>
      </c>
      <c r="C15" s="131" t="s">
        <v>25</v>
      </c>
      <c r="D15" s="130">
        <v>0</v>
      </c>
      <c r="E15" s="130">
        <v>0</v>
      </c>
      <c r="F15" s="130">
        <v>0</v>
      </c>
      <c r="G15" s="130">
        <v>0</v>
      </c>
      <c r="H15" s="130">
        <v>0</v>
      </c>
      <c r="I15" s="130">
        <v>92.73</v>
      </c>
      <c r="J15" s="130"/>
      <c r="K15" s="130"/>
    </row>
    <row r="16" spans="1:17">
      <c r="A16" s="130" t="s">
        <v>34</v>
      </c>
      <c r="B16" s="130" t="s">
        <v>29</v>
      </c>
      <c r="C16" s="131" t="s">
        <v>25</v>
      </c>
      <c r="D16" s="130">
        <v>0</v>
      </c>
      <c r="E16" s="130">
        <v>0</v>
      </c>
      <c r="F16" s="130">
        <v>0</v>
      </c>
      <c r="G16" s="130">
        <v>0</v>
      </c>
      <c r="H16" s="130">
        <v>0</v>
      </c>
      <c r="I16" s="130">
        <v>1045.53</v>
      </c>
      <c r="J16" s="130"/>
      <c r="K16" s="130"/>
    </row>
    <row r="17" spans="1:11">
      <c r="A17" s="130" t="s">
        <v>34</v>
      </c>
      <c r="B17" s="130" t="s">
        <v>30</v>
      </c>
      <c r="C17" s="131" t="s">
        <v>23</v>
      </c>
      <c r="D17" s="130">
        <v>3238.66</v>
      </c>
      <c r="E17" s="130">
        <v>1734.06</v>
      </c>
      <c r="F17" s="130">
        <v>953.61</v>
      </c>
      <c r="G17" s="130">
        <v>180.29</v>
      </c>
      <c r="H17" s="130">
        <v>7.36</v>
      </c>
      <c r="I17" s="130">
        <v>6113.98</v>
      </c>
      <c r="J17" s="130"/>
      <c r="K17" s="130"/>
    </row>
    <row r="18" spans="1:11">
      <c r="A18" s="130" t="s">
        <v>34</v>
      </c>
      <c r="B18" s="130" t="s">
        <v>31</v>
      </c>
      <c r="C18" s="131" t="s">
        <v>25</v>
      </c>
      <c r="D18" s="130">
        <v>210</v>
      </c>
      <c r="E18" s="130">
        <v>212</v>
      </c>
      <c r="F18" s="130">
        <v>263</v>
      </c>
      <c r="G18" s="130">
        <v>126</v>
      </c>
      <c r="H18" s="130">
        <v>92</v>
      </c>
      <c r="I18" s="130">
        <v>903</v>
      </c>
      <c r="J18" s="130"/>
      <c r="K18" s="130"/>
    </row>
    <row r="19" spans="1:11">
      <c r="A19" s="130" t="s">
        <v>34</v>
      </c>
      <c r="B19" s="130" t="s">
        <v>31</v>
      </c>
      <c r="C19" s="131" t="s">
        <v>27</v>
      </c>
      <c r="D19" s="130">
        <v>64.84</v>
      </c>
      <c r="E19" s="130">
        <v>122.26</v>
      </c>
      <c r="F19" s="130">
        <v>275.79000000000002</v>
      </c>
      <c r="G19" s="130">
        <v>698.86</v>
      </c>
      <c r="H19" s="130">
        <v>12504.35</v>
      </c>
      <c r="I19" s="130">
        <v>147.69</v>
      </c>
      <c r="J19" s="130"/>
      <c r="K19" s="130"/>
    </row>
    <row r="20" spans="1:11">
      <c r="A20" s="130" t="s">
        <v>34</v>
      </c>
      <c r="B20" s="130" t="s">
        <v>32</v>
      </c>
      <c r="C20" s="131" t="s">
        <v>25</v>
      </c>
      <c r="D20" s="130">
        <v>0</v>
      </c>
      <c r="E20" s="130">
        <v>0</v>
      </c>
      <c r="F20" s="130">
        <v>0</v>
      </c>
      <c r="G20" s="130">
        <v>0</v>
      </c>
      <c r="H20" s="130">
        <v>0</v>
      </c>
      <c r="I20" s="130">
        <v>16.8</v>
      </c>
      <c r="J20" s="130"/>
      <c r="K20" s="130"/>
    </row>
    <row r="21" spans="1:11">
      <c r="A21" s="130" t="s">
        <v>34</v>
      </c>
      <c r="B21" s="130" t="s">
        <v>33</v>
      </c>
      <c r="C21" s="131" t="s">
        <v>25</v>
      </c>
      <c r="D21" s="130">
        <v>0</v>
      </c>
      <c r="E21" s="130">
        <v>0</v>
      </c>
      <c r="F21" s="130">
        <v>0</v>
      </c>
      <c r="G21" s="130">
        <v>0</v>
      </c>
      <c r="H21" s="130">
        <v>0</v>
      </c>
      <c r="I21" s="130">
        <v>1062.33</v>
      </c>
      <c r="J21" s="130"/>
      <c r="K21" s="130"/>
    </row>
    <row r="22" spans="1:11">
      <c r="A22" s="130" t="s">
        <v>35</v>
      </c>
      <c r="B22" s="130" t="s">
        <v>22</v>
      </c>
      <c r="C22" s="131" t="s">
        <v>23</v>
      </c>
      <c r="D22" s="130">
        <v>1385.06</v>
      </c>
      <c r="E22" s="130">
        <v>437.16</v>
      </c>
      <c r="F22" s="130">
        <v>121.37</v>
      </c>
      <c r="G22" s="130">
        <v>18.75</v>
      </c>
      <c r="H22" s="130">
        <v>0.61</v>
      </c>
      <c r="I22" s="130">
        <v>1962.95</v>
      </c>
      <c r="J22" s="130"/>
      <c r="K22" s="130"/>
    </row>
    <row r="23" spans="1:11">
      <c r="A23" s="130" t="s">
        <v>35</v>
      </c>
      <c r="B23" s="130" t="s">
        <v>24</v>
      </c>
      <c r="C23" s="131" t="s">
        <v>25</v>
      </c>
      <c r="D23" s="130">
        <v>62.2</v>
      </c>
      <c r="E23" s="130">
        <v>68.400000000000006</v>
      </c>
      <c r="F23" s="130">
        <v>46.6</v>
      </c>
      <c r="G23" s="130">
        <v>14</v>
      </c>
      <c r="H23" s="130">
        <v>1.2</v>
      </c>
      <c r="I23" s="130">
        <v>192.4</v>
      </c>
      <c r="J23" s="130"/>
      <c r="K23" s="130"/>
    </row>
    <row r="24" spans="1:11">
      <c r="A24" s="130" t="s">
        <v>35</v>
      </c>
      <c r="B24" s="130" t="s">
        <v>26</v>
      </c>
      <c r="C24" s="131" t="s">
        <v>27</v>
      </c>
      <c r="D24" s="130">
        <v>44.91</v>
      </c>
      <c r="E24" s="130">
        <v>156.46</v>
      </c>
      <c r="F24" s="130">
        <v>383.94</v>
      </c>
      <c r="G24" s="130">
        <v>746.56</v>
      </c>
      <c r="H24" s="130">
        <v>1971.09</v>
      </c>
      <c r="I24" s="130">
        <v>98.02</v>
      </c>
      <c r="J24" s="130"/>
      <c r="K24" s="130"/>
    </row>
    <row r="25" spans="1:11">
      <c r="A25" s="130" t="s">
        <v>35</v>
      </c>
      <c r="B25" s="130" t="s">
        <v>28</v>
      </c>
      <c r="C25" s="131" t="s">
        <v>25</v>
      </c>
      <c r="D25" s="130">
        <v>0</v>
      </c>
      <c r="E25" s="130">
        <v>0</v>
      </c>
      <c r="F25" s="130">
        <v>0</v>
      </c>
      <c r="G25" s="130">
        <v>0</v>
      </c>
      <c r="H25" s="130">
        <v>0</v>
      </c>
      <c r="I25" s="130">
        <v>75.2</v>
      </c>
      <c r="J25" s="130"/>
      <c r="K25" s="130"/>
    </row>
    <row r="26" spans="1:11">
      <c r="A26" s="130" t="s">
        <v>35</v>
      </c>
      <c r="B26" s="130" t="s">
        <v>29</v>
      </c>
      <c r="C26" s="131" t="s">
        <v>25</v>
      </c>
      <c r="D26" s="130">
        <v>0</v>
      </c>
      <c r="E26" s="130">
        <v>0</v>
      </c>
      <c r="F26" s="130">
        <v>0</v>
      </c>
      <c r="G26" s="130">
        <v>0</v>
      </c>
      <c r="H26" s="130">
        <v>0</v>
      </c>
      <c r="I26" s="130">
        <v>267.60000000000002</v>
      </c>
      <c r="J26" s="130"/>
      <c r="K26" s="130"/>
    </row>
    <row r="27" spans="1:11">
      <c r="A27" s="130" t="s">
        <v>35</v>
      </c>
      <c r="B27" s="130" t="s">
        <v>30</v>
      </c>
      <c r="C27" s="131" t="s">
        <v>23</v>
      </c>
      <c r="D27" s="130">
        <v>1593.46</v>
      </c>
      <c r="E27" s="130">
        <v>437.16</v>
      </c>
      <c r="F27" s="130">
        <v>121.37</v>
      </c>
      <c r="G27" s="130">
        <v>18.75</v>
      </c>
      <c r="H27" s="130">
        <v>0.61</v>
      </c>
      <c r="I27" s="130">
        <v>2041.81</v>
      </c>
      <c r="J27" s="130"/>
      <c r="K27" s="130"/>
    </row>
    <row r="28" spans="1:11">
      <c r="A28" s="130" t="s">
        <v>35</v>
      </c>
      <c r="B28" s="130" t="s">
        <v>31</v>
      </c>
      <c r="C28" s="131" t="s">
        <v>25</v>
      </c>
      <c r="D28" s="130">
        <v>94.29</v>
      </c>
      <c r="E28" s="130">
        <v>103.42</v>
      </c>
      <c r="F28" s="130">
        <v>71.48</v>
      </c>
      <c r="G28" s="130">
        <v>21</v>
      </c>
      <c r="H28" s="130">
        <v>1.52</v>
      </c>
      <c r="I28" s="130">
        <v>292</v>
      </c>
      <c r="J28" s="130"/>
      <c r="K28" s="130"/>
    </row>
    <row r="29" spans="1:11">
      <c r="A29" s="130" t="s">
        <v>35</v>
      </c>
      <c r="B29" s="130" t="s">
        <v>31</v>
      </c>
      <c r="C29" s="131" t="s">
        <v>27</v>
      </c>
      <c r="D29" s="130">
        <v>59.17</v>
      </c>
      <c r="E29" s="130">
        <v>236.56</v>
      </c>
      <c r="F29" s="130">
        <v>588.92999999999995</v>
      </c>
      <c r="G29" s="130">
        <v>1120</v>
      </c>
      <c r="H29" s="130">
        <v>2491.8000000000002</v>
      </c>
      <c r="I29" s="130">
        <v>143.01</v>
      </c>
      <c r="J29" s="130"/>
      <c r="K29" s="130"/>
    </row>
    <row r="30" spans="1:11">
      <c r="A30" s="130" t="s">
        <v>35</v>
      </c>
      <c r="B30" s="130" t="s">
        <v>32</v>
      </c>
      <c r="C30" s="131" t="s">
        <v>25</v>
      </c>
      <c r="D30" s="130">
        <v>0</v>
      </c>
      <c r="E30" s="130">
        <v>0</v>
      </c>
      <c r="F30" s="130">
        <v>0</v>
      </c>
      <c r="G30" s="130">
        <v>0</v>
      </c>
      <c r="H30" s="130">
        <v>0</v>
      </c>
      <c r="I30" s="130">
        <v>7</v>
      </c>
      <c r="J30" s="130"/>
      <c r="K30" s="130"/>
    </row>
    <row r="31" spans="1:11">
      <c r="A31" s="130" t="s">
        <v>35</v>
      </c>
      <c r="B31" s="130" t="s">
        <v>33</v>
      </c>
      <c r="C31" s="131" t="s">
        <v>25</v>
      </c>
      <c r="D31" s="130">
        <v>0</v>
      </c>
      <c r="E31" s="130">
        <v>0</v>
      </c>
      <c r="F31" s="130">
        <v>0</v>
      </c>
      <c r="G31" s="130">
        <v>0</v>
      </c>
      <c r="H31" s="130">
        <v>0</v>
      </c>
      <c r="I31" s="130">
        <v>274.60000000000002</v>
      </c>
      <c r="J31" s="130"/>
      <c r="K31" s="130"/>
    </row>
    <row r="32" spans="1:11">
      <c r="A32" s="130" t="s">
        <v>36</v>
      </c>
      <c r="B32" s="130" t="s">
        <v>22</v>
      </c>
      <c r="C32" s="131" t="s">
        <v>23</v>
      </c>
      <c r="D32" s="130">
        <v>1167.46</v>
      </c>
      <c r="E32" s="130">
        <v>508.78</v>
      </c>
      <c r="F32" s="130">
        <v>196.62</v>
      </c>
      <c r="G32" s="130">
        <v>38.76</v>
      </c>
      <c r="H32" s="130">
        <v>4.58</v>
      </c>
      <c r="I32" s="130">
        <v>1916.2</v>
      </c>
      <c r="J32" s="130"/>
      <c r="K32" s="130"/>
    </row>
    <row r="33" spans="1:11">
      <c r="A33" s="130" t="s">
        <v>36</v>
      </c>
      <c r="B33" s="130" t="s">
        <v>24</v>
      </c>
      <c r="C33" s="131" t="s">
        <v>25</v>
      </c>
      <c r="D33" s="130">
        <v>56</v>
      </c>
      <c r="E33" s="130">
        <v>85</v>
      </c>
      <c r="F33" s="130">
        <v>65</v>
      </c>
      <c r="G33" s="130">
        <v>29</v>
      </c>
      <c r="H33" s="130">
        <v>5</v>
      </c>
      <c r="I33" s="130">
        <v>240</v>
      </c>
      <c r="J33" s="130"/>
      <c r="K33" s="130"/>
    </row>
    <row r="34" spans="1:11">
      <c r="A34" s="130" t="s">
        <v>36</v>
      </c>
      <c r="B34" s="130" t="s">
        <v>26</v>
      </c>
      <c r="C34" s="131" t="s">
        <v>27</v>
      </c>
      <c r="D34" s="130">
        <v>47.97</v>
      </c>
      <c r="E34" s="130">
        <v>167.07</v>
      </c>
      <c r="F34" s="130">
        <v>330.59</v>
      </c>
      <c r="G34" s="130">
        <v>748.19</v>
      </c>
      <c r="H34" s="130">
        <v>1091.7</v>
      </c>
      <c r="I34" s="130">
        <v>125.25</v>
      </c>
      <c r="J34" s="130"/>
      <c r="K34" s="130"/>
    </row>
    <row r="35" spans="1:11">
      <c r="A35" s="130" t="s">
        <v>36</v>
      </c>
      <c r="B35" s="130" t="s">
        <v>28</v>
      </c>
      <c r="C35" s="131" t="s">
        <v>25</v>
      </c>
      <c r="D35" s="130">
        <v>0</v>
      </c>
      <c r="E35" s="130">
        <v>0</v>
      </c>
      <c r="F35" s="130">
        <v>0</v>
      </c>
      <c r="G35" s="130">
        <v>0</v>
      </c>
      <c r="H35" s="130">
        <v>0</v>
      </c>
      <c r="I35" s="130">
        <v>11</v>
      </c>
      <c r="J35" s="130"/>
      <c r="K35" s="130"/>
    </row>
    <row r="36" spans="1:11">
      <c r="A36" s="130" t="s">
        <v>36</v>
      </c>
      <c r="B36" s="130" t="s">
        <v>29</v>
      </c>
      <c r="C36" s="131" t="s">
        <v>25</v>
      </c>
      <c r="D36" s="130">
        <v>0</v>
      </c>
      <c r="E36" s="130">
        <v>0</v>
      </c>
      <c r="F36" s="130">
        <v>0</v>
      </c>
      <c r="G36" s="130">
        <v>0</v>
      </c>
      <c r="H36" s="130">
        <v>0</v>
      </c>
      <c r="I36" s="130">
        <v>251</v>
      </c>
      <c r="J36" s="130"/>
      <c r="K36" s="130"/>
    </row>
    <row r="37" spans="1:11">
      <c r="A37" s="130" t="s">
        <v>36</v>
      </c>
      <c r="B37" s="130" t="s">
        <v>30</v>
      </c>
      <c r="C37" s="131" t="s">
        <v>23</v>
      </c>
      <c r="D37" s="130">
        <v>1234.17</v>
      </c>
      <c r="E37" s="130">
        <v>558.54</v>
      </c>
      <c r="F37" s="130">
        <v>215.85</v>
      </c>
      <c r="G37" s="130">
        <v>42.55</v>
      </c>
      <c r="H37" s="130">
        <v>5.03</v>
      </c>
      <c r="I37" s="130">
        <v>1916.2</v>
      </c>
      <c r="J37" s="130"/>
      <c r="K37" s="130"/>
    </row>
    <row r="38" spans="1:11">
      <c r="A38" s="130" t="s">
        <v>36</v>
      </c>
      <c r="B38" s="130" t="s">
        <v>31</v>
      </c>
      <c r="C38" s="131" t="s">
        <v>25</v>
      </c>
      <c r="D38" s="130">
        <v>56</v>
      </c>
      <c r="E38" s="130">
        <v>85</v>
      </c>
      <c r="F38" s="130">
        <v>72</v>
      </c>
      <c r="G38" s="130">
        <v>32</v>
      </c>
      <c r="H38" s="130">
        <v>6</v>
      </c>
      <c r="I38" s="130">
        <v>251</v>
      </c>
      <c r="J38" s="130"/>
      <c r="K38" s="130"/>
    </row>
    <row r="39" spans="1:11">
      <c r="A39" s="130" t="s">
        <v>36</v>
      </c>
      <c r="B39" s="130" t="s">
        <v>31</v>
      </c>
      <c r="C39" s="131" t="s">
        <v>27</v>
      </c>
      <c r="D39" s="130">
        <v>45.37</v>
      </c>
      <c r="E39" s="130">
        <v>152.18</v>
      </c>
      <c r="F39" s="130">
        <v>333.56</v>
      </c>
      <c r="G39" s="130">
        <v>752.04</v>
      </c>
      <c r="H39" s="130">
        <v>1193.32</v>
      </c>
      <c r="I39" s="130">
        <v>130.99</v>
      </c>
      <c r="J39" s="130"/>
      <c r="K39" s="130"/>
    </row>
    <row r="40" spans="1:11">
      <c r="A40" s="130" t="s">
        <v>36</v>
      </c>
      <c r="B40" s="130" t="s">
        <v>32</v>
      </c>
      <c r="C40" s="131" t="s">
        <v>25</v>
      </c>
      <c r="D40" s="130">
        <v>0</v>
      </c>
      <c r="E40" s="130">
        <v>0</v>
      </c>
      <c r="F40" s="130">
        <v>0</v>
      </c>
      <c r="G40" s="130">
        <v>0</v>
      </c>
      <c r="H40" s="130">
        <v>0</v>
      </c>
      <c r="I40" s="130">
        <v>2.4</v>
      </c>
      <c r="J40" s="130"/>
      <c r="K40" s="130"/>
    </row>
    <row r="41" spans="1:11">
      <c r="A41" s="130" t="s">
        <v>36</v>
      </c>
      <c r="B41" s="130" t="s">
        <v>33</v>
      </c>
      <c r="C41" s="131" t="s">
        <v>25</v>
      </c>
      <c r="D41" s="130">
        <v>0</v>
      </c>
      <c r="E41" s="130">
        <v>0</v>
      </c>
      <c r="F41" s="130">
        <v>0</v>
      </c>
      <c r="G41" s="130">
        <v>0</v>
      </c>
      <c r="H41" s="130">
        <v>0</v>
      </c>
      <c r="I41" s="130">
        <v>253.4</v>
      </c>
      <c r="J41" s="130"/>
      <c r="K41" s="130"/>
    </row>
    <row r="42" spans="1:11">
      <c r="A42" s="130" t="s">
        <v>37</v>
      </c>
      <c r="B42" s="130" t="s">
        <v>22</v>
      </c>
      <c r="C42" s="131" t="s">
        <v>23</v>
      </c>
      <c r="D42" s="130">
        <v>837.27</v>
      </c>
      <c r="E42" s="130">
        <v>115.68</v>
      </c>
      <c r="F42" s="130">
        <v>28.88</v>
      </c>
      <c r="G42" s="130">
        <v>0</v>
      </c>
      <c r="H42" s="130">
        <v>0</v>
      </c>
      <c r="I42" s="130">
        <v>981.83</v>
      </c>
      <c r="J42" s="130"/>
      <c r="K42" s="130"/>
    </row>
    <row r="43" spans="1:11">
      <c r="A43" s="130" t="s">
        <v>37</v>
      </c>
      <c r="B43" s="130" t="s">
        <v>24</v>
      </c>
      <c r="C43" s="131" t="s">
        <v>25</v>
      </c>
      <c r="D43" s="130">
        <v>57</v>
      </c>
      <c r="E43" s="130">
        <v>18.600000000000001</v>
      </c>
      <c r="F43" s="130">
        <v>8</v>
      </c>
      <c r="G43" s="130">
        <v>0</v>
      </c>
      <c r="H43" s="130">
        <v>0</v>
      </c>
      <c r="I43" s="130">
        <v>84.42</v>
      </c>
      <c r="J43" s="130"/>
      <c r="K43" s="130"/>
    </row>
    <row r="44" spans="1:11">
      <c r="A44" s="130" t="s">
        <v>37</v>
      </c>
      <c r="B44" s="130" t="s">
        <v>26</v>
      </c>
      <c r="C44" s="131" t="s">
        <v>27</v>
      </c>
      <c r="D44" s="130">
        <v>68.08</v>
      </c>
      <c r="E44" s="130">
        <v>160.80000000000001</v>
      </c>
      <c r="F44" s="130">
        <v>276.97000000000003</v>
      </c>
      <c r="G44" s="130">
        <v>0</v>
      </c>
      <c r="H44" s="130">
        <v>0</v>
      </c>
      <c r="I44" s="130">
        <v>85.98</v>
      </c>
      <c r="J44" s="130"/>
      <c r="K44" s="130"/>
    </row>
    <row r="45" spans="1:11">
      <c r="A45" s="130" t="s">
        <v>37</v>
      </c>
      <c r="B45" s="130" t="s">
        <v>28</v>
      </c>
      <c r="C45" s="131" t="s">
        <v>25</v>
      </c>
      <c r="D45" s="130">
        <v>0</v>
      </c>
      <c r="E45" s="130">
        <v>0</v>
      </c>
      <c r="F45" s="130">
        <v>0</v>
      </c>
      <c r="G45" s="130">
        <v>0</v>
      </c>
      <c r="H45" s="130">
        <v>0</v>
      </c>
      <c r="I45" s="130">
        <v>1</v>
      </c>
      <c r="J45" s="130"/>
      <c r="K45" s="130"/>
    </row>
    <row r="46" spans="1:11">
      <c r="A46" s="130" t="s">
        <v>37</v>
      </c>
      <c r="B46" s="130" t="s">
        <v>29</v>
      </c>
      <c r="C46" s="131" t="s">
        <v>25</v>
      </c>
      <c r="D46" s="130">
        <v>0</v>
      </c>
      <c r="E46" s="130">
        <v>0</v>
      </c>
      <c r="F46" s="130">
        <v>0</v>
      </c>
      <c r="G46" s="130">
        <v>0</v>
      </c>
      <c r="H46" s="130">
        <v>0</v>
      </c>
      <c r="I46" s="130">
        <v>85.42</v>
      </c>
      <c r="J46" s="130"/>
      <c r="K46" s="130"/>
    </row>
    <row r="47" spans="1:11">
      <c r="A47" s="130" t="s">
        <v>37</v>
      </c>
      <c r="B47" s="130" t="s">
        <v>30</v>
      </c>
      <c r="C47" s="131" t="s">
        <v>23</v>
      </c>
      <c r="D47" s="130">
        <v>895.82</v>
      </c>
      <c r="E47" s="130">
        <v>115.68</v>
      </c>
      <c r="F47" s="130">
        <v>28.88</v>
      </c>
      <c r="G47" s="130">
        <v>0</v>
      </c>
      <c r="H47" s="130">
        <v>0</v>
      </c>
      <c r="I47" s="130">
        <v>1041.3800000000001</v>
      </c>
      <c r="J47" s="130"/>
      <c r="K47" s="130"/>
    </row>
    <row r="48" spans="1:11">
      <c r="A48" s="130" t="s">
        <v>37</v>
      </c>
      <c r="B48" s="130" t="s">
        <v>31</v>
      </c>
      <c r="C48" s="131" t="s">
        <v>25</v>
      </c>
      <c r="D48" s="130">
        <v>61</v>
      </c>
      <c r="E48" s="130">
        <v>26</v>
      </c>
      <c r="F48" s="130">
        <v>10</v>
      </c>
      <c r="G48" s="130">
        <v>0</v>
      </c>
      <c r="H48" s="130">
        <v>0</v>
      </c>
      <c r="I48" s="130">
        <v>97</v>
      </c>
      <c r="J48" s="130"/>
      <c r="K48" s="130"/>
    </row>
    <row r="49" spans="1:11">
      <c r="A49" s="130" t="s">
        <v>37</v>
      </c>
      <c r="B49" s="130" t="s">
        <v>31</v>
      </c>
      <c r="C49" s="131" t="s">
        <v>27</v>
      </c>
      <c r="D49" s="130">
        <v>68.09</v>
      </c>
      <c r="E49" s="130">
        <v>224.76</v>
      </c>
      <c r="F49" s="130">
        <v>346.26</v>
      </c>
      <c r="G49" s="130">
        <v>0</v>
      </c>
      <c r="H49" s="130">
        <v>0</v>
      </c>
      <c r="I49" s="130">
        <v>93.15</v>
      </c>
      <c r="J49" s="130"/>
      <c r="K49" s="130"/>
    </row>
    <row r="50" spans="1:11">
      <c r="A50" s="130" t="s">
        <v>37</v>
      </c>
      <c r="B50" s="130" t="s">
        <v>32</v>
      </c>
      <c r="C50" s="131" t="s">
        <v>25</v>
      </c>
      <c r="D50" s="130">
        <v>0</v>
      </c>
      <c r="E50" s="130">
        <v>0</v>
      </c>
      <c r="F50" s="130">
        <v>0</v>
      </c>
      <c r="G50" s="130">
        <v>0</v>
      </c>
      <c r="H50" s="130">
        <v>0</v>
      </c>
      <c r="I50" s="130">
        <v>1</v>
      </c>
      <c r="J50" s="130"/>
      <c r="K50" s="130"/>
    </row>
    <row r="51" spans="1:11">
      <c r="A51" s="130" t="s">
        <v>37</v>
      </c>
      <c r="B51" s="130" t="s">
        <v>33</v>
      </c>
      <c r="C51" s="131" t="s">
        <v>25</v>
      </c>
      <c r="D51" s="130">
        <v>0</v>
      </c>
      <c r="E51" s="130">
        <v>0</v>
      </c>
      <c r="F51" s="130">
        <v>0</v>
      </c>
      <c r="G51" s="130">
        <v>0</v>
      </c>
      <c r="H51" s="130">
        <v>0</v>
      </c>
      <c r="I51" s="130">
        <v>86.42</v>
      </c>
      <c r="J51" s="130"/>
      <c r="K51" s="130"/>
    </row>
    <row r="52" spans="1:11">
      <c r="A52" s="130" t="s">
        <v>38</v>
      </c>
      <c r="B52" s="130" t="s">
        <v>22</v>
      </c>
      <c r="C52" s="131" t="s">
        <v>23</v>
      </c>
      <c r="D52" s="130">
        <v>12553.45</v>
      </c>
      <c r="E52" s="130">
        <v>4285.46</v>
      </c>
      <c r="F52" s="130">
        <v>3136.71</v>
      </c>
      <c r="G52" s="130">
        <v>1249.32</v>
      </c>
      <c r="H52" s="130">
        <v>477.14</v>
      </c>
      <c r="I52" s="130">
        <v>21702.080000000002</v>
      </c>
      <c r="J52" s="130"/>
      <c r="K52" s="130"/>
    </row>
    <row r="53" spans="1:11">
      <c r="A53" s="130" t="s">
        <v>38</v>
      </c>
      <c r="B53" s="130" t="s">
        <v>24</v>
      </c>
      <c r="C53" s="131" t="s">
        <v>25</v>
      </c>
      <c r="D53" s="130">
        <v>708</v>
      </c>
      <c r="E53" s="130">
        <v>789</v>
      </c>
      <c r="F53" s="130">
        <v>1082</v>
      </c>
      <c r="G53" s="130">
        <v>828</v>
      </c>
      <c r="H53" s="130">
        <v>950</v>
      </c>
      <c r="I53" s="130">
        <v>4358</v>
      </c>
      <c r="J53" s="130"/>
      <c r="K53" s="130"/>
    </row>
    <row r="54" spans="1:11">
      <c r="A54" s="130" t="s">
        <v>38</v>
      </c>
      <c r="B54" s="130" t="s">
        <v>26</v>
      </c>
      <c r="C54" s="131" t="s">
        <v>27</v>
      </c>
      <c r="D54" s="130">
        <v>56.4</v>
      </c>
      <c r="E54" s="130">
        <v>184.11</v>
      </c>
      <c r="F54" s="130">
        <v>344.95</v>
      </c>
      <c r="G54" s="130">
        <v>662.76</v>
      </c>
      <c r="H54" s="130">
        <v>1991.03</v>
      </c>
      <c r="I54" s="130">
        <v>200.81</v>
      </c>
      <c r="J54" s="130"/>
      <c r="K54" s="130"/>
    </row>
    <row r="55" spans="1:11">
      <c r="A55" s="130" t="s">
        <v>38</v>
      </c>
      <c r="B55" s="130" t="s">
        <v>28</v>
      </c>
      <c r="C55" s="131" t="s">
        <v>25</v>
      </c>
      <c r="D55" s="130">
        <v>0</v>
      </c>
      <c r="E55" s="130">
        <v>0</v>
      </c>
      <c r="F55" s="130">
        <v>0</v>
      </c>
      <c r="G55" s="130">
        <v>0</v>
      </c>
      <c r="H55" s="130">
        <v>0</v>
      </c>
      <c r="I55" s="130">
        <v>331</v>
      </c>
      <c r="J55" s="130"/>
      <c r="K55" s="130"/>
    </row>
    <row r="56" spans="1:11">
      <c r="A56" s="130" t="s">
        <v>38</v>
      </c>
      <c r="B56" s="130" t="s">
        <v>29</v>
      </c>
      <c r="C56" s="131" t="s">
        <v>25</v>
      </c>
      <c r="D56" s="130">
        <v>0</v>
      </c>
      <c r="E56" s="130">
        <v>0</v>
      </c>
      <c r="F56" s="130">
        <v>0</v>
      </c>
      <c r="G56" s="130">
        <v>0</v>
      </c>
      <c r="H56" s="130">
        <v>0</v>
      </c>
      <c r="I56" s="130">
        <v>4689</v>
      </c>
      <c r="J56" s="130"/>
      <c r="K56" s="130"/>
    </row>
    <row r="57" spans="1:11">
      <c r="A57" s="130" t="s">
        <v>38</v>
      </c>
      <c r="B57" s="130" t="s">
        <v>30</v>
      </c>
      <c r="C57" s="131" t="s">
        <v>23</v>
      </c>
      <c r="D57" s="130">
        <v>13930.47</v>
      </c>
      <c r="E57" s="130">
        <v>4285.46</v>
      </c>
      <c r="F57" s="130">
        <v>3136.71</v>
      </c>
      <c r="G57" s="130">
        <v>1249.32</v>
      </c>
      <c r="H57" s="130">
        <v>477.14</v>
      </c>
      <c r="I57" s="130">
        <v>23079.11</v>
      </c>
      <c r="J57" s="130"/>
      <c r="K57" s="130"/>
    </row>
    <row r="58" spans="1:11">
      <c r="A58" s="130" t="s">
        <v>38</v>
      </c>
      <c r="B58" s="130" t="s">
        <v>31</v>
      </c>
      <c r="C58" s="131" t="s">
        <v>25</v>
      </c>
      <c r="D58" s="130">
        <v>669</v>
      </c>
      <c r="E58" s="130">
        <v>836</v>
      </c>
      <c r="F58" s="130">
        <v>1095</v>
      </c>
      <c r="G58" s="130">
        <v>806</v>
      </c>
      <c r="H58" s="130">
        <v>1282</v>
      </c>
      <c r="I58" s="130">
        <v>4689</v>
      </c>
      <c r="J58" s="130"/>
      <c r="K58" s="130"/>
    </row>
    <row r="59" spans="1:11">
      <c r="A59" s="130" t="s">
        <v>38</v>
      </c>
      <c r="B59" s="130" t="s">
        <v>31</v>
      </c>
      <c r="C59" s="131" t="s">
        <v>27</v>
      </c>
      <c r="D59" s="130">
        <v>48.02</v>
      </c>
      <c r="E59" s="130">
        <v>195.08</v>
      </c>
      <c r="F59" s="130">
        <v>349.09</v>
      </c>
      <c r="G59" s="130">
        <v>645.15</v>
      </c>
      <c r="H59" s="130">
        <v>2686.84</v>
      </c>
      <c r="I59" s="130">
        <v>203.17</v>
      </c>
      <c r="J59" s="130"/>
      <c r="K59" s="130"/>
    </row>
    <row r="60" spans="1:11">
      <c r="A60" s="130" t="s">
        <v>38</v>
      </c>
      <c r="B60" s="130" t="s">
        <v>32</v>
      </c>
      <c r="C60" s="131" t="s">
        <v>25</v>
      </c>
      <c r="D60" s="130">
        <v>0</v>
      </c>
      <c r="E60" s="130">
        <v>0</v>
      </c>
      <c r="F60" s="130">
        <v>0</v>
      </c>
      <c r="G60" s="130">
        <v>0</v>
      </c>
      <c r="H60" s="130">
        <v>0</v>
      </c>
      <c r="I60" s="130">
        <v>52</v>
      </c>
      <c r="J60" s="130"/>
      <c r="K60" s="130"/>
    </row>
    <row r="61" spans="1:11">
      <c r="A61" s="130" t="s">
        <v>38</v>
      </c>
      <c r="B61" s="130" t="s">
        <v>33</v>
      </c>
      <c r="C61" s="131" t="s">
        <v>25</v>
      </c>
      <c r="D61" s="130">
        <v>0</v>
      </c>
      <c r="E61" s="130">
        <v>0</v>
      </c>
      <c r="F61" s="130">
        <v>0</v>
      </c>
      <c r="G61" s="130">
        <v>0</v>
      </c>
      <c r="H61" s="130">
        <v>0</v>
      </c>
      <c r="I61" s="130">
        <v>4741</v>
      </c>
      <c r="J61" s="130"/>
      <c r="K61" s="130"/>
    </row>
    <row r="62" spans="1:11">
      <c r="A62" s="130" t="s">
        <v>39</v>
      </c>
      <c r="B62" s="130" t="s">
        <v>22</v>
      </c>
      <c r="C62" s="131" t="s">
        <v>23</v>
      </c>
      <c r="D62" s="130">
        <v>2335.3200000000002</v>
      </c>
      <c r="E62" s="130">
        <v>324.25</v>
      </c>
      <c r="F62" s="130">
        <v>182.91</v>
      </c>
      <c r="G62" s="130">
        <v>56.57</v>
      </c>
      <c r="H62" s="130">
        <v>2.59</v>
      </c>
      <c r="I62" s="130">
        <v>2901.64</v>
      </c>
      <c r="J62" s="130"/>
      <c r="K62" s="130"/>
    </row>
    <row r="63" spans="1:11">
      <c r="A63" s="130" t="s">
        <v>39</v>
      </c>
      <c r="B63" s="130" t="s">
        <v>24</v>
      </c>
      <c r="C63" s="131" t="s">
        <v>25</v>
      </c>
      <c r="D63" s="130">
        <v>59.68</v>
      </c>
      <c r="E63" s="130">
        <v>55.38</v>
      </c>
      <c r="F63" s="130">
        <v>69.180000000000007</v>
      </c>
      <c r="G63" s="130">
        <v>39.14</v>
      </c>
      <c r="H63" s="130">
        <v>3.2</v>
      </c>
      <c r="I63" s="130">
        <v>226.58</v>
      </c>
      <c r="J63" s="130"/>
      <c r="K63" s="130"/>
    </row>
    <row r="64" spans="1:11">
      <c r="A64" s="130" t="s">
        <v>39</v>
      </c>
      <c r="B64" s="130" t="s">
        <v>26</v>
      </c>
      <c r="C64" s="131" t="s">
        <v>27</v>
      </c>
      <c r="D64" s="130">
        <v>25.56</v>
      </c>
      <c r="E64" s="130">
        <v>170.79</v>
      </c>
      <c r="F64" s="130">
        <v>378.22</v>
      </c>
      <c r="G64" s="130">
        <v>691.89</v>
      </c>
      <c r="H64" s="130">
        <v>1235.52</v>
      </c>
      <c r="I64" s="130">
        <v>78.09</v>
      </c>
      <c r="J64" s="130"/>
      <c r="K64" s="130"/>
    </row>
    <row r="65" spans="1:11">
      <c r="A65" s="130" t="s">
        <v>39</v>
      </c>
      <c r="B65" s="130" t="s">
        <v>28</v>
      </c>
      <c r="C65" s="131" t="s">
        <v>25</v>
      </c>
      <c r="D65" s="130">
        <v>0</v>
      </c>
      <c r="E65" s="130">
        <v>0</v>
      </c>
      <c r="F65" s="130">
        <v>0</v>
      </c>
      <c r="G65" s="130">
        <v>0</v>
      </c>
      <c r="H65" s="130">
        <v>0</v>
      </c>
      <c r="I65" s="130">
        <v>0</v>
      </c>
      <c r="J65" s="130"/>
      <c r="K65" s="130"/>
    </row>
    <row r="66" spans="1:11">
      <c r="A66" s="130" t="s">
        <v>39</v>
      </c>
      <c r="B66" s="130" t="s">
        <v>29</v>
      </c>
      <c r="C66" s="131" t="s">
        <v>25</v>
      </c>
      <c r="D66" s="130">
        <v>0</v>
      </c>
      <c r="E66" s="130">
        <v>0</v>
      </c>
      <c r="F66" s="130">
        <v>0</v>
      </c>
      <c r="G66" s="130">
        <v>0</v>
      </c>
      <c r="H66" s="130">
        <v>0</v>
      </c>
      <c r="I66" s="130">
        <v>226.58</v>
      </c>
      <c r="J66" s="130"/>
      <c r="K66" s="130"/>
    </row>
    <row r="67" spans="1:11">
      <c r="A67" s="130" t="s">
        <v>39</v>
      </c>
      <c r="B67" s="130" t="s">
        <v>30</v>
      </c>
      <c r="C67" s="131" t="s">
        <v>23</v>
      </c>
      <c r="D67" s="130">
        <v>2335.3200000000002</v>
      </c>
      <c r="E67" s="130">
        <v>324.25</v>
      </c>
      <c r="F67" s="130">
        <v>182.91</v>
      </c>
      <c r="G67" s="130">
        <v>56.57</v>
      </c>
      <c r="H67" s="130">
        <v>2.59</v>
      </c>
      <c r="I67" s="130">
        <v>2908.86</v>
      </c>
      <c r="J67" s="130"/>
      <c r="K67" s="130"/>
    </row>
    <row r="68" spans="1:11">
      <c r="A68" s="130" t="s">
        <v>39</v>
      </c>
      <c r="B68" s="130" t="s">
        <v>31</v>
      </c>
      <c r="C68" s="131" t="s">
        <v>25</v>
      </c>
      <c r="D68" s="130">
        <v>55.41</v>
      </c>
      <c r="E68" s="130">
        <v>51.91</v>
      </c>
      <c r="F68" s="130">
        <v>64.900000000000006</v>
      </c>
      <c r="G68" s="130">
        <v>36.72</v>
      </c>
      <c r="H68" s="130">
        <v>3</v>
      </c>
      <c r="I68" s="130">
        <v>211.95</v>
      </c>
      <c r="J68" s="130"/>
      <c r="K68" s="130"/>
    </row>
    <row r="69" spans="1:11">
      <c r="A69" s="130" t="s">
        <v>39</v>
      </c>
      <c r="B69" s="130" t="s">
        <v>31</v>
      </c>
      <c r="C69" s="131" t="s">
        <v>27</v>
      </c>
      <c r="D69" s="130">
        <v>23.73</v>
      </c>
      <c r="E69" s="130">
        <v>160.09</v>
      </c>
      <c r="F69" s="130">
        <v>354.83</v>
      </c>
      <c r="G69" s="130">
        <v>649.15</v>
      </c>
      <c r="H69" s="130">
        <v>1159.75</v>
      </c>
      <c r="I69" s="130">
        <v>72.86</v>
      </c>
      <c r="J69" s="130"/>
      <c r="K69" s="130"/>
    </row>
    <row r="70" spans="1:11">
      <c r="A70" s="130" t="s">
        <v>39</v>
      </c>
      <c r="B70" s="130" t="s">
        <v>32</v>
      </c>
      <c r="C70" s="131" t="s">
        <v>25</v>
      </c>
      <c r="D70" s="130">
        <v>0</v>
      </c>
      <c r="E70" s="130">
        <v>0</v>
      </c>
      <c r="F70" s="130">
        <v>0</v>
      </c>
      <c r="G70" s="130">
        <v>0</v>
      </c>
      <c r="H70" s="130">
        <v>0</v>
      </c>
      <c r="I70" s="130">
        <v>2.81</v>
      </c>
      <c r="J70" s="130"/>
      <c r="K70" s="130"/>
    </row>
    <row r="71" spans="1:11">
      <c r="A71" s="130" t="s">
        <v>39</v>
      </c>
      <c r="B71" s="130" t="s">
        <v>33</v>
      </c>
      <c r="C71" s="131" t="s">
        <v>25</v>
      </c>
      <c r="D71" s="130">
        <v>0</v>
      </c>
      <c r="E71" s="130">
        <v>0</v>
      </c>
      <c r="F71" s="130">
        <v>0</v>
      </c>
      <c r="G71" s="130">
        <v>0</v>
      </c>
      <c r="H71" s="130">
        <v>0</v>
      </c>
      <c r="I71" s="130">
        <v>229.39</v>
      </c>
      <c r="J71" s="130"/>
      <c r="K71" s="130"/>
    </row>
    <row r="72" spans="1:11">
      <c r="A72" s="130" t="s">
        <v>40</v>
      </c>
      <c r="B72" s="130" t="s">
        <v>22</v>
      </c>
      <c r="C72" s="131" t="s">
        <v>23</v>
      </c>
      <c r="D72" s="130">
        <v>1602.96</v>
      </c>
      <c r="E72" s="130">
        <v>749.79</v>
      </c>
      <c r="F72" s="130">
        <v>143.07</v>
      </c>
      <c r="G72" s="130">
        <v>23.53</v>
      </c>
      <c r="H72" s="130">
        <v>1.33</v>
      </c>
      <c r="I72" s="130">
        <v>2520.6799999999998</v>
      </c>
      <c r="J72" s="130"/>
      <c r="K72" s="130"/>
    </row>
    <row r="73" spans="1:11">
      <c r="A73" s="130" t="s">
        <v>40</v>
      </c>
      <c r="B73" s="130" t="s">
        <v>24</v>
      </c>
      <c r="C73" s="131" t="s">
        <v>25</v>
      </c>
      <c r="D73" s="130">
        <v>117</v>
      </c>
      <c r="E73" s="130">
        <v>137</v>
      </c>
      <c r="F73" s="130">
        <v>42</v>
      </c>
      <c r="G73" s="130">
        <v>14</v>
      </c>
      <c r="H73" s="130">
        <v>1</v>
      </c>
      <c r="I73" s="130">
        <v>312</v>
      </c>
      <c r="J73" s="130"/>
      <c r="K73" s="130"/>
    </row>
    <row r="74" spans="1:11">
      <c r="A74" s="130" t="s">
        <v>40</v>
      </c>
      <c r="B74" s="130" t="s">
        <v>26</v>
      </c>
      <c r="C74" s="131" t="s">
        <v>27</v>
      </c>
      <c r="D74" s="130">
        <v>72.989999999999995</v>
      </c>
      <c r="E74" s="130">
        <v>182.72</v>
      </c>
      <c r="F74" s="130">
        <v>293.56</v>
      </c>
      <c r="G74" s="130">
        <v>594.99</v>
      </c>
      <c r="H74" s="130">
        <v>751.88</v>
      </c>
      <c r="I74" s="130">
        <v>123.78</v>
      </c>
      <c r="J74" s="130"/>
      <c r="K74" s="130"/>
    </row>
    <row r="75" spans="1:11">
      <c r="A75" s="130" t="s">
        <v>40</v>
      </c>
      <c r="B75" s="130" t="s">
        <v>28</v>
      </c>
      <c r="C75" s="131" t="s">
        <v>25</v>
      </c>
      <c r="D75" s="130">
        <v>0</v>
      </c>
      <c r="E75" s="130">
        <v>0</v>
      </c>
      <c r="F75" s="130">
        <v>0</v>
      </c>
      <c r="G75" s="130">
        <v>0</v>
      </c>
      <c r="H75" s="130">
        <v>0</v>
      </c>
      <c r="I75" s="130">
        <v>5</v>
      </c>
      <c r="J75" s="130"/>
      <c r="K75" s="130"/>
    </row>
    <row r="76" spans="1:11">
      <c r="A76" s="130" t="s">
        <v>40</v>
      </c>
      <c r="B76" s="130" t="s">
        <v>29</v>
      </c>
      <c r="C76" s="131" t="s">
        <v>25</v>
      </c>
      <c r="D76" s="130">
        <v>0</v>
      </c>
      <c r="E76" s="130">
        <v>0</v>
      </c>
      <c r="F76" s="130">
        <v>0</v>
      </c>
      <c r="G76" s="130">
        <v>0</v>
      </c>
      <c r="H76" s="130">
        <v>0</v>
      </c>
      <c r="I76" s="130">
        <v>317</v>
      </c>
      <c r="J76" s="130"/>
      <c r="K76" s="130"/>
    </row>
    <row r="77" spans="1:11">
      <c r="A77" s="130" t="s">
        <v>40</v>
      </c>
      <c r="B77" s="130" t="s">
        <v>30</v>
      </c>
      <c r="C77" s="131" t="s">
        <v>23</v>
      </c>
      <c r="D77" s="130">
        <v>1636.83</v>
      </c>
      <c r="E77" s="130">
        <v>748.9</v>
      </c>
      <c r="F77" s="130">
        <v>143.5</v>
      </c>
      <c r="G77" s="130">
        <v>23.83</v>
      </c>
      <c r="H77" s="130">
        <v>2.93</v>
      </c>
      <c r="I77" s="130">
        <v>2580.38</v>
      </c>
      <c r="J77" s="130"/>
      <c r="K77" s="130"/>
    </row>
    <row r="78" spans="1:11">
      <c r="A78" s="130" t="s">
        <v>40</v>
      </c>
      <c r="B78" s="130" t="s">
        <v>31</v>
      </c>
      <c r="C78" s="131" t="s">
        <v>25</v>
      </c>
      <c r="D78" s="130">
        <v>119</v>
      </c>
      <c r="E78" s="130">
        <v>136</v>
      </c>
      <c r="F78" s="130">
        <v>42</v>
      </c>
      <c r="G78" s="130">
        <v>15</v>
      </c>
      <c r="H78" s="130">
        <v>4</v>
      </c>
      <c r="I78" s="130">
        <v>317</v>
      </c>
      <c r="J78" s="130"/>
      <c r="K78" s="130"/>
    </row>
    <row r="79" spans="1:11">
      <c r="A79" s="130" t="s">
        <v>40</v>
      </c>
      <c r="B79" s="130" t="s">
        <v>31</v>
      </c>
      <c r="C79" s="131" t="s">
        <v>27</v>
      </c>
      <c r="D79" s="130">
        <v>72.7</v>
      </c>
      <c r="E79" s="130">
        <v>181.6</v>
      </c>
      <c r="F79" s="130">
        <v>292.68</v>
      </c>
      <c r="G79" s="130">
        <v>629.46</v>
      </c>
      <c r="H79" s="130">
        <v>1365.19</v>
      </c>
      <c r="I79" s="130">
        <v>122.85</v>
      </c>
      <c r="J79" s="130"/>
      <c r="K79" s="130"/>
    </row>
    <row r="80" spans="1:11">
      <c r="A80" s="130" t="s">
        <v>40</v>
      </c>
      <c r="B80" s="130" t="s">
        <v>32</v>
      </c>
      <c r="C80" s="131" t="s">
        <v>25</v>
      </c>
      <c r="D80" s="130">
        <v>0</v>
      </c>
      <c r="E80" s="130">
        <v>0</v>
      </c>
      <c r="F80" s="130">
        <v>0</v>
      </c>
      <c r="G80" s="130">
        <v>0</v>
      </c>
      <c r="H80" s="130">
        <v>0</v>
      </c>
      <c r="I80" s="130">
        <v>11</v>
      </c>
      <c r="J80" s="130"/>
      <c r="K80" s="130"/>
    </row>
    <row r="81" spans="1:11">
      <c r="A81" s="130" t="s">
        <v>40</v>
      </c>
      <c r="B81" s="130" t="s">
        <v>33</v>
      </c>
      <c r="C81" s="131" t="s">
        <v>25</v>
      </c>
      <c r="D81" s="130">
        <v>0</v>
      </c>
      <c r="E81" s="130">
        <v>0</v>
      </c>
      <c r="F81" s="130">
        <v>0</v>
      </c>
      <c r="G81" s="130">
        <v>0</v>
      </c>
      <c r="H81" s="130">
        <v>0</v>
      </c>
      <c r="I81" s="130">
        <v>328</v>
      </c>
      <c r="J81" s="130"/>
      <c r="K81" s="130"/>
    </row>
    <row r="82" spans="1:11">
      <c r="A82" s="130" t="s">
        <v>41</v>
      </c>
      <c r="B82" s="130" t="s">
        <v>22</v>
      </c>
      <c r="C82" s="131" t="s">
        <v>23</v>
      </c>
      <c r="D82" s="130">
        <v>2525.92</v>
      </c>
      <c r="E82" s="130">
        <v>331.23</v>
      </c>
      <c r="F82" s="130">
        <v>198.11</v>
      </c>
      <c r="G82" s="130">
        <v>26.64</v>
      </c>
      <c r="H82" s="130">
        <v>0</v>
      </c>
      <c r="I82" s="130">
        <v>3081.91</v>
      </c>
      <c r="J82" s="130"/>
      <c r="K82" s="130"/>
    </row>
    <row r="83" spans="1:11">
      <c r="A83" s="130" t="s">
        <v>41</v>
      </c>
      <c r="B83" s="130" t="s">
        <v>24</v>
      </c>
      <c r="C83" s="131" t="s">
        <v>25</v>
      </c>
      <c r="D83" s="130">
        <v>133</v>
      </c>
      <c r="E83" s="130">
        <v>59</v>
      </c>
      <c r="F83" s="130">
        <v>62</v>
      </c>
      <c r="G83" s="130">
        <v>16</v>
      </c>
      <c r="H83" s="130">
        <v>0</v>
      </c>
      <c r="I83" s="130">
        <v>271</v>
      </c>
      <c r="J83" s="130"/>
      <c r="K83" s="130"/>
    </row>
    <row r="84" spans="1:11">
      <c r="A84" s="130" t="s">
        <v>41</v>
      </c>
      <c r="B84" s="130" t="s">
        <v>26</v>
      </c>
      <c r="C84" s="131" t="s">
        <v>27</v>
      </c>
      <c r="D84" s="130">
        <v>52.65</v>
      </c>
      <c r="E84" s="130">
        <v>178.12</v>
      </c>
      <c r="F84" s="130">
        <v>312.95999999999998</v>
      </c>
      <c r="G84" s="130">
        <v>600.6</v>
      </c>
      <c r="H84" s="130">
        <v>0</v>
      </c>
      <c r="I84" s="130">
        <v>87.93</v>
      </c>
      <c r="J84" s="130"/>
      <c r="K84" s="130"/>
    </row>
    <row r="85" spans="1:11">
      <c r="A85" s="130" t="s">
        <v>41</v>
      </c>
      <c r="B85" s="130" t="s">
        <v>28</v>
      </c>
      <c r="C85" s="131" t="s">
        <v>25</v>
      </c>
      <c r="D85" s="130">
        <v>0</v>
      </c>
      <c r="E85" s="130">
        <v>0</v>
      </c>
      <c r="F85" s="130">
        <v>0</v>
      </c>
      <c r="G85" s="130">
        <v>0</v>
      </c>
      <c r="H85" s="130">
        <v>0</v>
      </c>
      <c r="I85" s="130">
        <v>2</v>
      </c>
      <c r="J85" s="130"/>
      <c r="K85" s="130"/>
    </row>
    <row r="86" spans="1:11">
      <c r="A86" s="130" t="s">
        <v>41</v>
      </c>
      <c r="B86" s="130" t="s">
        <v>29</v>
      </c>
      <c r="C86" s="131" t="s">
        <v>25</v>
      </c>
      <c r="D86" s="130">
        <v>0</v>
      </c>
      <c r="E86" s="130">
        <v>0</v>
      </c>
      <c r="F86" s="130">
        <v>0</v>
      </c>
      <c r="G86" s="130">
        <v>0</v>
      </c>
      <c r="H86" s="130">
        <v>0</v>
      </c>
      <c r="I86" s="130">
        <v>273</v>
      </c>
      <c r="J86" s="130"/>
      <c r="K86" s="130"/>
    </row>
    <row r="87" spans="1:11">
      <c r="A87" s="130" t="s">
        <v>41</v>
      </c>
      <c r="B87" s="130" t="s">
        <v>30</v>
      </c>
      <c r="C87" s="131" t="s">
        <v>23</v>
      </c>
      <c r="D87" s="130">
        <v>2678.43</v>
      </c>
      <c r="E87" s="130">
        <v>331.23</v>
      </c>
      <c r="F87" s="130">
        <v>198.11</v>
      </c>
      <c r="G87" s="130">
        <v>26.64</v>
      </c>
      <c r="H87" s="130">
        <v>0</v>
      </c>
      <c r="I87" s="130">
        <v>3234.41</v>
      </c>
      <c r="J87" s="130"/>
      <c r="K87" s="130"/>
    </row>
    <row r="88" spans="1:11">
      <c r="A88" s="130" t="s">
        <v>41</v>
      </c>
      <c r="B88" s="130" t="s">
        <v>31</v>
      </c>
      <c r="C88" s="131" t="s">
        <v>25</v>
      </c>
      <c r="D88" s="130">
        <v>135</v>
      </c>
      <c r="E88" s="130">
        <v>59</v>
      </c>
      <c r="F88" s="130">
        <v>62</v>
      </c>
      <c r="G88" s="130">
        <v>16</v>
      </c>
      <c r="H88" s="130">
        <v>0</v>
      </c>
      <c r="I88" s="130">
        <v>273</v>
      </c>
      <c r="J88" s="130"/>
      <c r="K88" s="130"/>
    </row>
    <row r="89" spans="1:11">
      <c r="A89" s="130" t="s">
        <v>41</v>
      </c>
      <c r="B89" s="130" t="s">
        <v>31</v>
      </c>
      <c r="C89" s="131" t="s">
        <v>27</v>
      </c>
      <c r="D89" s="130">
        <v>50.4</v>
      </c>
      <c r="E89" s="130">
        <v>178.12</v>
      </c>
      <c r="F89" s="130">
        <v>312.95999999999998</v>
      </c>
      <c r="G89" s="130">
        <v>600.52</v>
      </c>
      <c r="H89" s="130">
        <v>0</v>
      </c>
      <c r="I89" s="130">
        <v>84.4</v>
      </c>
      <c r="J89" s="130"/>
      <c r="K89" s="130"/>
    </row>
    <row r="90" spans="1:11">
      <c r="A90" s="130" t="s">
        <v>41</v>
      </c>
      <c r="B90" s="130" t="s">
        <v>32</v>
      </c>
      <c r="C90" s="131" t="s">
        <v>25</v>
      </c>
      <c r="D90" s="130">
        <v>0</v>
      </c>
      <c r="E90" s="130">
        <v>0</v>
      </c>
      <c r="F90" s="130">
        <v>0</v>
      </c>
      <c r="G90" s="130">
        <v>0</v>
      </c>
      <c r="H90" s="130">
        <v>0</v>
      </c>
      <c r="I90" s="130">
        <v>7</v>
      </c>
      <c r="J90" s="130"/>
      <c r="K90" s="130"/>
    </row>
    <row r="91" spans="1:11">
      <c r="A91" s="130" t="s">
        <v>41</v>
      </c>
      <c r="B91" s="130" t="s">
        <v>33</v>
      </c>
      <c r="C91" s="131" t="s">
        <v>25</v>
      </c>
      <c r="D91" s="130">
        <v>0</v>
      </c>
      <c r="E91" s="130">
        <v>0</v>
      </c>
      <c r="F91" s="130">
        <v>0</v>
      </c>
      <c r="G91" s="130">
        <v>0</v>
      </c>
      <c r="H91" s="130">
        <v>0</v>
      </c>
      <c r="I91" s="130">
        <v>280</v>
      </c>
      <c r="J91" s="130"/>
      <c r="K91" s="130"/>
    </row>
    <row r="92" spans="1:11">
      <c r="A92" s="130" t="s">
        <v>42</v>
      </c>
      <c r="B92" s="130" t="s">
        <v>22</v>
      </c>
      <c r="C92" s="131" t="s">
        <v>23</v>
      </c>
      <c r="D92" s="130">
        <v>8572.83</v>
      </c>
      <c r="E92" s="130">
        <v>2467.3200000000002</v>
      </c>
      <c r="F92" s="130">
        <v>1114.83</v>
      </c>
      <c r="G92" s="130">
        <v>667.48</v>
      </c>
      <c r="H92" s="130">
        <v>371.09</v>
      </c>
      <c r="I92" s="130">
        <v>13193.54</v>
      </c>
      <c r="J92" s="130"/>
      <c r="K92" s="130"/>
    </row>
    <row r="93" spans="1:11">
      <c r="A93" s="130" t="s">
        <v>42</v>
      </c>
      <c r="B93" s="130" t="s">
        <v>24</v>
      </c>
      <c r="C93" s="131" t="s">
        <v>25</v>
      </c>
      <c r="D93" s="130">
        <v>478.1</v>
      </c>
      <c r="E93" s="130">
        <v>449.12</v>
      </c>
      <c r="F93" s="130">
        <v>394</v>
      </c>
      <c r="G93" s="130">
        <v>469.95</v>
      </c>
      <c r="H93" s="130">
        <v>613.08000000000004</v>
      </c>
      <c r="I93" s="130">
        <v>2404.2600000000002</v>
      </c>
      <c r="J93" s="130"/>
      <c r="K93" s="130"/>
    </row>
    <row r="94" spans="1:11">
      <c r="A94" s="130" t="s">
        <v>42</v>
      </c>
      <c r="B94" s="130" t="s">
        <v>26</v>
      </c>
      <c r="C94" s="131" t="s">
        <v>27</v>
      </c>
      <c r="D94" s="130">
        <v>55.77</v>
      </c>
      <c r="E94" s="130">
        <v>182.03</v>
      </c>
      <c r="F94" s="130">
        <v>353.42</v>
      </c>
      <c r="G94" s="130">
        <v>704.07</v>
      </c>
      <c r="H94" s="130">
        <v>1652.11</v>
      </c>
      <c r="I94" s="130">
        <v>182.23</v>
      </c>
      <c r="J94" s="130"/>
      <c r="K94" s="130"/>
    </row>
    <row r="95" spans="1:11">
      <c r="A95" s="130" t="s">
        <v>42</v>
      </c>
      <c r="B95" s="130" t="s">
        <v>28</v>
      </c>
      <c r="C95" s="131" t="s">
        <v>25</v>
      </c>
      <c r="D95" s="130">
        <v>0</v>
      </c>
      <c r="E95" s="130">
        <v>0</v>
      </c>
      <c r="F95" s="130">
        <v>0</v>
      </c>
      <c r="G95" s="130">
        <v>0</v>
      </c>
      <c r="H95" s="130">
        <v>0</v>
      </c>
      <c r="I95" s="130">
        <v>24.34</v>
      </c>
      <c r="J95" s="130"/>
      <c r="K95" s="130"/>
    </row>
    <row r="96" spans="1:11">
      <c r="A96" s="130" t="s">
        <v>42</v>
      </c>
      <c r="B96" s="130" t="s">
        <v>29</v>
      </c>
      <c r="C96" s="131" t="s">
        <v>25</v>
      </c>
      <c r="D96" s="130">
        <v>0</v>
      </c>
      <c r="E96" s="130">
        <v>0</v>
      </c>
      <c r="F96" s="130">
        <v>0</v>
      </c>
      <c r="G96" s="130">
        <v>0</v>
      </c>
      <c r="H96" s="130">
        <v>0</v>
      </c>
      <c r="I96" s="130">
        <v>2428.6</v>
      </c>
      <c r="J96" s="130"/>
      <c r="K96" s="130"/>
    </row>
    <row r="97" spans="1:11">
      <c r="A97" s="130" t="s">
        <v>42</v>
      </c>
      <c r="B97" s="130" t="s">
        <v>30</v>
      </c>
      <c r="C97" s="131" t="s">
        <v>23</v>
      </c>
      <c r="D97" s="130">
        <v>8718.1</v>
      </c>
      <c r="E97" s="130">
        <v>2493.79</v>
      </c>
      <c r="F97" s="130">
        <v>1125.6300000000001</v>
      </c>
      <c r="G97" s="130">
        <v>672.06</v>
      </c>
      <c r="H97" s="130">
        <v>372.48</v>
      </c>
      <c r="I97" s="130">
        <v>13382.05</v>
      </c>
      <c r="J97" s="130"/>
      <c r="K97" s="130"/>
    </row>
    <row r="98" spans="1:11">
      <c r="A98" s="130" t="s">
        <v>42</v>
      </c>
      <c r="B98" s="130" t="s">
        <v>31</v>
      </c>
      <c r="C98" s="131" t="s">
        <v>25</v>
      </c>
      <c r="D98" s="130">
        <v>294</v>
      </c>
      <c r="E98" s="130">
        <v>407</v>
      </c>
      <c r="F98" s="130">
        <v>384</v>
      </c>
      <c r="G98" s="130">
        <v>468</v>
      </c>
      <c r="H98" s="130">
        <v>565</v>
      </c>
      <c r="I98" s="130">
        <v>2118</v>
      </c>
      <c r="J98" s="130"/>
      <c r="K98" s="130"/>
    </row>
    <row r="99" spans="1:11">
      <c r="A99" s="130" t="s">
        <v>42</v>
      </c>
      <c r="B99" s="130" t="s">
        <v>31</v>
      </c>
      <c r="C99" s="131" t="s">
        <v>27</v>
      </c>
      <c r="D99" s="130">
        <v>33.72</v>
      </c>
      <c r="E99" s="130">
        <v>163.21</v>
      </c>
      <c r="F99" s="130">
        <v>341.14</v>
      </c>
      <c r="G99" s="130">
        <v>696.37</v>
      </c>
      <c r="H99" s="130">
        <v>1516.86</v>
      </c>
      <c r="I99" s="130">
        <v>158.27000000000001</v>
      </c>
      <c r="J99" s="130"/>
      <c r="K99" s="130"/>
    </row>
    <row r="100" spans="1:11">
      <c r="A100" s="130" t="s">
        <v>42</v>
      </c>
      <c r="B100" s="130" t="s">
        <v>32</v>
      </c>
      <c r="C100" s="131" t="s">
        <v>25</v>
      </c>
      <c r="D100" s="130">
        <v>0</v>
      </c>
      <c r="E100" s="130">
        <v>0</v>
      </c>
      <c r="F100" s="130">
        <v>0</v>
      </c>
      <c r="G100" s="130">
        <v>0</v>
      </c>
      <c r="H100" s="130">
        <v>0</v>
      </c>
      <c r="I100" s="130">
        <v>50.4</v>
      </c>
      <c r="J100" s="130"/>
      <c r="K100" s="130"/>
    </row>
    <row r="101" spans="1:11">
      <c r="A101" s="130" t="s">
        <v>42</v>
      </c>
      <c r="B101" s="130" t="s">
        <v>33</v>
      </c>
      <c r="C101" s="131" t="s">
        <v>25</v>
      </c>
      <c r="D101" s="130">
        <v>0</v>
      </c>
      <c r="E101" s="130">
        <v>0</v>
      </c>
      <c r="F101" s="130">
        <v>0</v>
      </c>
      <c r="G101" s="130">
        <v>0</v>
      </c>
      <c r="H101" s="130">
        <v>0</v>
      </c>
      <c r="I101" s="130">
        <v>2479</v>
      </c>
      <c r="J101" s="130"/>
      <c r="K101" s="130"/>
    </row>
    <row r="102" spans="1:11">
      <c r="A102" s="130" t="s">
        <v>43</v>
      </c>
      <c r="B102" s="130" t="s">
        <v>22</v>
      </c>
      <c r="C102" s="131" t="s">
        <v>23</v>
      </c>
      <c r="D102" s="130">
        <v>7602</v>
      </c>
      <c r="E102" s="130">
        <v>3000</v>
      </c>
      <c r="F102" s="130">
        <v>1330</v>
      </c>
      <c r="G102" s="130">
        <v>305</v>
      </c>
      <c r="H102" s="130">
        <v>39</v>
      </c>
      <c r="I102" s="130">
        <v>12276</v>
      </c>
      <c r="J102" s="130"/>
      <c r="K102" s="130"/>
    </row>
    <row r="103" spans="1:11">
      <c r="A103" s="130" t="s">
        <v>43</v>
      </c>
      <c r="B103" s="130" t="s">
        <v>24</v>
      </c>
      <c r="C103" s="131" t="s">
        <v>25</v>
      </c>
      <c r="D103" s="130">
        <v>504</v>
      </c>
      <c r="E103" s="130">
        <v>537</v>
      </c>
      <c r="F103" s="130">
        <v>453</v>
      </c>
      <c r="G103" s="130">
        <v>214</v>
      </c>
      <c r="H103" s="130">
        <v>62</v>
      </c>
      <c r="I103" s="130">
        <v>1770</v>
      </c>
      <c r="J103" s="130"/>
      <c r="K103" s="130"/>
    </row>
    <row r="104" spans="1:11">
      <c r="A104" s="130" t="s">
        <v>43</v>
      </c>
      <c r="B104" s="130" t="s">
        <v>26</v>
      </c>
      <c r="C104" s="131" t="s">
        <v>27</v>
      </c>
      <c r="D104" s="130">
        <v>66.3</v>
      </c>
      <c r="E104" s="130">
        <v>179</v>
      </c>
      <c r="F104" s="130">
        <v>340.6</v>
      </c>
      <c r="G104" s="130">
        <v>701.64</v>
      </c>
      <c r="H104" s="130">
        <v>1589.74</v>
      </c>
      <c r="I104" s="130">
        <v>144.18</v>
      </c>
      <c r="J104" s="130"/>
      <c r="K104" s="130"/>
    </row>
    <row r="105" spans="1:11">
      <c r="A105" s="130" t="s">
        <v>43</v>
      </c>
      <c r="B105" s="130" t="s">
        <v>28</v>
      </c>
      <c r="C105" s="131" t="s">
        <v>25</v>
      </c>
      <c r="D105" s="130">
        <v>0</v>
      </c>
      <c r="E105" s="130">
        <v>0</v>
      </c>
      <c r="F105" s="130">
        <v>0</v>
      </c>
      <c r="G105" s="130">
        <v>0</v>
      </c>
      <c r="H105" s="130">
        <v>0</v>
      </c>
      <c r="I105" s="130">
        <v>2</v>
      </c>
      <c r="J105" s="130"/>
      <c r="K105" s="130"/>
    </row>
    <row r="106" spans="1:11">
      <c r="A106" s="130" t="s">
        <v>43</v>
      </c>
      <c r="B106" s="130" t="s">
        <v>29</v>
      </c>
      <c r="C106" s="131" t="s">
        <v>25</v>
      </c>
      <c r="D106" s="130">
        <v>0</v>
      </c>
      <c r="E106" s="130">
        <v>0</v>
      </c>
      <c r="F106" s="130">
        <v>0</v>
      </c>
      <c r="G106" s="130">
        <v>0</v>
      </c>
      <c r="H106" s="130">
        <v>0</v>
      </c>
      <c r="I106" s="130">
        <v>1772</v>
      </c>
      <c r="J106" s="130"/>
      <c r="K106" s="130"/>
    </row>
    <row r="107" spans="1:11">
      <c r="A107" s="130" t="s">
        <v>43</v>
      </c>
      <c r="B107" s="130" t="s">
        <v>30</v>
      </c>
      <c r="C107" s="131" t="s">
        <v>23</v>
      </c>
      <c r="D107" s="130">
        <v>7627</v>
      </c>
      <c r="E107" s="130">
        <v>3012</v>
      </c>
      <c r="F107" s="130">
        <v>1331</v>
      </c>
      <c r="G107" s="130">
        <v>306</v>
      </c>
      <c r="H107" s="130">
        <v>39</v>
      </c>
      <c r="I107" s="130">
        <v>12315</v>
      </c>
      <c r="J107" s="130"/>
      <c r="K107" s="130"/>
    </row>
    <row r="108" spans="1:11">
      <c r="A108" s="130" t="s">
        <v>43</v>
      </c>
      <c r="B108" s="130" t="s">
        <v>31</v>
      </c>
      <c r="C108" s="131" t="s">
        <v>25</v>
      </c>
      <c r="D108" s="130">
        <v>468</v>
      </c>
      <c r="E108" s="130">
        <v>532</v>
      </c>
      <c r="F108" s="130">
        <v>402</v>
      </c>
      <c r="G108" s="130">
        <v>187</v>
      </c>
      <c r="H108" s="130">
        <v>52</v>
      </c>
      <c r="I108" s="130">
        <v>1641</v>
      </c>
      <c r="J108" s="130"/>
      <c r="K108" s="130"/>
    </row>
    <row r="109" spans="1:11">
      <c r="A109" s="130" t="s">
        <v>43</v>
      </c>
      <c r="B109" s="130" t="s">
        <v>31</v>
      </c>
      <c r="C109" s="131" t="s">
        <v>27</v>
      </c>
      <c r="D109" s="130">
        <v>61.36</v>
      </c>
      <c r="E109" s="130">
        <v>176.63</v>
      </c>
      <c r="F109" s="130">
        <v>302.02999999999997</v>
      </c>
      <c r="G109" s="130">
        <v>611.11</v>
      </c>
      <c r="H109" s="130">
        <v>1333.33</v>
      </c>
      <c r="I109" s="130">
        <v>133.25</v>
      </c>
      <c r="J109" s="130"/>
      <c r="K109" s="130"/>
    </row>
    <row r="110" spans="1:11">
      <c r="A110" s="130" t="s">
        <v>43</v>
      </c>
      <c r="B110" s="130" t="s">
        <v>32</v>
      </c>
      <c r="C110" s="131" t="s">
        <v>25</v>
      </c>
      <c r="D110" s="130">
        <v>0</v>
      </c>
      <c r="E110" s="130">
        <v>0</v>
      </c>
      <c r="F110" s="130">
        <v>0</v>
      </c>
      <c r="G110" s="130">
        <v>0</v>
      </c>
      <c r="H110" s="130">
        <v>0</v>
      </c>
      <c r="I110" s="130">
        <v>45</v>
      </c>
      <c r="J110" s="130"/>
      <c r="K110" s="130"/>
    </row>
    <row r="111" spans="1:11">
      <c r="A111" s="130" t="s">
        <v>43</v>
      </c>
      <c r="B111" s="130" t="s">
        <v>33</v>
      </c>
      <c r="C111" s="131" t="s">
        <v>25</v>
      </c>
      <c r="D111" s="130">
        <v>0</v>
      </c>
      <c r="E111" s="130">
        <v>0</v>
      </c>
      <c r="F111" s="130">
        <v>0</v>
      </c>
      <c r="G111" s="130">
        <v>0</v>
      </c>
      <c r="H111" s="130">
        <v>0</v>
      </c>
      <c r="I111" s="130">
        <v>1817</v>
      </c>
      <c r="J111" s="130"/>
      <c r="K111" s="130"/>
    </row>
    <row r="112" spans="1:11">
      <c r="A112" s="130" t="s">
        <v>44</v>
      </c>
      <c r="B112" s="130" t="s">
        <v>22</v>
      </c>
      <c r="C112" s="131" t="s">
        <v>23</v>
      </c>
      <c r="D112" s="130">
        <v>1863.13</v>
      </c>
      <c r="E112" s="130">
        <v>1571.25</v>
      </c>
      <c r="F112" s="130">
        <v>1274.71</v>
      </c>
      <c r="G112" s="130">
        <v>321.37</v>
      </c>
      <c r="H112" s="130">
        <v>51.63</v>
      </c>
      <c r="I112" s="130">
        <v>5082.09</v>
      </c>
      <c r="J112" s="130"/>
      <c r="K112" s="130"/>
    </row>
    <row r="113" spans="1:11">
      <c r="A113" s="130" t="s">
        <v>44</v>
      </c>
      <c r="B113" s="130" t="s">
        <v>24</v>
      </c>
      <c r="C113" s="131" t="s">
        <v>25</v>
      </c>
      <c r="D113" s="130">
        <v>125</v>
      </c>
      <c r="E113" s="130">
        <v>293</v>
      </c>
      <c r="F113" s="130">
        <v>433</v>
      </c>
      <c r="G113" s="130">
        <v>214</v>
      </c>
      <c r="H113" s="130">
        <v>78</v>
      </c>
      <c r="I113" s="130">
        <v>1143</v>
      </c>
      <c r="J113" s="130"/>
      <c r="K113" s="130"/>
    </row>
    <row r="114" spans="1:11">
      <c r="A114" s="130" t="s">
        <v>44</v>
      </c>
      <c r="B114" s="130" t="s">
        <v>26</v>
      </c>
      <c r="C114" s="131" t="s">
        <v>27</v>
      </c>
      <c r="D114" s="130">
        <v>67.09</v>
      </c>
      <c r="E114" s="130">
        <v>186.48</v>
      </c>
      <c r="F114" s="130">
        <v>339.69</v>
      </c>
      <c r="G114" s="130">
        <v>665.9</v>
      </c>
      <c r="H114" s="130">
        <v>1510.75</v>
      </c>
      <c r="I114" s="130">
        <v>224.91</v>
      </c>
      <c r="J114" s="130"/>
      <c r="K114" s="130"/>
    </row>
    <row r="115" spans="1:11">
      <c r="A115" s="130" t="s">
        <v>44</v>
      </c>
      <c r="B115" s="130" t="s">
        <v>28</v>
      </c>
      <c r="C115" s="131" t="s">
        <v>25</v>
      </c>
      <c r="D115" s="130">
        <v>0</v>
      </c>
      <c r="E115" s="130">
        <v>0</v>
      </c>
      <c r="F115" s="130">
        <v>0</v>
      </c>
      <c r="G115" s="130">
        <v>0</v>
      </c>
      <c r="H115" s="130">
        <v>0</v>
      </c>
      <c r="I115" s="130">
        <v>159</v>
      </c>
      <c r="J115" s="130"/>
      <c r="K115" s="130"/>
    </row>
    <row r="116" spans="1:11">
      <c r="A116" s="130" t="s">
        <v>44</v>
      </c>
      <c r="B116" s="130" t="s">
        <v>29</v>
      </c>
      <c r="C116" s="131" t="s">
        <v>25</v>
      </c>
      <c r="D116" s="130">
        <v>0</v>
      </c>
      <c r="E116" s="130">
        <v>0</v>
      </c>
      <c r="F116" s="130">
        <v>0</v>
      </c>
      <c r="G116" s="130">
        <v>0</v>
      </c>
      <c r="H116" s="130">
        <v>0</v>
      </c>
      <c r="I116" s="130">
        <v>1302</v>
      </c>
      <c r="J116" s="130"/>
      <c r="K116" s="130"/>
    </row>
    <row r="117" spans="1:11">
      <c r="A117" s="130" t="s">
        <v>44</v>
      </c>
      <c r="B117" s="130" t="s">
        <v>30</v>
      </c>
      <c r="C117" s="131" t="s">
        <v>23</v>
      </c>
      <c r="D117" s="130">
        <v>1990.19</v>
      </c>
      <c r="E117" s="130">
        <v>1394.73</v>
      </c>
      <c r="F117" s="130">
        <v>1413.89</v>
      </c>
      <c r="G117" s="130">
        <v>427.48</v>
      </c>
      <c r="H117" s="130">
        <v>92.34</v>
      </c>
      <c r="I117" s="130">
        <v>5318.63</v>
      </c>
      <c r="J117" s="130"/>
      <c r="K117" s="130"/>
    </row>
    <row r="118" spans="1:11">
      <c r="A118" s="130" t="s">
        <v>44</v>
      </c>
      <c r="B118" s="130" t="s">
        <v>31</v>
      </c>
      <c r="C118" s="131" t="s">
        <v>25</v>
      </c>
      <c r="D118" s="130">
        <v>127</v>
      </c>
      <c r="E118" s="130">
        <v>262</v>
      </c>
      <c r="F118" s="130">
        <v>487</v>
      </c>
      <c r="G118" s="130">
        <v>286</v>
      </c>
      <c r="H118" s="130">
        <v>141</v>
      </c>
      <c r="I118" s="130">
        <v>1303</v>
      </c>
      <c r="J118" s="130"/>
      <c r="K118" s="130"/>
    </row>
    <row r="119" spans="1:11">
      <c r="A119" s="130" t="s">
        <v>44</v>
      </c>
      <c r="B119" s="130" t="s">
        <v>31</v>
      </c>
      <c r="C119" s="131" t="s">
        <v>27</v>
      </c>
      <c r="D119" s="130">
        <v>63.81</v>
      </c>
      <c r="E119" s="130">
        <v>187.85</v>
      </c>
      <c r="F119" s="130">
        <v>344.44</v>
      </c>
      <c r="G119" s="130">
        <v>669.04</v>
      </c>
      <c r="H119" s="130">
        <v>1526.97</v>
      </c>
      <c r="I119" s="130">
        <v>244.99</v>
      </c>
      <c r="J119" s="130"/>
      <c r="K119" s="130"/>
    </row>
    <row r="120" spans="1:11">
      <c r="A120" s="130" t="s">
        <v>44</v>
      </c>
      <c r="B120" s="130" t="s">
        <v>32</v>
      </c>
      <c r="C120" s="131" t="s">
        <v>25</v>
      </c>
      <c r="D120" s="130">
        <v>0</v>
      </c>
      <c r="E120" s="130">
        <v>0</v>
      </c>
      <c r="F120" s="130">
        <v>0</v>
      </c>
      <c r="G120" s="130">
        <v>0</v>
      </c>
      <c r="H120" s="130">
        <v>0</v>
      </c>
      <c r="I120" s="130">
        <v>11</v>
      </c>
      <c r="J120" s="130"/>
      <c r="K120" s="130"/>
    </row>
    <row r="121" spans="1:11">
      <c r="A121" s="130" t="s">
        <v>44</v>
      </c>
      <c r="B121" s="130" t="s">
        <v>33</v>
      </c>
      <c r="C121" s="131" t="s">
        <v>25</v>
      </c>
      <c r="D121" s="130">
        <v>0</v>
      </c>
      <c r="E121" s="130">
        <v>0</v>
      </c>
      <c r="F121" s="130">
        <v>0</v>
      </c>
      <c r="G121" s="130">
        <v>0</v>
      </c>
      <c r="H121" s="130">
        <v>0</v>
      </c>
      <c r="I121" s="130">
        <v>1313</v>
      </c>
      <c r="J121" s="130"/>
      <c r="K121" s="130"/>
    </row>
    <row r="122" spans="1:11">
      <c r="A122" s="130" t="s">
        <v>45</v>
      </c>
      <c r="B122" s="130" t="s">
        <v>22</v>
      </c>
      <c r="C122" s="131" t="s">
        <v>23</v>
      </c>
      <c r="D122" s="130">
        <v>23380.38</v>
      </c>
      <c r="E122" s="130">
        <v>8915.86</v>
      </c>
      <c r="F122" s="130">
        <v>6671.88</v>
      </c>
      <c r="G122" s="130">
        <v>1318.93</v>
      </c>
      <c r="H122" s="130">
        <v>122.98</v>
      </c>
      <c r="I122" s="130">
        <v>40410.03</v>
      </c>
      <c r="J122" s="130"/>
      <c r="K122" s="130"/>
    </row>
    <row r="123" spans="1:11">
      <c r="A123" s="130" t="s">
        <v>45</v>
      </c>
      <c r="B123" s="130" t="s">
        <v>24</v>
      </c>
      <c r="C123" s="131" t="s">
        <v>25</v>
      </c>
      <c r="D123" s="130">
        <v>841.2</v>
      </c>
      <c r="E123" s="130">
        <v>1598.6</v>
      </c>
      <c r="F123" s="130">
        <v>2239.1999999999998</v>
      </c>
      <c r="G123" s="130">
        <v>843.4</v>
      </c>
      <c r="H123" s="130">
        <v>163.19999999999999</v>
      </c>
      <c r="I123" s="130">
        <v>5685.6</v>
      </c>
      <c r="J123" s="130"/>
      <c r="K123" s="130"/>
    </row>
    <row r="124" spans="1:11">
      <c r="A124" s="130" t="s">
        <v>45</v>
      </c>
      <c r="B124" s="130" t="s">
        <v>26</v>
      </c>
      <c r="C124" s="131" t="s">
        <v>27</v>
      </c>
      <c r="D124" s="130">
        <v>35.979999999999997</v>
      </c>
      <c r="E124" s="130">
        <v>179.3</v>
      </c>
      <c r="F124" s="130">
        <v>335.62</v>
      </c>
      <c r="G124" s="130">
        <v>639.46</v>
      </c>
      <c r="H124" s="130">
        <v>1327.05</v>
      </c>
      <c r="I124" s="130">
        <v>140.69999999999999</v>
      </c>
      <c r="J124" s="130"/>
      <c r="K124" s="130"/>
    </row>
    <row r="125" spans="1:11">
      <c r="A125" s="130" t="s">
        <v>45</v>
      </c>
      <c r="B125" s="130" t="s">
        <v>28</v>
      </c>
      <c r="C125" s="131" t="s">
        <v>25</v>
      </c>
      <c r="D125" s="130">
        <v>0</v>
      </c>
      <c r="E125" s="130">
        <v>0</v>
      </c>
      <c r="F125" s="130">
        <v>0</v>
      </c>
      <c r="G125" s="130">
        <v>0</v>
      </c>
      <c r="H125" s="130">
        <v>0</v>
      </c>
      <c r="I125" s="130">
        <v>231</v>
      </c>
      <c r="J125" s="130"/>
      <c r="K125" s="130"/>
    </row>
    <row r="126" spans="1:11">
      <c r="A126" s="130" t="s">
        <v>45</v>
      </c>
      <c r="B126" s="130" t="s">
        <v>29</v>
      </c>
      <c r="C126" s="131" t="s">
        <v>25</v>
      </c>
      <c r="D126" s="130">
        <v>0</v>
      </c>
      <c r="E126" s="130">
        <v>0</v>
      </c>
      <c r="F126" s="130">
        <v>0</v>
      </c>
      <c r="G126" s="130">
        <v>0</v>
      </c>
      <c r="H126" s="130">
        <v>0</v>
      </c>
      <c r="I126" s="130">
        <v>5916.6</v>
      </c>
      <c r="J126" s="130"/>
      <c r="K126" s="130"/>
    </row>
    <row r="127" spans="1:11">
      <c r="A127" s="130" t="s">
        <v>45</v>
      </c>
      <c r="B127" s="130" t="s">
        <v>30</v>
      </c>
      <c r="C127" s="131" t="s">
        <v>23</v>
      </c>
      <c r="D127" s="130">
        <v>25037</v>
      </c>
      <c r="E127" s="130">
        <v>9317.27</v>
      </c>
      <c r="F127" s="130">
        <v>6857.5</v>
      </c>
      <c r="G127" s="130">
        <v>1346.99</v>
      </c>
      <c r="H127" s="130">
        <v>125.94</v>
      </c>
      <c r="I127" s="130">
        <v>42685</v>
      </c>
      <c r="J127" s="130"/>
      <c r="K127" s="130"/>
    </row>
    <row r="128" spans="1:11">
      <c r="A128" s="130" t="s">
        <v>45</v>
      </c>
      <c r="B128" s="130" t="s">
        <v>31</v>
      </c>
      <c r="C128" s="131" t="s">
        <v>25</v>
      </c>
      <c r="D128" s="130">
        <v>936.4</v>
      </c>
      <c r="E128" s="130">
        <v>1670.6</v>
      </c>
      <c r="F128" s="130">
        <v>2287.4</v>
      </c>
      <c r="G128" s="130">
        <v>855</v>
      </c>
      <c r="H128" s="130">
        <v>166.4</v>
      </c>
      <c r="I128" s="130">
        <v>5915.8</v>
      </c>
      <c r="J128" s="130"/>
      <c r="K128" s="130"/>
    </row>
    <row r="129" spans="1:11">
      <c r="A129" s="130" t="s">
        <v>45</v>
      </c>
      <c r="B129" s="130" t="s">
        <v>31</v>
      </c>
      <c r="C129" s="131" t="s">
        <v>27</v>
      </c>
      <c r="D129" s="130">
        <v>37.4</v>
      </c>
      <c r="E129" s="130">
        <v>179.3</v>
      </c>
      <c r="F129" s="130">
        <v>333.56</v>
      </c>
      <c r="G129" s="130">
        <v>634.75</v>
      </c>
      <c r="H129" s="130">
        <v>1321.3</v>
      </c>
      <c r="I129" s="130">
        <v>138.59</v>
      </c>
      <c r="J129" s="130"/>
      <c r="K129" s="130"/>
    </row>
    <row r="130" spans="1:11">
      <c r="A130" s="130" t="s">
        <v>45</v>
      </c>
      <c r="B130" s="130" t="s">
        <v>32</v>
      </c>
      <c r="C130" s="131" t="s">
        <v>25</v>
      </c>
      <c r="D130" s="130">
        <v>0</v>
      </c>
      <c r="E130" s="130">
        <v>0</v>
      </c>
      <c r="F130" s="130">
        <v>0</v>
      </c>
      <c r="G130" s="130">
        <v>0</v>
      </c>
      <c r="H130" s="130">
        <v>0</v>
      </c>
      <c r="I130" s="130">
        <v>97.4</v>
      </c>
      <c r="J130" s="130"/>
      <c r="K130" s="130"/>
    </row>
    <row r="131" spans="1:11">
      <c r="A131" s="130" t="s">
        <v>45</v>
      </c>
      <c r="B131" s="130" t="s">
        <v>33</v>
      </c>
      <c r="C131" s="131" t="s">
        <v>25</v>
      </c>
      <c r="D131" s="130">
        <v>0</v>
      </c>
      <c r="E131" s="130">
        <v>0</v>
      </c>
      <c r="F131" s="130">
        <v>0</v>
      </c>
      <c r="G131" s="130">
        <v>0</v>
      </c>
      <c r="H131" s="130">
        <v>0</v>
      </c>
      <c r="I131" s="130">
        <v>6014</v>
      </c>
      <c r="J131" s="130"/>
      <c r="K131" s="130"/>
    </row>
    <row r="132" spans="1:11">
      <c r="A132" s="130" t="s">
        <v>46</v>
      </c>
      <c r="B132" s="130" t="s">
        <v>22</v>
      </c>
      <c r="C132" s="131" t="s">
        <v>23</v>
      </c>
      <c r="D132" s="130">
        <v>8480.61</v>
      </c>
      <c r="E132" s="130">
        <v>4359.84</v>
      </c>
      <c r="F132" s="130">
        <v>34.79</v>
      </c>
      <c r="G132" s="130">
        <v>466.55</v>
      </c>
      <c r="H132" s="130">
        <v>358.35</v>
      </c>
      <c r="I132" s="130">
        <v>13700.14</v>
      </c>
      <c r="J132" s="130"/>
      <c r="K132" s="130"/>
    </row>
    <row r="133" spans="1:11">
      <c r="A133" s="130" t="s">
        <v>46</v>
      </c>
      <c r="B133" s="130" t="s">
        <v>24</v>
      </c>
      <c r="C133" s="131" t="s">
        <v>25</v>
      </c>
      <c r="D133" s="130">
        <v>412</v>
      </c>
      <c r="E133" s="130">
        <v>780</v>
      </c>
      <c r="F133" s="130">
        <v>12</v>
      </c>
      <c r="G133" s="130">
        <v>258</v>
      </c>
      <c r="H133" s="130">
        <v>911</v>
      </c>
      <c r="I133" s="130">
        <v>2373</v>
      </c>
      <c r="J133" s="130"/>
      <c r="K133" s="130"/>
    </row>
    <row r="134" spans="1:11">
      <c r="A134" s="130" t="s">
        <v>46</v>
      </c>
      <c r="B134" s="130" t="s">
        <v>26</v>
      </c>
      <c r="C134" s="131" t="s">
        <v>27</v>
      </c>
      <c r="D134" s="130">
        <v>48.58</v>
      </c>
      <c r="E134" s="130">
        <v>178.91</v>
      </c>
      <c r="F134" s="130">
        <v>344.93</v>
      </c>
      <c r="G134" s="130">
        <v>553</v>
      </c>
      <c r="H134" s="130">
        <v>2542.21</v>
      </c>
      <c r="I134" s="130">
        <v>173.21</v>
      </c>
      <c r="J134" s="130"/>
      <c r="K134" s="130"/>
    </row>
    <row r="135" spans="1:11">
      <c r="A135" s="130" t="s">
        <v>46</v>
      </c>
      <c r="B135" s="130" t="s">
        <v>28</v>
      </c>
      <c r="C135" s="131" t="s">
        <v>25</v>
      </c>
      <c r="D135" s="130">
        <v>0</v>
      </c>
      <c r="E135" s="130">
        <v>0</v>
      </c>
      <c r="F135" s="130">
        <v>0</v>
      </c>
      <c r="G135" s="130">
        <v>0</v>
      </c>
      <c r="H135" s="130">
        <v>0</v>
      </c>
      <c r="I135" s="130">
        <v>228</v>
      </c>
      <c r="J135" s="130"/>
      <c r="K135" s="130"/>
    </row>
    <row r="136" spans="1:11">
      <c r="A136" s="130" t="s">
        <v>46</v>
      </c>
      <c r="B136" s="130" t="s">
        <v>29</v>
      </c>
      <c r="C136" s="131" t="s">
        <v>25</v>
      </c>
      <c r="D136" s="130">
        <v>0</v>
      </c>
      <c r="E136" s="130">
        <v>0</v>
      </c>
      <c r="F136" s="130">
        <v>0</v>
      </c>
      <c r="G136" s="130">
        <v>0</v>
      </c>
      <c r="H136" s="130">
        <v>0</v>
      </c>
      <c r="I136" s="130">
        <v>2601</v>
      </c>
      <c r="J136" s="130"/>
      <c r="K136" s="130"/>
    </row>
    <row r="137" spans="1:11">
      <c r="A137" s="130" t="s">
        <v>46</v>
      </c>
      <c r="B137" s="130" t="s">
        <v>30</v>
      </c>
      <c r="C137" s="131" t="s">
        <v>23</v>
      </c>
      <c r="D137" s="130">
        <v>8710.91</v>
      </c>
      <c r="E137" s="130">
        <v>4533.09</v>
      </c>
      <c r="F137" s="130">
        <v>71.05</v>
      </c>
      <c r="G137" s="130">
        <v>468.94</v>
      </c>
      <c r="H137" s="130">
        <v>426.31</v>
      </c>
      <c r="I137" s="130">
        <v>14210.3</v>
      </c>
      <c r="J137" s="130"/>
      <c r="K137" s="130"/>
    </row>
    <row r="138" spans="1:11">
      <c r="A138" s="130" t="s">
        <v>46</v>
      </c>
      <c r="B138" s="130" t="s">
        <v>31</v>
      </c>
      <c r="C138" s="131" t="s">
        <v>25</v>
      </c>
      <c r="D138" s="130">
        <v>419</v>
      </c>
      <c r="E138" s="130">
        <v>812</v>
      </c>
      <c r="F138" s="130">
        <v>25</v>
      </c>
      <c r="G138" s="130">
        <v>262</v>
      </c>
      <c r="H138" s="130">
        <v>1081</v>
      </c>
      <c r="I138" s="130">
        <v>2600</v>
      </c>
      <c r="J138" s="130"/>
      <c r="K138" s="130"/>
    </row>
    <row r="139" spans="1:11">
      <c r="A139" s="130" t="s">
        <v>46</v>
      </c>
      <c r="B139" s="130" t="s">
        <v>31</v>
      </c>
      <c r="C139" s="131" t="s">
        <v>27</v>
      </c>
      <c r="D139" s="130">
        <v>48.1</v>
      </c>
      <c r="E139" s="130">
        <v>179.13</v>
      </c>
      <c r="F139" s="130">
        <v>351.86</v>
      </c>
      <c r="G139" s="130">
        <v>558.71</v>
      </c>
      <c r="H139" s="130">
        <v>2535.71</v>
      </c>
      <c r="I139" s="130">
        <v>182.97</v>
      </c>
      <c r="J139" s="130"/>
      <c r="K139" s="130"/>
    </row>
    <row r="140" spans="1:11">
      <c r="A140" s="130" t="s">
        <v>46</v>
      </c>
      <c r="B140" s="130" t="s">
        <v>32</v>
      </c>
      <c r="C140" s="131" t="s">
        <v>25</v>
      </c>
      <c r="D140" s="130">
        <v>0</v>
      </c>
      <c r="E140" s="130">
        <v>0</v>
      </c>
      <c r="F140" s="130">
        <v>0</v>
      </c>
      <c r="G140" s="130">
        <v>0</v>
      </c>
      <c r="H140" s="130">
        <v>0</v>
      </c>
      <c r="I140" s="130">
        <v>3</v>
      </c>
      <c r="J140" s="130"/>
      <c r="K140" s="130"/>
    </row>
    <row r="141" spans="1:11">
      <c r="A141" s="130" t="s">
        <v>46</v>
      </c>
      <c r="B141" s="130" t="s">
        <v>33</v>
      </c>
      <c r="C141" s="131" t="s">
        <v>25</v>
      </c>
      <c r="D141" s="130">
        <v>0</v>
      </c>
      <c r="E141" s="130">
        <v>0</v>
      </c>
      <c r="F141" s="130">
        <v>0</v>
      </c>
      <c r="G141" s="130">
        <v>0</v>
      </c>
      <c r="H141" s="130">
        <v>0</v>
      </c>
      <c r="I141" s="130">
        <v>2604</v>
      </c>
      <c r="J141" s="130"/>
      <c r="K141" s="130"/>
    </row>
    <row r="142" spans="1:11">
      <c r="A142" s="130" t="s">
        <v>47</v>
      </c>
      <c r="B142" s="130" t="s">
        <v>22</v>
      </c>
      <c r="C142" s="131" t="s">
        <v>23</v>
      </c>
      <c r="D142" s="130">
        <v>613.19000000000005</v>
      </c>
      <c r="E142" s="130">
        <v>104.33</v>
      </c>
      <c r="F142" s="130">
        <v>57.45</v>
      </c>
      <c r="G142" s="130">
        <v>0</v>
      </c>
      <c r="H142" s="130">
        <v>0</v>
      </c>
      <c r="I142" s="130">
        <v>774.97</v>
      </c>
      <c r="J142" s="130"/>
      <c r="K142" s="130"/>
    </row>
    <row r="143" spans="1:11">
      <c r="A143" s="130" t="s">
        <v>47</v>
      </c>
      <c r="B143" s="130" t="s">
        <v>24</v>
      </c>
      <c r="C143" s="131" t="s">
        <v>25</v>
      </c>
      <c r="D143" s="130">
        <v>24</v>
      </c>
      <c r="E143" s="130">
        <v>20</v>
      </c>
      <c r="F143" s="130">
        <v>17</v>
      </c>
      <c r="G143" s="130">
        <v>0</v>
      </c>
      <c r="H143" s="130">
        <v>0</v>
      </c>
      <c r="I143" s="130">
        <v>61</v>
      </c>
      <c r="J143" s="130"/>
      <c r="K143" s="130"/>
    </row>
    <row r="144" spans="1:11">
      <c r="A144" s="130" t="s">
        <v>47</v>
      </c>
      <c r="B144" s="130" t="s">
        <v>26</v>
      </c>
      <c r="C144" s="131" t="s">
        <v>27</v>
      </c>
      <c r="D144" s="130">
        <v>39.14</v>
      </c>
      <c r="E144" s="130">
        <v>191.7</v>
      </c>
      <c r="F144" s="130">
        <v>295.89</v>
      </c>
      <c r="G144" s="130">
        <v>0</v>
      </c>
      <c r="H144" s="130">
        <v>0</v>
      </c>
      <c r="I144" s="130">
        <v>78.709999999999994</v>
      </c>
      <c r="J144" s="130"/>
      <c r="K144" s="130"/>
    </row>
    <row r="145" spans="1:11">
      <c r="A145" s="130" t="s">
        <v>47</v>
      </c>
      <c r="B145" s="130" t="s">
        <v>28</v>
      </c>
      <c r="C145" s="131" t="s">
        <v>25</v>
      </c>
      <c r="D145" s="130">
        <v>0</v>
      </c>
      <c r="E145" s="130">
        <v>0</v>
      </c>
      <c r="F145" s="130">
        <v>0</v>
      </c>
      <c r="G145" s="130">
        <v>0</v>
      </c>
      <c r="H145" s="130">
        <v>0</v>
      </c>
      <c r="I145" s="130">
        <v>8</v>
      </c>
      <c r="J145" s="130"/>
      <c r="K145" s="130"/>
    </row>
    <row r="146" spans="1:11">
      <c r="A146" s="130" t="s">
        <v>47</v>
      </c>
      <c r="B146" s="130" t="s">
        <v>29</v>
      </c>
      <c r="C146" s="131" t="s">
        <v>25</v>
      </c>
      <c r="D146" s="130">
        <v>0</v>
      </c>
      <c r="E146" s="130">
        <v>0</v>
      </c>
      <c r="F146" s="130">
        <v>0</v>
      </c>
      <c r="G146" s="130">
        <v>0</v>
      </c>
      <c r="H146" s="130">
        <v>0</v>
      </c>
      <c r="I146" s="130">
        <v>69</v>
      </c>
      <c r="J146" s="130"/>
      <c r="K146" s="130"/>
    </row>
    <row r="147" spans="1:11">
      <c r="A147" s="130" t="s">
        <v>47</v>
      </c>
      <c r="B147" s="130" t="s">
        <v>30</v>
      </c>
      <c r="C147" s="131" t="s">
        <v>23</v>
      </c>
      <c r="D147" s="130">
        <v>637.51</v>
      </c>
      <c r="E147" s="130">
        <v>104.33</v>
      </c>
      <c r="F147" s="130">
        <v>57.45</v>
      </c>
      <c r="G147" s="130">
        <v>0</v>
      </c>
      <c r="H147" s="130">
        <v>0</v>
      </c>
      <c r="I147" s="130">
        <v>791.08</v>
      </c>
      <c r="J147" s="130"/>
      <c r="K147" s="130"/>
    </row>
    <row r="148" spans="1:11">
      <c r="A148" s="130" t="s">
        <v>47</v>
      </c>
      <c r="B148" s="130" t="s">
        <v>31</v>
      </c>
      <c r="C148" s="131" t="s">
        <v>25</v>
      </c>
      <c r="D148" s="130">
        <v>27</v>
      </c>
      <c r="E148" s="130">
        <v>19</v>
      </c>
      <c r="F148" s="130">
        <v>23</v>
      </c>
      <c r="G148" s="130">
        <v>0</v>
      </c>
      <c r="H148" s="130">
        <v>0</v>
      </c>
      <c r="I148" s="130">
        <v>69</v>
      </c>
      <c r="J148" s="130"/>
      <c r="K148" s="130"/>
    </row>
    <row r="149" spans="1:11">
      <c r="A149" s="130" t="s">
        <v>47</v>
      </c>
      <c r="B149" s="130" t="s">
        <v>31</v>
      </c>
      <c r="C149" s="131" t="s">
        <v>27</v>
      </c>
      <c r="D149" s="130">
        <v>42.35</v>
      </c>
      <c r="E149" s="130">
        <v>182.11</v>
      </c>
      <c r="F149" s="130">
        <v>400.33</v>
      </c>
      <c r="G149" s="130">
        <v>0</v>
      </c>
      <c r="H149" s="130">
        <v>0</v>
      </c>
      <c r="I149" s="130">
        <v>87.22</v>
      </c>
      <c r="J149" s="130"/>
      <c r="K149" s="130"/>
    </row>
    <row r="150" spans="1:11">
      <c r="A150" s="130" t="s">
        <v>47</v>
      </c>
      <c r="B150" s="130" t="s">
        <v>32</v>
      </c>
      <c r="C150" s="131" t="s">
        <v>25</v>
      </c>
      <c r="D150" s="130">
        <v>0</v>
      </c>
      <c r="E150" s="130">
        <v>0</v>
      </c>
      <c r="F150" s="130">
        <v>0</v>
      </c>
      <c r="G150" s="130">
        <v>0</v>
      </c>
      <c r="H150" s="130">
        <v>0</v>
      </c>
      <c r="I150" s="130">
        <v>1</v>
      </c>
      <c r="J150" s="130"/>
      <c r="K150" s="130"/>
    </row>
    <row r="151" spans="1:11">
      <c r="A151" s="130" t="s">
        <v>47</v>
      </c>
      <c r="B151" s="130" t="s">
        <v>33</v>
      </c>
      <c r="C151" s="131" t="s">
        <v>25</v>
      </c>
      <c r="D151" s="130">
        <v>0</v>
      </c>
      <c r="E151" s="130">
        <v>0</v>
      </c>
      <c r="F151" s="130">
        <v>0</v>
      </c>
      <c r="G151" s="130">
        <v>0</v>
      </c>
      <c r="H151" s="130">
        <v>0</v>
      </c>
      <c r="I151" s="130">
        <v>70</v>
      </c>
      <c r="J151" s="130"/>
      <c r="K151" s="130"/>
    </row>
    <row r="152" spans="1:11">
      <c r="A152" s="130" t="s">
        <v>48</v>
      </c>
      <c r="B152" s="130" t="s">
        <v>22</v>
      </c>
      <c r="C152" s="131" t="s">
        <v>23</v>
      </c>
      <c r="D152" s="130">
        <v>5677.07</v>
      </c>
      <c r="E152" s="130">
        <v>7811.04</v>
      </c>
      <c r="F152" s="130">
        <v>7471.91</v>
      </c>
      <c r="G152" s="130">
        <v>3709.34</v>
      </c>
      <c r="H152" s="130">
        <v>2393.86</v>
      </c>
      <c r="I152" s="130">
        <v>27063.23</v>
      </c>
      <c r="J152" s="130"/>
      <c r="K152" s="130"/>
    </row>
    <row r="153" spans="1:11">
      <c r="A153" s="130" t="s">
        <v>48</v>
      </c>
      <c r="B153" s="130" t="s">
        <v>24</v>
      </c>
      <c r="C153" s="131" t="s">
        <v>25</v>
      </c>
      <c r="D153" s="130">
        <v>448</v>
      </c>
      <c r="E153" s="130">
        <v>1444</v>
      </c>
      <c r="F153" s="130">
        <v>2654</v>
      </c>
      <c r="G153" s="130">
        <v>2655</v>
      </c>
      <c r="H153" s="130">
        <v>4298</v>
      </c>
      <c r="I153" s="130">
        <v>11497</v>
      </c>
      <c r="J153" s="130"/>
      <c r="K153" s="130"/>
    </row>
    <row r="154" spans="1:11">
      <c r="A154" s="130" t="s">
        <v>48</v>
      </c>
      <c r="B154" s="130" t="s">
        <v>26</v>
      </c>
      <c r="C154" s="131" t="s">
        <v>27</v>
      </c>
      <c r="D154" s="130">
        <v>78.91</v>
      </c>
      <c r="E154" s="130">
        <v>184.87</v>
      </c>
      <c r="F154" s="130">
        <v>355.2</v>
      </c>
      <c r="G154" s="130">
        <v>715.76</v>
      </c>
      <c r="H154" s="130">
        <v>1795.43</v>
      </c>
      <c r="I154" s="130">
        <v>424.82</v>
      </c>
      <c r="J154" s="130"/>
      <c r="K154" s="130"/>
    </row>
    <row r="155" spans="1:11">
      <c r="A155" s="130" t="s">
        <v>48</v>
      </c>
      <c r="B155" s="130" t="s">
        <v>28</v>
      </c>
      <c r="C155" s="131" t="s">
        <v>25</v>
      </c>
      <c r="D155" s="130">
        <v>0</v>
      </c>
      <c r="E155" s="130">
        <v>0</v>
      </c>
      <c r="F155" s="130">
        <v>0</v>
      </c>
      <c r="G155" s="130">
        <v>0</v>
      </c>
      <c r="H155" s="130">
        <v>0</v>
      </c>
      <c r="I155" s="130">
        <v>627</v>
      </c>
      <c r="J155" s="130"/>
      <c r="K155" s="130"/>
    </row>
    <row r="156" spans="1:11">
      <c r="A156" s="130" t="s">
        <v>48</v>
      </c>
      <c r="B156" s="130" t="s">
        <v>29</v>
      </c>
      <c r="C156" s="131" t="s">
        <v>25</v>
      </c>
      <c r="D156" s="130">
        <v>0</v>
      </c>
      <c r="E156" s="130">
        <v>0</v>
      </c>
      <c r="F156" s="130">
        <v>0</v>
      </c>
      <c r="G156" s="130">
        <v>0</v>
      </c>
      <c r="H156" s="130">
        <v>0</v>
      </c>
      <c r="I156" s="130">
        <v>12124</v>
      </c>
      <c r="J156" s="130"/>
      <c r="K156" s="130"/>
    </row>
    <row r="157" spans="1:11">
      <c r="A157" s="130" t="s">
        <v>48</v>
      </c>
      <c r="B157" s="130" t="s">
        <v>30</v>
      </c>
      <c r="C157" s="131" t="s">
        <v>23</v>
      </c>
      <c r="D157" s="130">
        <v>5891.17</v>
      </c>
      <c r="E157" s="130">
        <v>8151.64</v>
      </c>
      <c r="F157" s="130">
        <v>7781.78</v>
      </c>
      <c r="G157" s="130">
        <v>3971.38</v>
      </c>
      <c r="H157" s="130">
        <v>2699.45</v>
      </c>
      <c r="I157" s="130">
        <v>28495.41</v>
      </c>
      <c r="J157" s="130"/>
      <c r="K157" s="130"/>
    </row>
    <row r="158" spans="1:11">
      <c r="A158" s="130" t="s">
        <v>48</v>
      </c>
      <c r="B158" s="130" t="s">
        <v>31</v>
      </c>
      <c r="C158" s="131" t="s">
        <v>25</v>
      </c>
      <c r="D158" s="130">
        <v>460</v>
      </c>
      <c r="E158" s="130">
        <v>1485</v>
      </c>
      <c r="F158" s="130">
        <v>2731</v>
      </c>
      <c r="G158" s="130">
        <v>2784</v>
      </c>
      <c r="H158" s="130">
        <v>4665</v>
      </c>
      <c r="I158" s="130">
        <v>12125</v>
      </c>
      <c r="J158" s="130"/>
      <c r="K158" s="130"/>
    </row>
    <row r="159" spans="1:11">
      <c r="A159" s="130" t="s">
        <v>48</v>
      </c>
      <c r="B159" s="130" t="s">
        <v>31</v>
      </c>
      <c r="C159" s="131" t="s">
        <v>27</v>
      </c>
      <c r="D159" s="130">
        <v>78.08</v>
      </c>
      <c r="E159" s="130">
        <v>182.17</v>
      </c>
      <c r="F159" s="130">
        <v>350.95</v>
      </c>
      <c r="G159" s="130">
        <v>701.02</v>
      </c>
      <c r="H159" s="130">
        <v>1728.13</v>
      </c>
      <c r="I159" s="130">
        <v>425.51</v>
      </c>
      <c r="J159" s="130"/>
      <c r="K159" s="130"/>
    </row>
    <row r="160" spans="1:11">
      <c r="A160" s="130" t="s">
        <v>48</v>
      </c>
      <c r="B160" s="130" t="s">
        <v>32</v>
      </c>
      <c r="C160" s="131" t="s">
        <v>25</v>
      </c>
      <c r="D160" s="130">
        <v>0</v>
      </c>
      <c r="E160" s="130">
        <v>0</v>
      </c>
      <c r="F160" s="130">
        <v>0</v>
      </c>
      <c r="G160" s="130">
        <v>0</v>
      </c>
      <c r="H160" s="130">
        <v>0</v>
      </c>
      <c r="I160" s="130">
        <v>125</v>
      </c>
      <c r="J160" s="130"/>
      <c r="K160" s="130"/>
    </row>
    <row r="161" spans="1:11">
      <c r="A161" s="130" t="s">
        <v>48</v>
      </c>
      <c r="B161" s="130" t="s">
        <v>33</v>
      </c>
      <c r="C161" s="131" t="s">
        <v>25</v>
      </c>
      <c r="D161" s="130">
        <v>0</v>
      </c>
      <c r="E161" s="130">
        <v>0</v>
      </c>
      <c r="F161" s="130">
        <v>0</v>
      </c>
      <c r="G161" s="130">
        <v>0</v>
      </c>
      <c r="H161" s="130">
        <v>0</v>
      </c>
      <c r="I161" s="130">
        <v>12249</v>
      </c>
      <c r="J161" s="130"/>
      <c r="K161" s="130"/>
    </row>
    <row r="162" spans="1:11">
      <c r="A162" s="130" t="s">
        <v>49</v>
      </c>
      <c r="B162" s="130" t="s">
        <v>22</v>
      </c>
      <c r="C162" s="131" t="s">
        <v>23</v>
      </c>
      <c r="D162" s="130">
        <v>3087.91</v>
      </c>
      <c r="E162" s="130">
        <v>4138.9399999999996</v>
      </c>
      <c r="F162" s="130">
        <v>3648.09</v>
      </c>
      <c r="G162" s="130">
        <v>1602.58</v>
      </c>
      <c r="H162" s="130">
        <v>415.05</v>
      </c>
      <c r="I162" s="130">
        <v>12892.57</v>
      </c>
      <c r="J162" s="130"/>
      <c r="K162" s="130"/>
    </row>
    <row r="163" spans="1:11">
      <c r="A163" s="130" t="s">
        <v>49</v>
      </c>
      <c r="B163" s="130" t="s">
        <v>24</v>
      </c>
      <c r="C163" s="131" t="s">
        <v>25</v>
      </c>
      <c r="D163" s="130">
        <v>237.43</v>
      </c>
      <c r="E163" s="130">
        <v>725.06</v>
      </c>
      <c r="F163" s="130">
        <v>1269.43</v>
      </c>
      <c r="G163" s="130">
        <v>1061.73</v>
      </c>
      <c r="H163" s="130">
        <v>602.95000000000005</v>
      </c>
      <c r="I163" s="130">
        <v>3896.59</v>
      </c>
      <c r="J163" s="130"/>
      <c r="K163" s="130"/>
    </row>
    <row r="164" spans="1:11">
      <c r="A164" s="130" t="s">
        <v>49</v>
      </c>
      <c r="B164" s="130" t="s">
        <v>26</v>
      </c>
      <c r="C164" s="131" t="s">
        <v>27</v>
      </c>
      <c r="D164" s="130">
        <v>76.89</v>
      </c>
      <c r="E164" s="130">
        <v>175.18</v>
      </c>
      <c r="F164" s="130">
        <v>347.97</v>
      </c>
      <c r="G164" s="130">
        <v>662.51</v>
      </c>
      <c r="H164" s="130">
        <v>1452.72</v>
      </c>
      <c r="I164" s="130">
        <v>302.24</v>
      </c>
      <c r="J164" s="130"/>
      <c r="K164" s="130"/>
    </row>
    <row r="165" spans="1:11">
      <c r="A165" s="130" t="s">
        <v>49</v>
      </c>
      <c r="B165" s="130" t="s">
        <v>28</v>
      </c>
      <c r="C165" s="131" t="s">
        <v>25</v>
      </c>
      <c r="D165" s="130">
        <v>0</v>
      </c>
      <c r="E165" s="130">
        <v>0</v>
      </c>
      <c r="F165" s="130">
        <v>0</v>
      </c>
      <c r="G165" s="130">
        <v>0</v>
      </c>
      <c r="H165" s="130">
        <v>0</v>
      </c>
      <c r="I165" s="130">
        <v>45.01</v>
      </c>
      <c r="J165" s="130"/>
      <c r="K165" s="130"/>
    </row>
    <row r="166" spans="1:11">
      <c r="A166" s="130" t="s">
        <v>49</v>
      </c>
      <c r="B166" s="130" t="s">
        <v>29</v>
      </c>
      <c r="C166" s="131" t="s">
        <v>25</v>
      </c>
      <c r="D166" s="130">
        <v>0</v>
      </c>
      <c r="E166" s="130">
        <v>0</v>
      </c>
      <c r="F166" s="130">
        <v>0</v>
      </c>
      <c r="G166" s="130">
        <v>0</v>
      </c>
      <c r="H166" s="130">
        <v>0</v>
      </c>
      <c r="I166" s="130">
        <v>3941.6</v>
      </c>
      <c r="J166" s="130"/>
      <c r="K166" s="130"/>
    </row>
    <row r="167" spans="1:11">
      <c r="A167" s="130" t="s">
        <v>49</v>
      </c>
      <c r="B167" s="130" t="s">
        <v>30</v>
      </c>
      <c r="C167" s="131" t="s">
        <v>23</v>
      </c>
      <c r="D167" s="130">
        <v>3277.09</v>
      </c>
      <c r="E167" s="130">
        <v>4359.8599999999997</v>
      </c>
      <c r="F167" s="130">
        <v>3715.46</v>
      </c>
      <c r="G167" s="130">
        <v>1629.7</v>
      </c>
      <c r="H167" s="130">
        <v>418.41</v>
      </c>
      <c r="I167" s="130">
        <v>13400.52</v>
      </c>
      <c r="J167" s="130"/>
      <c r="K167" s="130"/>
    </row>
    <row r="168" spans="1:11">
      <c r="A168" s="130" t="s">
        <v>49</v>
      </c>
      <c r="B168" s="130" t="s">
        <v>31</v>
      </c>
      <c r="C168" s="131" t="s">
        <v>25</v>
      </c>
      <c r="D168" s="130">
        <v>272</v>
      </c>
      <c r="E168" s="130">
        <v>768</v>
      </c>
      <c r="F168" s="130">
        <v>1230</v>
      </c>
      <c r="G168" s="130">
        <v>1070</v>
      </c>
      <c r="H168" s="130">
        <v>557</v>
      </c>
      <c r="I168" s="130">
        <v>3897</v>
      </c>
      <c r="J168" s="130"/>
      <c r="K168" s="130"/>
    </row>
    <row r="169" spans="1:11">
      <c r="A169" s="130" t="s">
        <v>49</v>
      </c>
      <c r="B169" s="130" t="s">
        <v>31</v>
      </c>
      <c r="C169" s="131" t="s">
        <v>27</v>
      </c>
      <c r="D169" s="130">
        <v>83</v>
      </c>
      <c r="E169" s="130">
        <v>176.15</v>
      </c>
      <c r="F169" s="130">
        <v>331.05</v>
      </c>
      <c r="G169" s="130">
        <v>656.56</v>
      </c>
      <c r="H169" s="130">
        <v>1331.24</v>
      </c>
      <c r="I169" s="130">
        <v>290.81</v>
      </c>
      <c r="J169" s="130"/>
      <c r="K169" s="130"/>
    </row>
    <row r="170" spans="1:11">
      <c r="A170" s="130" t="s">
        <v>49</v>
      </c>
      <c r="B170" s="130" t="s">
        <v>32</v>
      </c>
      <c r="C170" s="131" t="s">
        <v>25</v>
      </c>
      <c r="D170" s="130">
        <v>0</v>
      </c>
      <c r="E170" s="130">
        <v>0</v>
      </c>
      <c r="F170" s="130">
        <v>0</v>
      </c>
      <c r="G170" s="130">
        <v>0</v>
      </c>
      <c r="H170" s="130">
        <v>0</v>
      </c>
      <c r="I170" s="130">
        <v>51</v>
      </c>
      <c r="J170" s="130"/>
      <c r="K170" s="130"/>
    </row>
    <row r="171" spans="1:11">
      <c r="A171" s="130" t="s">
        <v>49</v>
      </c>
      <c r="B171" s="130" t="s">
        <v>33</v>
      </c>
      <c r="C171" s="131" t="s">
        <v>25</v>
      </c>
      <c r="D171" s="130">
        <v>0</v>
      </c>
      <c r="E171" s="130">
        <v>0</v>
      </c>
      <c r="F171" s="130">
        <v>0</v>
      </c>
      <c r="G171" s="130">
        <v>0</v>
      </c>
      <c r="H171" s="130">
        <v>0</v>
      </c>
      <c r="I171" s="130">
        <v>3992.6</v>
      </c>
      <c r="J171" s="130"/>
      <c r="K171" s="130"/>
    </row>
    <row r="172" spans="1:11">
      <c r="A172" s="130" t="s">
        <v>50</v>
      </c>
      <c r="B172" s="130" t="s">
        <v>22</v>
      </c>
      <c r="C172" s="131" t="s">
        <v>23</v>
      </c>
      <c r="D172" s="130">
        <v>22304.21</v>
      </c>
      <c r="E172" s="130">
        <v>8880.49</v>
      </c>
      <c r="F172" s="130">
        <v>5437.18</v>
      </c>
      <c r="G172" s="130">
        <v>1095.74</v>
      </c>
      <c r="H172" s="130">
        <v>108.87</v>
      </c>
      <c r="I172" s="130">
        <v>37826.49</v>
      </c>
      <c r="J172" s="130"/>
      <c r="K172" s="130"/>
    </row>
    <row r="173" spans="1:11">
      <c r="A173" s="130" t="s">
        <v>50</v>
      </c>
      <c r="B173" s="130" t="s">
        <v>24</v>
      </c>
      <c r="C173" s="131" t="s">
        <v>25</v>
      </c>
      <c r="D173" s="130">
        <v>1374</v>
      </c>
      <c r="E173" s="130">
        <v>1504</v>
      </c>
      <c r="F173" s="130">
        <v>1819</v>
      </c>
      <c r="G173" s="130">
        <v>712</v>
      </c>
      <c r="H173" s="130">
        <v>148</v>
      </c>
      <c r="I173" s="130">
        <v>5557</v>
      </c>
      <c r="J173" s="130"/>
      <c r="K173" s="130"/>
    </row>
    <row r="174" spans="1:11">
      <c r="A174" s="130" t="s">
        <v>50</v>
      </c>
      <c r="B174" s="130" t="s">
        <v>26</v>
      </c>
      <c r="C174" s="131" t="s">
        <v>27</v>
      </c>
      <c r="D174" s="130">
        <v>61.6</v>
      </c>
      <c r="E174" s="130">
        <v>169.36</v>
      </c>
      <c r="F174" s="130">
        <v>334.55</v>
      </c>
      <c r="G174" s="130">
        <v>649.79</v>
      </c>
      <c r="H174" s="130">
        <v>1359.42</v>
      </c>
      <c r="I174" s="130">
        <v>146.91</v>
      </c>
      <c r="J174" s="130"/>
      <c r="K174" s="130"/>
    </row>
    <row r="175" spans="1:11">
      <c r="A175" s="130" t="s">
        <v>50</v>
      </c>
      <c r="B175" s="130" t="s">
        <v>28</v>
      </c>
      <c r="C175" s="131" t="s">
        <v>25</v>
      </c>
      <c r="D175" s="130">
        <v>0</v>
      </c>
      <c r="E175" s="130">
        <v>0</v>
      </c>
      <c r="F175" s="130">
        <v>0</v>
      </c>
      <c r="G175" s="130">
        <v>0</v>
      </c>
      <c r="H175" s="130">
        <v>0</v>
      </c>
      <c r="I175" s="130">
        <v>1162</v>
      </c>
      <c r="J175" s="130"/>
      <c r="K175" s="130"/>
    </row>
    <row r="176" spans="1:11">
      <c r="A176" s="130" t="s">
        <v>50</v>
      </c>
      <c r="B176" s="130" t="s">
        <v>29</v>
      </c>
      <c r="C176" s="131" t="s">
        <v>25</v>
      </c>
      <c r="D176" s="130">
        <v>0</v>
      </c>
      <c r="E176" s="130">
        <v>0</v>
      </c>
      <c r="F176" s="130">
        <v>0</v>
      </c>
      <c r="G176" s="130">
        <v>0</v>
      </c>
      <c r="H176" s="130">
        <v>0</v>
      </c>
      <c r="I176" s="130">
        <v>6719</v>
      </c>
      <c r="J176" s="130"/>
      <c r="K176" s="130"/>
    </row>
    <row r="177" spans="1:11">
      <c r="A177" s="130" t="s">
        <v>50</v>
      </c>
      <c r="B177" s="130" t="s">
        <v>30</v>
      </c>
      <c r="C177" s="131" t="s">
        <v>23</v>
      </c>
      <c r="D177" s="130">
        <v>22277.45</v>
      </c>
      <c r="E177" s="130">
        <v>8869.83</v>
      </c>
      <c r="F177" s="130">
        <v>5430.66</v>
      </c>
      <c r="G177" s="130">
        <v>1094.42</v>
      </c>
      <c r="H177" s="130">
        <v>108.74</v>
      </c>
      <c r="I177" s="130">
        <v>37781.1</v>
      </c>
      <c r="J177" s="130"/>
      <c r="K177" s="130"/>
    </row>
    <row r="178" spans="1:11">
      <c r="A178" s="130" t="s">
        <v>50</v>
      </c>
      <c r="B178" s="130" t="s">
        <v>31</v>
      </c>
      <c r="C178" s="131" t="s">
        <v>25</v>
      </c>
      <c r="D178" s="130">
        <v>1357</v>
      </c>
      <c r="E178" s="130">
        <v>1561</v>
      </c>
      <c r="F178" s="130">
        <v>1813</v>
      </c>
      <c r="G178" s="130">
        <v>625</v>
      </c>
      <c r="H178" s="130">
        <v>131</v>
      </c>
      <c r="I178" s="130">
        <v>5487</v>
      </c>
      <c r="J178" s="130"/>
      <c r="K178" s="130"/>
    </row>
    <row r="179" spans="1:11">
      <c r="A179" s="130" t="s">
        <v>50</v>
      </c>
      <c r="B179" s="130" t="s">
        <v>31</v>
      </c>
      <c r="C179" s="131" t="s">
        <v>27</v>
      </c>
      <c r="D179" s="130">
        <v>60.91</v>
      </c>
      <c r="E179" s="130">
        <v>175.99</v>
      </c>
      <c r="F179" s="130">
        <v>333.85</v>
      </c>
      <c r="G179" s="130">
        <v>571.08000000000004</v>
      </c>
      <c r="H179" s="130">
        <v>1204.71</v>
      </c>
      <c r="I179" s="130">
        <v>145.22999999999999</v>
      </c>
      <c r="J179" s="130"/>
      <c r="K179" s="130"/>
    </row>
    <row r="180" spans="1:11">
      <c r="A180" s="130" t="s">
        <v>50</v>
      </c>
      <c r="B180" s="130" t="s">
        <v>32</v>
      </c>
      <c r="C180" s="131" t="s">
        <v>25</v>
      </c>
      <c r="D180" s="130">
        <v>0</v>
      </c>
      <c r="E180" s="130">
        <v>0</v>
      </c>
      <c r="F180" s="130">
        <v>0</v>
      </c>
      <c r="G180" s="130">
        <v>0</v>
      </c>
      <c r="H180" s="130">
        <v>0</v>
      </c>
      <c r="I180" s="130">
        <v>99</v>
      </c>
      <c r="J180" s="130"/>
      <c r="K180" s="130"/>
    </row>
    <row r="181" spans="1:11">
      <c r="A181" s="130" t="s">
        <v>50</v>
      </c>
      <c r="B181" s="130" t="s">
        <v>33</v>
      </c>
      <c r="C181" s="131" t="s">
        <v>25</v>
      </c>
      <c r="D181" s="130">
        <v>0</v>
      </c>
      <c r="E181" s="130">
        <v>0</v>
      </c>
      <c r="F181" s="130">
        <v>0</v>
      </c>
      <c r="G181" s="130">
        <v>0</v>
      </c>
      <c r="H181" s="130">
        <v>0</v>
      </c>
      <c r="I181" s="130">
        <v>6818</v>
      </c>
      <c r="J181" s="130"/>
      <c r="K181" s="130"/>
    </row>
    <row r="182" spans="1:11">
      <c r="A182" s="130" t="s">
        <v>51</v>
      </c>
      <c r="B182" s="130" t="s">
        <v>22</v>
      </c>
      <c r="C182" s="131" t="s">
        <v>23</v>
      </c>
      <c r="D182" s="229">
        <v>11823.87</v>
      </c>
      <c r="E182" s="229">
        <v>4433.6099999999997</v>
      </c>
      <c r="F182" s="229">
        <v>6066.07</v>
      </c>
      <c r="G182" s="229">
        <v>1077.6500000000001</v>
      </c>
      <c r="H182" s="229">
        <v>84.81</v>
      </c>
      <c r="I182" s="229">
        <v>23486.01</v>
      </c>
      <c r="J182" s="130"/>
      <c r="K182" s="130"/>
    </row>
    <row r="183" spans="1:11">
      <c r="A183" s="130" t="s">
        <v>51</v>
      </c>
      <c r="B183" s="130" t="s">
        <v>24</v>
      </c>
      <c r="C183" s="131" t="s">
        <v>25</v>
      </c>
      <c r="D183" s="229">
        <v>781</v>
      </c>
      <c r="E183" s="229">
        <v>820</v>
      </c>
      <c r="F183" s="229">
        <v>2135</v>
      </c>
      <c r="G183" s="229">
        <v>709</v>
      </c>
      <c r="H183" s="229">
        <v>109</v>
      </c>
      <c r="I183" s="229">
        <v>4554</v>
      </c>
      <c r="J183" s="130"/>
      <c r="K183" s="130"/>
    </row>
    <row r="184" spans="1:11">
      <c r="A184" s="130" t="s">
        <v>51</v>
      </c>
      <c r="B184" s="130" t="s">
        <v>26</v>
      </c>
      <c r="C184" s="131" t="s">
        <v>27</v>
      </c>
      <c r="D184" s="229">
        <v>66.099999999999994</v>
      </c>
      <c r="E184" s="229">
        <v>184.9</v>
      </c>
      <c r="F184" s="229">
        <v>351.9</v>
      </c>
      <c r="G184" s="229">
        <v>657.9</v>
      </c>
      <c r="H184" s="229">
        <v>1288.7</v>
      </c>
      <c r="I184" s="229">
        <v>193.9</v>
      </c>
      <c r="J184" s="130"/>
      <c r="K184" s="130"/>
    </row>
    <row r="185" spans="1:11">
      <c r="A185" s="130" t="s">
        <v>51</v>
      </c>
      <c r="B185" s="130" t="s">
        <v>28</v>
      </c>
      <c r="C185" s="131" t="s">
        <v>25</v>
      </c>
      <c r="D185" s="130">
        <v>0</v>
      </c>
      <c r="E185" s="130">
        <v>0</v>
      </c>
      <c r="F185" s="130">
        <v>0</v>
      </c>
      <c r="G185" s="130">
        <v>0</v>
      </c>
      <c r="H185" s="130">
        <v>0</v>
      </c>
      <c r="I185" s="130">
        <v>110</v>
      </c>
      <c r="J185" s="130"/>
      <c r="K185" s="130"/>
    </row>
    <row r="186" spans="1:11">
      <c r="A186" s="130" t="s">
        <v>51</v>
      </c>
      <c r="B186" s="130" t="s">
        <v>29</v>
      </c>
      <c r="C186" s="131" t="s">
        <v>25</v>
      </c>
      <c r="D186" s="130">
        <v>0</v>
      </c>
      <c r="E186" s="130">
        <v>0</v>
      </c>
      <c r="F186" s="130">
        <v>0</v>
      </c>
      <c r="G186" s="130">
        <v>0</v>
      </c>
      <c r="H186" s="130">
        <v>0</v>
      </c>
      <c r="I186" s="229">
        <v>4664</v>
      </c>
      <c r="J186" s="130"/>
      <c r="K186" s="130"/>
    </row>
    <row r="187" spans="1:11">
      <c r="A187" s="130" t="s">
        <v>51</v>
      </c>
      <c r="B187" s="130" t="s">
        <v>30</v>
      </c>
      <c r="C187" s="131" t="s">
        <v>23</v>
      </c>
      <c r="D187" s="229">
        <v>13359.74</v>
      </c>
      <c r="E187" s="229">
        <v>4433.6099999999997</v>
      </c>
      <c r="F187" s="229">
        <v>6066.07</v>
      </c>
      <c r="G187" s="229">
        <v>1077.6500000000001</v>
      </c>
      <c r="H187" s="229">
        <v>84.81</v>
      </c>
      <c r="I187" s="130">
        <v>25021.88</v>
      </c>
      <c r="J187" s="130"/>
      <c r="K187" s="130"/>
    </row>
    <row r="188" spans="1:11">
      <c r="A188" s="130" t="s">
        <v>51</v>
      </c>
      <c r="B188" s="130" t="s">
        <v>31</v>
      </c>
      <c r="C188" s="131" t="s">
        <v>25</v>
      </c>
      <c r="D188" s="130">
        <v>605</v>
      </c>
      <c r="E188" s="130">
        <v>601</v>
      </c>
      <c r="F188" s="130">
        <v>1396</v>
      </c>
      <c r="G188" s="130">
        <v>298</v>
      </c>
      <c r="H188" s="130">
        <v>17</v>
      </c>
      <c r="I188" s="130">
        <v>2917</v>
      </c>
      <c r="J188" s="130"/>
      <c r="K188" s="130"/>
    </row>
    <row r="189" spans="1:11">
      <c r="A189" s="130" t="s">
        <v>51</v>
      </c>
      <c r="B189" s="130" t="s">
        <v>31</v>
      </c>
      <c r="C189" s="131" t="s">
        <v>27</v>
      </c>
      <c r="D189" s="229">
        <v>43.1</v>
      </c>
      <c r="E189" s="229">
        <v>131.9</v>
      </c>
      <c r="F189" s="229">
        <v>242.5</v>
      </c>
      <c r="G189" s="229">
        <v>472.7</v>
      </c>
      <c r="H189" s="229">
        <v>640.1</v>
      </c>
      <c r="I189" s="130">
        <v>116.58</v>
      </c>
      <c r="J189" s="130"/>
      <c r="K189" s="130"/>
    </row>
    <row r="190" spans="1:11">
      <c r="A190" s="130" t="s">
        <v>51</v>
      </c>
      <c r="B190" s="130" t="s">
        <v>32</v>
      </c>
      <c r="C190" s="131" t="s">
        <v>25</v>
      </c>
      <c r="D190" s="130">
        <v>0</v>
      </c>
      <c r="E190" s="130">
        <v>0</v>
      </c>
      <c r="F190" s="130">
        <v>0</v>
      </c>
      <c r="G190" s="130">
        <v>0</v>
      </c>
      <c r="H190" s="130">
        <v>0</v>
      </c>
      <c r="I190" s="130">
        <v>59</v>
      </c>
      <c r="J190" s="130"/>
      <c r="K190" s="130"/>
    </row>
    <row r="191" spans="1:11">
      <c r="A191" s="130" t="s">
        <v>51</v>
      </c>
      <c r="B191" s="130" t="s">
        <v>33</v>
      </c>
      <c r="C191" s="131" t="s">
        <v>25</v>
      </c>
      <c r="D191" s="130">
        <v>0</v>
      </c>
      <c r="E191" s="130">
        <v>0</v>
      </c>
      <c r="F191" s="130">
        <v>0</v>
      </c>
      <c r="G191" s="130">
        <v>0</v>
      </c>
      <c r="H191" s="130">
        <v>0</v>
      </c>
      <c r="I191" s="229">
        <v>4723</v>
      </c>
      <c r="J191" s="130"/>
      <c r="K191" s="130"/>
    </row>
    <row r="192" spans="1:11">
      <c r="A192" s="130" t="s">
        <v>52</v>
      </c>
      <c r="B192" s="130" t="s">
        <v>22</v>
      </c>
      <c r="C192" s="131" t="s">
        <v>23</v>
      </c>
      <c r="D192" s="130">
        <v>6105.04</v>
      </c>
      <c r="E192" s="130">
        <v>3275.33</v>
      </c>
      <c r="F192" s="130">
        <v>1049.17</v>
      </c>
      <c r="G192" s="130">
        <v>119.82</v>
      </c>
      <c r="H192" s="130">
        <v>8.1</v>
      </c>
      <c r="I192" s="130">
        <v>10557.46</v>
      </c>
      <c r="J192" s="130"/>
      <c r="K192" s="130"/>
    </row>
    <row r="193" spans="1:11">
      <c r="A193" s="130" t="s">
        <v>52</v>
      </c>
      <c r="B193" s="130" t="s">
        <v>24</v>
      </c>
      <c r="C193" s="131" t="s">
        <v>25</v>
      </c>
      <c r="D193" s="130">
        <v>378</v>
      </c>
      <c r="E193" s="130">
        <v>577</v>
      </c>
      <c r="F193" s="130">
        <v>331</v>
      </c>
      <c r="G193" s="130">
        <v>74</v>
      </c>
      <c r="H193" s="130">
        <v>22</v>
      </c>
      <c r="I193" s="130">
        <v>1382</v>
      </c>
      <c r="J193" s="130"/>
      <c r="K193" s="130"/>
    </row>
    <row r="194" spans="1:11">
      <c r="A194" s="130" t="s">
        <v>52</v>
      </c>
      <c r="B194" s="130" t="s">
        <v>26</v>
      </c>
      <c r="C194" s="131" t="s">
        <v>27</v>
      </c>
      <c r="D194" s="130">
        <v>61.92</v>
      </c>
      <c r="E194" s="130">
        <v>176.17</v>
      </c>
      <c r="F194" s="130">
        <v>315.49</v>
      </c>
      <c r="G194" s="130">
        <v>617.59</v>
      </c>
      <c r="H194" s="130">
        <v>2716.05</v>
      </c>
      <c r="I194" s="130">
        <v>130.9</v>
      </c>
      <c r="J194" s="130"/>
      <c r="K194" s="130"/>
    </row>
    <row r="195" spans="1:11">
      <c r="A195" s="130" t="s">
        <v>52</v>
      </c>
      <c r="B195" s="130" t="s">
        <v>28</v>
      </c>
      <c r="C195" s="131" t="s">
        <v>25</v>
      </c>
      <c r="D195" s="130">
        <v>0</v>
      </c>
      <c r="E195" s="130">
        <v>0</v>
      </c>
      <c r="F195" s="130">
        <v>0</v>
      </c>
      <c r="G195" s="130">
        <v>0</v>
      </c>
      <c r="H195" s="130">
        <v>0</v>
      </c>
      <c r="I195" s="130">
        <v>80</v>
      </c>
      <c r="J195" s="130"/>
      <c r="K195" s="130"/>
    </row>
    <row r="196" spans="1:11">
      <c r="A196" s="130" t="s">
        <v>52</v>
      </c>
      <c r="B196" s="130" t="s">
        <v>29</v>
      </c>
      <c r="C196" s="131" t="s">
        <v>25</v>
      </c>
      <c r="D196" s="130">
        <v>0</v>
      </c>
      <c r="E196" s="130">
        <v>0</v>
      </c>
      <c r="F196" s="130">
        <v>0</v>
      </c>
      <c r="G196" s="130">
        <v>0</v>
      </c>
      <c r="H196" s="130">
        <v>0</v>
      </c>
      <c r="I196" s="130">
        <v>1462</v>
      </c>
      <c r="J196" s="130"/>
      <c r="K196" s="130"/>
    </row>
    <row r="197" spans="1:11">
      <c r="A197" s="130" t="s">
        <v>52</v>
      </c>
      <c r="B197" s="130" t="s">
        <v>30</v>
      </c>
      <c r="C197" s="131" t="s">
        <v>23</v>
      </c>
      <c r="D197" s="130">
        <v>6038.83</v>
      </c>
      <c r="E197" s="130">
        <v>3331.65</v>
      </c>
      <c r="F197" s="130">
        <v>1053.1300000000001</v>
      </c>
      <c r="G197" s="130">
        <v>135.36000000000001</v>
      </c>
      <c r="H197" s="130">
        <v>9.51</v>
      </c>
      <c r="I197" s="130">
        <v>10577</v>
      </c>
      <c r="J197" s="130"/>
      <c r="K197" s="130"/>
    </row>
    <row r="198" spans="1:11">
      <c r="A198" s="130" t="s">
        <v>52</v>
      </c>
      <c r="B198" s="130" t="s">
        <v>31</v>
      </c>
      <c r="C198" s="131" t="s">
        <v>25</v>
      </c>
      <c r="D198" s="130">
        <v>379</v>
      </c>
      <c r="E198" s="130">
        <v>590</v>
      </c>
      <c r="F198" s="130">
        <v>333</v>
      </c>
      <c r="G198" s="130">
        <v>84</v>
      </c>
      <c r="H198" s="130">
        <v>26</v>
      </c>
      <c r="I198" s="130">
        <v>1412</v>
      </c>
      <c r="J198" s="130"/>
      <c r="K198" s="130"/>
    </row>
    <row r="199" spans="1:11">
      <c r="A199" s="130" t="s">
        <v>52</v>
      </c>
      <c r="B199" s="130" t="s">
        <v>31</v>
      </c>
      <c r="C199" s="131" t="s">
        <v>27</v>
      </c>
      <c r="D199" s="130">
        <v>62.76</v>
      </c>
      <c r="E199" s="130">
        <v>177.09</v>
      </c>
      <c r="F199" s="130">
        <v>316.2</v>
      </c>
      <c r="G199" s="130">
        <v>620.57000000000005</v>
      </c>
      <c r="H199" s="130">
        <v>2733.96</v>
      </c>
      <c r="I199" s="130">
        <v>133.5</v>
      </c>
      <c r="J199" s="130"/>
      <c r="K199" s="130"/>
    </row>
    <row r="200" spans="1:11">
      <c r="A200" s="130" t="s">
        <v>52</v>
      </c>
      <c r="B200" s="130" t="s">
        <v>32</v>
      </c>
      <c r="C200" s="131" t="s">
        <v>25</v>
      </c>
      <c r="D200" s="130">
        <v>0</v>
      </c>
      <c r="E200" s="130">
        <v>0</v>
      </c>
      <c r="F200" s="130">
        <v>0</v>
      </c>
      <c r="G200" s="130">
        <v>0</v>
      </c>
      <c r="H200" s="130">
        <v>0</v>
      </c>
      <c r="I200" s="130">
        <v>30</v>
      </c>
      <c r="J200" s="130"/>
      <c r="K200" s="130"/>
    </row>
    <row r="201" spans="1:11">
      <c r="A201" s="130" t="s">
        <v>52</v>
      </c>
      <c r="B201" s="130" t="s">
        <v>33</v>
      </c>
      <c r="C201" s="131" t="s">
        <v>25</v>
      </c>
      <c r="D201" s="130">
        <v>0</v>
      </c>
      <c r="E201" s="130">
        <v>0</v>
      </c>
      <c r="F201" s="130">
        <v>0</v>
      </c>
      <c r="G201" s="130">
        <v>0</v>
      </c>
      <c r="H201" s="130">
        <v>0</v>
      </c>
      <c r="I201" s="130">
        <v>1492</v>
      </c>
      <c r="J201" s="130"/>
      <c r="K201" s="130"/>
    </row>
    <row r="202" spans="1:11">
      <c r="A202" s="130" t="s">
        <v>53</v>
      </c>
      <c r="B202" s="130" t="s">
        <v>22</v>
      </c>
      <c r="C202" s="131" t="s">
        <v>23</v>
      </c>
      <c r="D202" s="130">
        <v>10535.73</v>
      </c>
      <c r="E202" s="130">
        <v>10023.51</v>
      </c>
      <c r="F202" s="130">
        <v>6246.04</v>
      </c>
      <c r="G202" s="130">
        <v>1564.05</v>
      </c>
      <c r="H202" s="130">
        <v>200.09</v>
      </c>
      <c r="I202" s="130">
        <v>28569.42</v>
      </c>
      <c r="J202" s="130"/>
      <c r="K202" s="130"/>
    </row>
    <row r="203" spans="1:11">
      <c r="A203" s="130" t="s">
        <v>53</v>
      </c>
      <c r="B203" s="130" t="s">
        <v>24</v>
      </c>
      <c r="C203" s="131" t="s">
        <v>25</v>
      </c>
      <c r="D203" s="130">
        <v>886</v>
      </c>
      <c r="E203" s="130">
        <v>1809</v>
      </c>
      <c r="F203" s="130">
        <v>2100</v>
      </c>
      <c r="G203" s="130">
        <v>1013</v>
      </c>
      <c r="H203" s="130">
        <v>285</v>
      </c>
      <c r="I203" s="130">
        <v>6093</v>
      </c>
      <c r="J203" s="130"/>
      <c r="K203" s="130"/>
    </row>
    <row r="204" spans="1:11">
      <c r="A204" s="130" t="s">
        <v>53</v>
      </c>
      <c r="B204" s="130" t="s">
        <v>26</v>
      </c>
      <c r="C204" s="131" t="s">
        <v>27</v>
      </c>
      <c r="D204" s="130">
        <v>84.09</v>
      </c>
      <c r="E204" s="130">
        <v>180.48</v>
      </c>
      <c r="F204" s="130">
        <v>336.21</v>
      </c>
      <c r="G204" s="130">
        <v>647.67999999999995</v>
      </c>
      <c r="H204" s="130">
        <v>1424.36</v>
      </c>
      <c r="I204" s="130">
        <v>213.27</v>
      </c>
      <c r="J204" s="130"/>
      <c r="K204" s="130"/>
    </row>
    <row r="205" spans="1:11">
      <c r="A205" s="130" t="s">
        <v>53</v>
      </c>
      <c r="B205" s="130" t="s">
        <v>28</v>
      </c>
      <c r="C205" s="131" t="s">
        <v>25</v>
      </c>
      <c r="D205" s="130">
        <v>0</v>
      </c>
      <c r="E205" s="130">
        <v>0</v>
      </c>
      <c r="F205" s="130">
        <v>0</v>
      </c>
      <c r="G205" s="130">
        <v>0</v>
      </c>
      <c r="H205" s="130">
        <v>0</v>
      </c>
      <c r="I205" s="130">
        <v>0</v>
      </c>
      <c r="J205" s="130"/>
      <c r="K205" s="130"/>
    </row>
    <row r="206" spans="1:11">
      <c r="A206" s="130" t="s">
        <v>53</v>
      </c>
      <c r="B206" s="130" t="s">
        <v>29</v>
      </c>
      <c r="C206" s="131" t="s">
        <v>25</v>
      </c>
      <c r="D206" s="130">
        <v>0</v>
      </c>
      <c r="E206" s="130">
        <v>0</v>
      </c>
      <c r="F206" s="130">
        <v>0</v>
      </c>
      <c r="G206" s="130">
        <v>0</v>
      </c>
      <c r="H206" s="130">
        <v>0</v>
      </c>
      <c r="I206" s="130">
        <v>6093</v>
      </c>
      <c r="J206" s="130"/>
      <c r="K206" s="130"/>
    </row>
    <row r="207" spans="1:11">
      <c r="A207" s="130" t="s">
        <v>53</v>
      </c>
      <c r="B207" s="130" t="s">
        <v>30</v>
      </c>
      <c r="C207" s="131" t="s">
        <v>23</v>
      </c>
      <c r="D207" s="130">
        <v>10535.73</v>
      </c>
      <c r="E207" s="130">
        <v>10023.51</v>
      </c>
      <c r="F207" s="130">
        <v>6246.04</v>
      </c>
      <c r="G207" s="130">
        <v>1564.05</v>
      </c>
      <c r="H207" s="130">
        <v>200.09</v>
      </c>
      <c r="I207" s="130">
        <v>28602</v>
      </c>
      <c r="J207" s="130"/>
      <c r="K207" s="130"/>
    </row>
    <row r="208" spans="1:11">
      <c r="A208" s="130" t="s">
        <v>53</v>
      </c>
      <c r="B208" s="130" t="s">
        <v>31</v>
      </c>
      <c r="C208" s="131" t="s">
        <v>25</v>
      </c>
      <c r="D208" s="130">
        <v>886</v>
      </c>
      <c r="E208" s="130">
        <v>1809</v>
      </c>
      <c r="F208" s="130">
        <v>2100</v>
      </c>
      <c r="G208" s="130">
        <v>1013</v>
      </c>
      <c r="H208" s="130">
        <v>285</v>
      </c>
      <c r="I208" s="130">
        <v>6093</v>
      </c>
      <c r="J208" s="130"/>
      <c r="K208" s="130"/>
    </row>
    <row r="209" spans="1:11">
      <c r="A209" s="130" t="s">
        <v>53</v>
      </c>
      <c r="B209" s="130" t="s">
        <v>31</v>
      </c>
      <c r="C209" s="131" t="s">
        <v>27</v>
      </c>
      <c r="D209" s="130">
        <v>84.09</v>
      </c>
      <c r="E209" s="130">
        <v>180.48</v>
      </c>
      <c r="F209" s="130">
        <v>336.21</v>
      </c>
      <c r="G209" s="130">
        <v>647.67999999999995</v>
      </c>
      <c r="H209" s="130">
        <v>1424.36</v>
      </c>
      <c r="I209" s="130">
        <v>213.03</v>
      </c>
      <c r="J209" s="130"/>
      <c r="K209" s="130"/>
    </row>
    <row r="210" spans="1:11">
      <c r="A210" s="130" t="s">
        <v>53</v>
      </c>
      <c r="B210" s="130" t="s">
        <v>32</v>
      </c>
      <c r="C210" s="131" t="s">
        <v>25</v>
      </c>
      <c r="D210" s="130">
        <v>0</v>
      </c>
      <c r="E210" s="130">
        <v>0</v>
      </c>
      <c r="F210" s="130">
        <v>0</v>
      </c>
      <c r="G210" s="130">
        <v>0</v>
      </c>
      <c r="H210" s="130">
        <v>0</v>
      </c>
      <c r="I210" s="130">
        <v>118</v>
      </c>
      <c r="J210" s="130"/>
      <c r="K210" s="130"/>
    </row>
    <row r="211" spans="1:11">
      <c r="A211" s="130" t="s">
        <v>53</v>
      </c>
      <c r="B211" s="130" t="s">
        <v>33</v>
      </c>
      <c r="C211" s="131" t="s">
        <v>25</v>
      </c>
      <c r="D211" s="130">
        <v>0</v>
      </c>
      <c r="E211" s="130">
        <v>0</v>
      </c>
      <c r="F211" s="130">
        <v>0</v>
      </c>
      <c r="G211" s="130">
        <v>0</v>
      </c>
      <c r="H211" s="130">
        <v>0</v>
      </c>
      <c r="I211" s="130">
        <v>6211</v>
      </c>
      <c r="J211" s="130"/>
      <c r="K211" s="130"/>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33E60-2BE1-4246-AFF8-D15405204103}">
  <sheetPr>
    <tabColor rgb="FFFFDB8E"/>
  </sheetPr>
  <dimension ref="A1:Q139"/>
  <sheetViews>
    <sheetView zoomScale="80" zoomScaleNormal="80" workbookViewId="0"/>
  </sheetViews>
  <sheetFormatPr defaultColWidth="9" defaultRowHeight="13.15"/>
  <cols>
    <col min="1" max="1" width="9" style="132"/>
    <col min="2" max="2" width="9" style="132" customWidth="1"/>
    <col min="3" max="3" width="9" style="132"/>
    <col min="4" max="4" width="17" style="132" customWidth="1"/>
    <col min="5" max="11" width="16.28515625" style="132" customWidth="1"/>
    <col min="12" max="14" width="9" style="132"/>
    <col min="15" max="15" width="10.28515625" style="132" customWidth="1"/>
    <col min="16" max="16384" width="9" style="132"/>
  </cols>
  <sheetData>
    <row r="1" spans="1:17" ht="26.25">
      <c r="A1" s="134"/>
      <c r="B1" s="134"/>
      <c r="C1" s="147"/>
      <c r="D1" s="134" t="s">
        <v>54</v>
      </c>
      <c r="E1" s="134" t="s">
        <v>55</v>
      </c>
      <c r="F1" s="134" t="s">
        <v>56</v>
      </c>
      <c r="G1" s="134" t="s">
        <v>57</v>
      </c>
      <c r="H1" s="134" t="s">
        <v>58</v>
      </c>
      <c r="I1" s="134" t="s">
        <v>59</v>
      </c>
      <c r="J1" s="134" t="s">
        <v>60</v>
      </c>
      <c r="K1" s="134" t="s">
        <v>61</v>
      </c>
      <c r="M1" s="135"/>
    </row>
    <row r="2" spans="1:17" ht="82.5" customHeight="1">
      <c r="B2" s="133"/>
      <c r="C2" s="148"/>
      <c r="D2" s="136" t="s">
        <v>62</v>
      </c>
      <c r="E2" s="136" t="s">
        <v>63</v>
      </c>
      <c r="F2" s="136" t="s">
        <v>64</v>
      </c>
      <c r="G2" s="136" t="s">
        <v>65</v>
      </c>
      <c r="H2" s="136" t="s">
        <v>66</v>
      </c>
      <c r="I2" s="136" t="s">
        <v>67</v>
      </c>
      <c r="J2" s="136" t="s">
        <v>68</v>
      </c>
      <c r="K2" s="136" t="s">
        <v>69</v>
      </c>
      <c r="L2" s="137"/>
      <c r="M2" s="216"/>
    </row>
    <row r="3" spans="1:17" s="135" customFormat="1" ht="28.5" customHeight="1">
      <c r="A3" s="149" t="s">
        <v>12</v>
      </c>
      <c r="B3" s="149" t="s">
        <v>70</v>
      </c>
      <c r="C3" s="150" t="s">
        <v>71</v>
      </c>
      <c r="D3" s="220" t="s">
        <v>23</v>
      </c>
      <c r="E3" s="149" t="s">
        <v>23</v>
      </c>
      <c r="F3" s="149" t="s">
        <v>23</v>
      </c>
      <c r="G3" s="149" t="s">
        <v>23</v>
      </c>
      <c r="H3" s="149" t="s">
        <v>23</v>
      </c>
      <c r="I3" s="149" t="s">
        <v>23</v>
      </c>
      <c r="J3" s="149" t="s">
        <v>23</v>
      </c>
      <c r="K3" s="149" t="s">
        <v>23</v>
      </c>
      <c r="L3" s="138"/>
      <c r="M3" s="132"/>
    </row>
    <row r="4" spans="1:17">
      <c r="A4" s="132" t="str">
        <f t="shared" ref="A4:A35" si="0">B4&amp;RIGHT(C4,2)</f>
        <v>ANH23</v>
      </c>
      <c r="B4" s="132" t="s">
        <v>21</v>
      </c>
      <c r="C4" s="145" t="s">
        <v>72</v>
      </c>
      <c r="D4" s="139">
        <v>39248.1</v>
      </c>
      <c r="E4" s="139">
        <v>45.2</v>
      </c>
      <c r="F4" s="139" t="s">
        <v>73</v>
      </c>
      <c r="G4" s="139" t="s">
        <v>73</v>
      </c>
      <c r="H4" s="139" t="s">
        <v>73</v>
      </c>
      <c r="I4" s="139" t="s">
        <v>73</v>
      </c>
      <c r="J4" s="139" t="s">
        <v>73</v>
      </c>
      <c r="K4" s="139" t="s">
        <v>73</v>
      </c>
    </row>
    <row r="5" spans="1:17" ht="14.25">
      <c r="A5" s="132" t="str">
        <f t="shared" si="0"/>
        <v>ANH24</v>
      </c>
      <c r="B5" s="132" t="s">
        <v>21</v>
      </c>
      <c r="C5" s="145" t="s">
        <v>74</v>
      </c>
      <c r="D5" s="139">
        <v>39397</v>
      </c>
      <c r="E5" s="139">
        <v>37.5</v>
      </c>
      <c r="F5" s="139" t="s">
        <v>73</v>
      </c>
      <c r="G5" s="139" t="s">
        <v>73</v>
      </c>
      <c r="H5" s="139" t="s">
        <v>73</v>
      </c>
      <c r="I5" s="139" t="s">
        <v>73</v>
      </c>
      <c r="J5" s="139" t="s">
        <v>73</v>
      </c>
      <c r="K5" s="139" t="s">
        <v>73</v>
      </c>
      <c r="M5" s="254"/>
      <c r="N5"/>
      <c r="O5"/>
      <c r="P5"/>
      <c r="Q5"/>
    </row>
    <row r="6" spans="1:17" ht="13.15" customHeight="1">
      <c r="A6" s="132" t="str">
        <f t="shared" si="0"/>
        <v>ANH25</v>
      </c>
      <c r="B6" s="132" t="s">
        <v>21</v>
      </c>
      <c r="C6" s="145" t="s">
        <v>75</v>
      </c>
      <c r="D6" s="139">
        <v>39873.1</v>
      </c>
      <c r="E6" s="139">
        <v>66</v>
      </c>
      <c r="F6" s="139" t="s">
        <v>73</v>
      </c>
      <c r="G6" s="139" t="s">
        <v>73</v>
      </c>
      <c r="H6" s="139" t="s">
        <v>73</v>
      </c>
      <c r="I6" s="139" t="s">
        <v>73</v>
      </c>
      <c r="J6" s="139" t="s">
        <v>73</v>
      </c>
      <c r="K6" s="139" t="s">
        <v>73</v>
      </c>
      <c r="M6" s="238"/>
      <c r="N6" s="238"/>
      <c r="O6" s="238"/>
      <c r="P6" s="238"/>
      <c r="Q6" s="238"/>
    </row>
    <row r="7" spans="1:17" ht="13.15" customHeight="1">
      <c r="A7" s="132" t="str">
        <f t="shared" si="0"/>
        <v>ANH26</v>
      </c>
      <c r="B7" s="132" t="s">
        <v>21</v>
      </c>
      <c r="C7" s="145" t="s">
        <v>76</v>
      </c>
      <c r="D7" s="139">
        <v>39977.199999999997</v>
      </c>
      <c r="E7" s="139">
        <v>75.540000000000006</v>
      </c>
      <c r="F7" s="139">
        <v>18874.099999999999</v>
      </c>
      <c r="G7" s="139">
        <v>12406.45</v>
      </c>
      <c r="H7" s="139">
        <v>4770.4799999999996</v>
      </c>
      <c r="I7" s="139">
        <v>154.84</v>
      </c>
      <c r="J7" s="139">
        <v>14.2</v>
      </c>
      <c r="K7" s="139">
        <v>36220.069999999992</v>
      </c>
      <c r="M7" s="238"/>
      <c r="N7" s="238"/>
      <c r="O7" s="238"/>
      <c r="P7" s="238"/>
      <c r="Q7" s="238"/>
    </row>
    <row r="8" spans="1:17" ht="13.15" customHeight="1">
      <c r="A8" s="132" t="str">
        <f t="shared" si="0"/>
        <v>ANH27</v>
      </c>
      <c r="B8" s="132" t="s">
        <v>21</v>
      </c>
      <c r="C8" s="145" t="s">
        <v>77</v>
      </c>
      <c r="D8" s="139">
        <v>40086.1</v>
      </c>
      <c r="E8" s="139">
        <v>237.86</v>
      </c>
      <c r="F8" s="139" t="s">
        <v>73</v>
      </c>
      <c r="G8" s="139" t="s">
        <v>73</v>
      </c>
      <c r="H8" s="139" t="s">
        <v>73</v>
      </c>
      <c r="I8" s="139" t="s">
        <v>73</v>
      </c>
      <c r="J8" s="139" t="s">
        <v>73</v>
      </c>
      <c r="K8" s="139" t="s">
        <v>73</v>
      </c>
      <c r="M8" s="238"/>
      <c r="N8" s="238"/>
      <c r="O8" s="238"/>
      <c r="P8" s="238"/>
      <c r="Q8" s="238"/>
    </row>
    <row r="9" spans="1:17" ht="13.15" customHeight="1">
      <c r="A9" s="132" t="str">
        <f t="shared" si="0"/>
        <v>ANH28</v>
      </c>
      <c r="B9" s="132" t="s">
        <v>21</v>
      </c>
      <c r="C9" s="145" t="s">
        <v>78</v>
      </c>
      <c r="D9" s="139">
        <v>40202.699999999997</v>
      </c>
      <c r="E9" s="139">
        <v>308.07</v>
      </c>
      <c r="F9" s="139" t="s">
        <v>73</v>
      </c>
      <c r="G9" s="139" t="s">
        <v>73</v>
      </c>
      <c r="H9" s="139" t="s">
        <v>73</v>
      </c>
      <c r="I9" s="139" t="s">
        <v>73</v>
      </c>
      <c r="J9" s="139" t="s">
        <v>73</v>
      </c>
      <c r="K9" s="139" t="s">
        <v>73</v>
      </c>
      <c r="M9" s="238"/>
      <c r="N9" s="238"/>
      <c r="O9" s="238"/>
      <c r="P9" s="238"/>
      <c r="Q9" s="238"/>
    </row>
    <row r="10" spans="1:17" ht="13.15" customHeight="1">
      <c r="A10" s="132" t="str">
        <f t="shared" si="0"/>
        <v>ANH29</v>
      </c>
      <c r="B10" s="132" t="s">
        <v>21</v>
      </c>
      <c r="C10" s="145" t="s">
        <v>79</v>
      </c>
      <c r="D10" s="139">
        <v>40310.6</v>
      </c>
      <c r="E10" s="139">
        <v>308.07</v>
      </c>
      <c r="F10" s="139" t="s">
        <v>73</v>
      </c>
      <c r="G10" s="139" t="s">
        <v>73</v>
      </c>
      <c r="H10" s="139" t="s">
        <v>73</v>
      </c>
      <c r="I10" s="139" t="s">
        <v>73</v>
      </c>
      <c r="J10" s="139" t="s">
        <v>73</v>
      </c>
      <c r="K10" s="139" t="s">
        <v>73</v>
      </c>
      <c r="M10" s="238"/>
      <c r="N10" s="238"/>
      <c r="O10" s="238"/>
      <c r="P10" s="238"/>
      <c r="Q10" s="238"/>
    </row>
    <row r="11" spans="1:17" ht="13.15" customHeight="1">
      <c r="A11" s="132" t="str">
        <f t="shared" si="0"/>
        <v>ANH30</v>
      </c>
      <c r="B11" s="132" t="s">
        <v>21</v>
      </c>
      <c r="C11" s="145" t="s">
        <v>80</v>
      </c>
      <c r="D11" s="139">
        <v>40591.5</v>
      </c>
      <c r="E11" s="139">
        <v>209.9</v>
      </c>
      <c r="F11" s="139" t="s">
        <v>73</v>
      </c>
      <c r="G11" s="139" t="s">
        <v>73</v>
      </c>
      <c r="H11" s="139" t="s">
        <v>73</v>
      </c>
      <c r="I11" s="139" t="s">
        <v>73</v>
      </c>
      <c r="J11" s="139" t="s">
        <v>73</v>
      </c>
      <c r="K11" s="139" t="s">
        <v>73</v>
      </c>
      <c r="M11" s="238"/>
      <c r="N11" s="238"/>
      <c r="O11" s="238"/>
      <c r="P11" s="238"/>
      <c r="Q11" s="238"/>
    </row>
    <row r="12" spans="1:17">
      <c r="A12" s="132" t="str">
        <f t="shared" si="0"/>
        <v>WSH23</v>
      </c>
      <c r="B12" s="132" t="s">
        <v>51</v>
      </c>
      <c r="C12" s="145" t="s">
        <v>72</v>
      </c>
      <c r="D12" s="139">
        <v>27875.3</v>
      </c>
      <c r="E12" s="139">
        <v>28.4</v>
      </c>
      <c r="F12" s="139" t="s">
        <v>73</v>
      </c>
      <c r="G12" s="139" t="s">
        <v>73</v>
      </c>
      <c r="H12" s="139" t="s">
        <v>73</v>
      </c>
      <c r="I12" s="139" t="s">
        <v>73</v>
      </c>
      <c r="J12" s="139" t="s">
        <v>73</v>
      </c>
      <c r="K12" s="139" t="s">
        <v>73</v>
      </c>
    </row>
    <row r="13" spans="1:17">
      <c r="A13" s="132" t="str">
        <f t="shared" si="0"/>
        <v>WSH24</v>
      </c>
      <c r="B13" s="132" t="s">
        <v>51</v>
      </c>
      <c r="C13" s="145" t="s">
        <v>74</v>
      </c>
      <c r="D13" s="139">
        <v>27910.2</v>
      </c>
      <c r="E13" s="139">
        <v>15.2</v>
      </c>
      <c r="F13" s="139" t="s">
        <v>73</v>
      </c>
      <c r="G13" s="139" t="s">
        <v>73</v>
      </c>
      <c r="H13" s="139" t="s">
        <v>73</v>
      </c>
      <c r="I13" s="139" t="s">
        <v>73</v>
      </c>
      <c r="J13" s="139" t="s">
        <v>73</v>
      </c>
      <c r="K13" s="139" t="s">
        <v>73</v>
      </c>
    </row>
    <row r="14" spans="1:17">
      <c r="A14" s="132" t="str">
        <f t="shared" si="0"/>
        <v>WSH25</v>
      </c>
      <c r="B14" s="132" t="s">
        <v>51</v>
      </c>
      <c r="C14" s="145" t="s">
        <v>75</v>
      </c>
      <c r="D14" s="139">
        <v>27979.599999999999</v>
      </c>
      <c r="E14" s="139">
        <v>25.5</v>
      </c>
      <c r="F14" s="139" t="s">
        <v>73</v>
      </c>
      <c r="G14" s="139" t="s">
        <v>73</v>
      </c>
      <c r="H14" s="139" t="s">
        <v>73</v>
      </c>
      <c r="I14" s="139" t="s">
        <v>73</v>
      </c>
      <c r="J14" s="139" t="s">
        <v>73</v>
      </c>
      <c r="K14" s="139" t="s">
        <v>73</v>
      </c>
    </row>
    <row r="15" spans="1:17">
      <c r="A15" s="132" t="str">
        <f t="shared" si="0"/>
        <v>WSH26</v>
      </c>
      <c r="B15" s="132" t="s">
        <v>51</v>
      </c>
      <c r="C15" s="145" t="s">
        <v>76</v>
      </c>
      <c r="D15" s="139">
        <v>28037.7</v>
      </c>
      <c r="E15" s="139">
        <v>80</v>
      </c>
      <c r="F15" s="230">
        <v>16349.27</v>
      </c>
      <c r="G15" s="230">
        <v>5055.28</v>
      </c>
      <c r="H15" s="230">
        <v>2797.89</v>
      </c>
      <c r="I15" s="230">
        <v>998.18</v>
      </c>
      <c r="J15" s="230">
        <v>394.14</v>
      </c>
      <c r="K15" s="230">
        <v>25594.76</v>
      </c>
    </row>
    <row r="16" spans="1:17">
      <c r="A16" s="132" t="str">
        <f t="shared" si="0"/>
        <v>WSH27</v>
      </c>
      <c r="B16" s="132" t="s">
        <v>51</v>
      </c>
      <c r="C16" s="145" t="s">
        <v>77</v>
      </c>
      <c r="D16" s="139">
        <v>28095.599999999999</v>
      </c>
      <c r="E16" s="139">
        <v>131</v>
      </c>
      <c r="F16" s="139" t="s">
        <v>73</v>
      </c>
      <c r="G16" s="139" t="s">
        <v>73</v>
      </c>
      <c r="H16" s="139" t="s">
        <v>73</v>
      </c>
      <c r="I16" s="139" t="s">
        <v>73</v>
      </c>
      <c r="J16" s="139" t="s">
        <v>73</v>
      </c>
      <c r="K16" s="139" t="s">
        <v>73</v>
      </c>
    </row>
    <row r="17" spans="1:11">
      <c r="A17" s="132" t="str">
        <f t="shared" si="0"/>
        <v>WSH28</v>
      </c>
      <c r="B17" s="132" t="s">
        <v>51</v>
      </c>
      <c r="C17" s="145" t="s">
        <v>78</v>
      </c>
      <c r="D17" s="139">
        <v>28167.7</v>
      </c>
      <c r="E17" s="139">
        <v>131</v>
      </c>
      <c r="F17" s="139" t="s">
        <v>73</v>
      </c>
      <c r="G17" s="139" t="s">
        <v>73</v>
      </c>
      <c r="H17" s="139" t="s">
        <v>73</v>
      </c>
      <c r="I17" s="139" t="s">
        <v>73</v>
      </c>
      <c r="J17" s="139" t="s">
        <v>73</v>
      </c>
      <c r="K17" s="139" t="s">
        <v>73</v>
      </c>
    </row>
    <row r="18" spans="1:11">
      <c r="A18" s="132" t="str">
        <f t="shared" si="0"/>
        <v>WSH29</v>
      </c>
      <c r="B18" s="132" t="s">
        <v>51</v>
      </c>
      <c r="C18" s="145" t="s">
        <v>79</v>
      </c>
      <c r="D18" s="139">
        <v>28230.7</v>
      </c>
      <c r="E18" s="139">
        <v>131</v>
      </c>
      <c r="F18" s="139" t="s">
        <v>73</v>
      </c>
      <c r="G18" s="139" t="s">
        <v>73</v>
      </c>
      <c r="H18" s="139" t="s">
        <v>73</v>
      </c>
      <c r="I18" s="139" t="s">
        <v>73</v>
      </c>
      <c r="J18" s="139" t="s">
        <v>73</v>
      </c>
      <c r="K18" s="139" t="s">
        <v>73</v>
      </c>
    </row>
    <row r="19" spans="1:11">
      <c r="A19" s="132" t="str">
        <f t="shared" si="0"/>
        <v>WSH30</v>
      </c>
      <c r="B19" s="132" t="s">
        <v>51</v>
      </c>
      <c r="C19" s="145" t="s">
        <v>80</v>
      </c>
      <c r="D19" s="139">
        <v>28297.1</v>
      </c>
      <c r="E19" s="139">
        <v>131</v>
      </c>
      <c r="F19" s="139" t="s">
        <v>73</v>
      </c>
      <c r="G19" s="139" t="s">
        <v>73</v>
      </c>
      <c r="H19" s="139" t="s">
        <v>73</v>
      </c>
      <c r="I19" s="139" t="s">
        <v>73</v>
      </c>
      <c r="J19" s="139" t="s">
        <v>73</v>
      </c>
      <c r="K19" s="139" t="s">
        <v>73</v>
      </c>
    </row>
    <row r="20" spans="1:11">
      <c r="A20" s="132" t="str">
        <f t="shared" si="0"/>
        <v>HDD23</v>
      </c>
      <c r="B20" s="132" t="s">
        <v>81</v>
      </c>
      <c r="C20" s="145" t="s">
        <v>72</v>
      </c>
      <c r="D20" s="139">
        <v>2640.9</v>
      </c>
      <c r="E20" s="139">
        <v>7.6219999999999999</v>
      </c>
      <c r="F20" s="139" t="s">
        <v>73</v>
      </c>
      <c r="G20" s="139" t="s">
        <v>73</v>
      </c>
      <c r="H20" s="139" t="s">
        <v>73</v>
      </c>
      <c r="I20" s="139" t="s">
        <v>73</v>
      </c>
      <c r="J20" s="139" t="s">
        <v>73</v>
      </c>
      <c r="K20" s="139" t="s">
        <v>73</v>
      </c>
    </row>
    <row r="21" spans="1:11">
      <c r="A21" s="132" t="str">
        <f t="shared" si="0"/>
        <v>HDD24</v>
      </c>
      <c r="B21" s="132" t="s">
        <v>81</v>
      </c>
      <c r="C21" s="145" t="s">
        <v>74</v>
      </c>
      <c r="D21" s="139">
        <v>2633.1</v>
      </c>
      <c r="E21" s="139">
        <v>0.4</v>
      </c>
      <c r="F21" s="139" t="s">
        <v>73</v>
      </c>
      <c r="G21" s="139" t="s">
        <v>73</v>
      </c>
      <c r="H21" s="139" t="s">
        <v>73</v>
      </c>
      <c r="I21" s="139" t="s">
        <v>73</v>
      </c>
      <c r="J21" s="139" t="s">
        <v>73</v>
      </c>
      <c r="K21" s="139" t="s">
        <v>73</v>
      </c>
    </row>
    <row r="22" spans="1:11">
      <c r="A22" s="132" t="str">
        <f t="shared" si="0"/>
        <v>HDD25</v>
      </c>
      <c r="B22" s="132" t="s">
        <v>81</v>
      </c>
      <c r="C22" s="145" t="s">
        <v>75</v>
      </c>
      <c r="D22" s="139">
        <v>2639.1</v>
      </c>
      <c r="E22" s="139">
        <v>3.2</v>
      </c>
      <c r="F22" s="139" t="s">
        <v>73</v>
      </c>
      <c r="G22" s="139" t="s">
        <v>73</v>
      </c>
      <c r="H22" s="139" t="s">
        <v>73</v>
      </c>
      <c r="I22" s="139" t="s">
        <v>73</v>
      </c>
      <c r="J22" s="139" t="s">
        <v>73</v>
      </c>
      <c r="K22" s="139" t="s">
        <v>73</v>
      </c>
    </row>
    <row r="23" spans="1:11">
      <c r="A23" s="132" t="str">
        <f t="shared" si="0"/>
        <v>HDD26</v>
      </c>
      <c r="B23" s="132" t="s">
        <v>81</v>
      </c>
      <c r="C23" s="145" t="s">
        <v>76</v>
      </c>
      <c r="D23" s="139">
        <v>2642.1</v>
      </c>
      <c r="E23" s="139">
        <v>10.199999999999999</v>
      </c>
      <c r="F23" s="139">
        <v>1746</v>
      </c>
      <c r="G23" s="139">
        <v>601</v>
      </c>
      <c r="H23" s="139">
        <v>82.4</v>
      </c>
      <c r="I23" s="139">
        <v>9.6999999999999993</v>
      </c>
      <c r="J23" s="139">
        <v>0.1</v>
      </c>
      <c r="K23" s="139">
        <v>2439.1799999999998</v>
      </c>
    </row>
    <row r="24" spans="1:11">
      <c r="A24" s="132" t="str">
        <f t="shared" si="0"/>
        <v>HDD27</v>
      </c>
      <c r="B24" s="132" t="s">
        <v>81</v>
      </c>
      <c r="C24" s="145" t="s">
        <v>77</v>
      </c>
      <c r="D24" s="139">
        <v>2645.1</v>
      </c>
      <c r="E24" s="139">
        <v>12.5</v>
      </c>
      <c r="F24" s="139" t="s">
        <v>73</v>
      </c>
      <c r="G24" s="139" t="s">
        <v>73</v>
      </c>
      <c r="H24" s="139" t="s">
        <v>73</v>
      </c>
      <c r="I24" s="139" t="s">
        <v>73</v>
      </c>
      <c r="J24" s="139" t="s">
        <v>73</v>
      </c>
      <c r="K24" s="139" t="s">
        <v>73</v>
      </c>
    </row>
    <row r="25" spans="1:11">
      <c r="A25" s="132" t="str">
        <f t="shared" si="0"/>
        <v>HDD28</v>
      </c>
      <c r="B25" s="132" t="s">
        <v>81</v>
      </c>
      <c r="C25" s="145" t="s">
        <v>78</v>
      </c>
      <c r="D25" s="139">
        <v>2648.1</v>
      </c>
      <c r="E25" s="139">
        <v>16.3</v>
      </c>
      <c r="F25" s="139" t="s">
        <v>73</v>
      </c>
      <c r="G25" s="139" t="s">
        <v>73</v>
      </c>
      <c r="H25" s="139" t="s">
        <v>73</v>
      </c>
      <c r="I25" s="139" t="s">
        <v>73</v>
      </c>
      <c r="J25" s="139" t="s">
        <v>73</v>
      </c>
      <c r="K25" s="139" t="s">
        <v>73</v>
      </c>
    </row>
    <row r="26" spans="1:11">
      <c r="A26" s="132" t="str">
        <f t="shared" si="0"/>
        <v>HDD29</v>
      </c>
      <c r="B26" s="132" t="s">
        <v>81</v>
      </c>
      <c r="C26" s="145" t="s">
        <v>79</v>
      </c>
      <c r="D26" s="139">
        <v>2651.1</v>
      </c>
      <c r="E26" s="139">
        <v>14.7</v>
      </c>
      <c r="F26" s="139" t="s">
        <v>73</v>
      </c>
      <c r="G26" s="139" t="s">
        <v>73</v>
      </c>
      <c r="H26" s="139" t="s">
        <v>73</v>
      </c>
      <c r="I26" s="139" t="s">
        <v>73</v>
      </c>
      <c r="J26" s="139" t="s">
        <v>73</v>
      </c>
      <c r="K26" s="139" t="s">
        <v>73</v>
      </c>
    </row>
    <row r="27" spans="1:11">
      <c r="A27" s="132" t="str">
        <f t="shared" si="0"/>
        <v>HDD30</v>
      </c>
      <c r="B27" s="132" t="s">
        <v>81</v>
      </c>
      <c r="C27" s="145" t="s">
        <v>80</v>
      </c>
      <c r="D27" s="139">
        <v>2654.1</v>
      </c>
      <c r="E27" s="139">
        <v>14.3</v>
      </c>
      <c r="F27" s="139" t="s">
        <v>73</v>
      </c>
      <c r="G27" s="139" t="s">
        <v>73</v>
      </c>
      <c r="H27" s="139" t="s">
        <v>73</v>
      </c>
      <c r="I27" s="139" t="s">
        <v>73</v>
      </c>
      <c r="J27" s="139" t="s">
        <v>73</v>
      </c>
      <c r="K27" s="139" t="s">
        <v>73</v>
      </c>
    </row>
    <row r="28" spans="1:11">
      <c r="A28" s="132" t="str">
        <f t="shared" si="0"/>
        <v>NES23</v>
      </c>
      <c r="B28" s="132" t="s">
        <v>38</v>
      </c>
      <c r="C28" s="145" t="s">
        <v>72</v>
      </c>
      <c r="D28" s="139">
        <v>26450.6</v>
      </c>
      <c r="E28" s="139">
        <v>26.8</v>
      </c>
      <c r="F28" s="139" t="s">
        <v>73</v>
      </c>
      <c r="G28" s="139" t="s">
        <v>73</v>
      </c>
      <c r="H28" s="139" t="s">
        <v>73</v>
      </c>
      <c r="I28" s="139" t="s">
        <v>73</v>
      </c>
      <c r="J28" s="139" t="s">
        <v>73</v>
      </c>
      <c r="K28" s="139" t="s">
        <v>73</v>
      </c>
    </row>
    <row r="29" spans="1:11">
      <c r="A29" s="132" t="str">
        <f t="shared" si="0"/>
        <v>NES24</v>
      </c>
      <c r="B29" s="132" t="s">
        <v>38</v>
      </c>
      <c r="C29" s="145" t="s">
        <v>74</v>
      </c>
      <c r="D29" s="139">
        <v>26536.799999999999</v>
      </c>
      <c r="E29" s="139">
        <v>26.3</v>
      </c>
      <c r="F29" s="139" t="s">
        <v>73</v>
      </c>
      <c r="G29" s="139" t="s">
        <v>73</v>
      </c>
      <c r="H29" s="139" t="s">
        <v>73</v>
      </c>
      <c r="I29" s="139" t="s">
        <v>73</v>
      </c>
      <c r="J29" s="139" t="s">
        <v>73</v>
      </c>
      <c r="K29" s="139" t="s">
        <v>73</v>
      </c>
    </row>
    <row r="30" spans="1:11">
      <c r="A30" s="132" t="str">
        <f t="shared" si="0"/>
        <v>NES25</v>
      </c>
      <c r="B30" s="132" t="s">
        <v>38</v>
      </c>
      <c r="C30" s="145" t="s">
        <v>75</v>
      </c>
      <c r="D30" s="139">
        <v>26672.579000000002</v>
      </c>
      <c r="E30" s="139">
        <v>145.179</v>
      </c>
      <c r="F30" s="139" t="s">
        <v>73</v>
      </c>
      <c r="G30" s="139" t="s">
        <v>73</v>
      </c>
      <c r="H30" s="139" t="s">
        <v>73</v>
      </c>
      <c r="I30" s="139" t="s">
        <v>73</v>
      </c>
      <c r="J30" s="139" t="s">
        <v>73</v>
      </c>
      <c r="K30" s="139" t="s">
        <v>73</v>
      </c>
    </row>
    <row r="31" spans="1:11">
      <c r="A31" s="132" t="str">
        <f t="shared" si="0"/>
        <v>NES26</v>
      </c>
      <c r="B31" s="132" t="s">
        <v>38</v>
      </c>
      <c r="C31" s="145" t="s">
        <v>76</v>
      </c>
      <c r="D31" s="139">
        <v>26773.75</v>
      </c>
      <c r="E31" s="139">
        <v>114.15600000000001</v>
      </c>
      <c r="F31" s="139">
        <v>15463.725034840119</v>
      </c>
      <c r="G31" s="139">
        <v>4593.7318023392654</v>
      </c>
      <c r="H31" s="139">
        <v>2793.131204944154</v>
      </c>
      <c r="I31" s="139">
        <v>762.67775986116317</v>
      </c>
      <c r="J31" s="139">
        <v>204.4687180152969</v>
      </c>
      <c r="K31" s="139">
        <v>23817.734520000002</v>
      </c>
    </row>
    <row r="32" spans="1:11">
      <c r="A32" s="132" t="str">
        <f t="shared" si="0"/>
        <v>NES27</v>
      </c>
      <c r="B32" s="132" t="s">
        <v>38</v>
      </c>
      <c r="C32" s="145" t="s">
        <v>77</v>
      </c>
      <c r="D32" s="139">
        <v>26902.276000000002</v>
      </c>
      <c r="E32" s="139">
        <v>119.166</v>
      </c>
      <c r="F32" s="139" t="s">
        <v>73</v>
      </c>
      <c r="G32" s="139" t="s">
        <v>73</v>
      </c>
      <c r="H32" s="139" t="s">
        <v>73</v>
      </c>
      <c r="I32" s="139" t="s">
        <v>73</v>
      </c>
      <c r="J32" s="139" t="s">
        <v>73</v>
      </c>
      <c r="K32" s="139" t="s">
        <v>73</v>
      </c>
    </row>
    <row r="33" spans="1:13">
      <c r="A33" s="132" t="str">
        <f t="shared" si="0"/>
        <v>NES28</v>
      </c>
      <c r="B33" s="132" t="s">
        <v>38</v>
      </c>
      <c r="C33" s="145" t="s">
        <v>78</v>
      </c>
      <c r="D33" s="139">
        <v>26987.8</v>
      </c>
      <c r="E33" s="139">
        <v>136.166</v>
      </c>
      <c r="F33" s="139" t="s">
        <v>73</v>
      </c>
      <c r="G33" s="139" t="s">
        <v>73</v>
      </c>
      <c r="H33" s="139" t="s">
        <v>73</v>
      </c>
      <c r="I33" s="139" t="s">
        <v>73</v>
      </c>
      <c r="J33" s="139" t="s">
        <v>73</v>
      </c>
      <c r="K33" s="139" t="s">
        <v>73</v>
      </c>
    </row>
    <row r="34" spans="1:13">
      <c r="A34" s="132" t="str">
        <f t="shared" si="0"/>
        <v>NES29</v>
      </c>
      <c r="B34" s="132" t="s">
        <v>38</v>
      </c>
      <c r="C34" s="145" t="s">
        <v>79</v>
      </c>
      <c r="D34" s="139">
        <v>27080.6</v>
      </c>
      <c r="E34" s="139">
        <v>109.64</v>
      </c>
      <c r="F34" s="139" t="s">
        <v>73</v>
      </c>
      <c r="G34" s="139" t="s">
        <v>73</v>
      </c>
      <c r="H34" s="139" t="s">
        <v>73</v>
      </c>
      <c r="I34" s="139" t="s">
        <v>73</v>
      </c>
      <c r="J34" s="139" t="s">
        <v>73</v>
      </c>
      <c r="K34" s="139" t="s">
        <v>73</v>
      </c>
    </row>
    <row r="35" spans="1:13">
      <c r="A35" s="132" t="str">
        <f t="shared" si="0"/>
        <v>NES30</v>
      </c>
      <c r="B35" s="132" t="s">
        <v>38</v>
      </c>
      <c r="C35" s="145" t="s">
        <v>80</v>
      </c>
      <c r="D35" s="139">
        <v>27173.4</v>
      </c>
      <c r="E35" s="139">
        <v>110.15</v>
      </c>
      <c r="F35" s="139" t="s">
        <v>73</v>
      </c>
      <c r="G35" s="139" t="s">
        <v>73</v>
      </c>
      <c r="H35" s="139" t="s">
        <v>73</v>
      </c>
      <c r="I35" s="139" t="s">
        <v>73</v>
      </c>
      <c r="J35" s="139" t="s">
        <v>73</v>
      </c>
      <c r="K35" s="139" t="s">
        <v>73</v>
      </c>
    </row>
    <row r="36" spans="1:13">
      <c r="A36" s="132" t="str">
        <f t="shared" ref="A36:A67" si="1">B36&amp;RIGHT(C36,2)</f>
        <v>SVE23</v>
      </c>
      <c r="B36" s="132" t="s">
        <v>82</v>
      </c>
      <c r="C36" s="145" t="s">
        <v>72</v>
      </c>
      <c r="D36" s="139">
        <v>47873.4</v>
      </c>
      <c r="E36" s="139">
        <v>93.3</v>
      </c>
      <c r="F36" s="139" t="s">
        <v>73</v>
      </c>
      <c r="G36" s="139" t="s">
        <v>73</v>
      </c>
      <c r="H36" s="139" t="s">
        <v>73</v>
      </c>
      <c r="I36" s="139" t="s">
        <v>73</v>
      </c>
      <c r="J36" s="139" t="s">
        <v>73</v>
      </c>
      <c r="K36" s="139" t="s">
        <v>73</v>
      </c>
    </row>
    <row r="37" spans="1:13">
      <c r="A37" s="132" t="str">
        <f t="shared" si="1"/>
        <v>SVE24</v>
      </c>
      <c r="B37" s="132" t="s">
        <v>82</v>
      </c>
      <c r="C37" s="145" t="s">
        <v>74</v>
      </c>
      <c r="D37" s="139">
        <v>48042.06</v>
      </c>
      <c r="E37" s="139">
        <v>91.5</v>
      </c>
      <c r="F37" s="139" t="s">
        <v>73</v>
      </c>
      <c r="G37" s="139" t="s">
        <v>73</v>
      </c>
      <c r="H37" s="139" t="s">
        <v>73</v>
      </c>
      <c r="I37" s="139" t="s">
        <v>73</v>
      </c>
      <c r="J37" s="139" t="s">
        <v>73</v>
      </c>
      <c r="K37" s="139" t="s">
        <v>73</v>
      </c>
    </row>
    <row r="38" spans="1:13">
      <c r="A38" s="132" t="str">
        <f t="shared" si="1"/>
        <v>SVE25</v>
      </c>
      <c r="B38" s="132" t="s">
        <v>82</v>
      </c>
      <c r="C38" s="145" t="s">
        <v>75</v>
      </c>
      <c r="D38" s="139">
        <v>48239.1</v>
      </c>
      <c r="E38" s="139">
        <v>129.1</v>
      </c>
      <c r="F38" s="139" t="s">
        <v>73</v>
      </c>
      <c r="G38" s="139" t="s">
        <v>73</v>
      </c>
      <c r="H38" s="139" t="s">
        <v>73</v>
      </c>
      <c r="I38" s="139" t="s">
        <v>73</v>
      </c>
      <c r="J38" s="139" t="s">
        <v>73</v>
      </c>
      <c r="K38" s="139" t="s">
        <v>73</v>
      </c>
    </row>
    <row r="39" spans="1:13">
      <c r="A39" s="132" t="str">
        <f t="shared" si="1"/>
        <v>SVE26</v>
      </c>
      <c r="B39" s="132" t="s">
        <v>82</v>
      </c>
      <c r="C39" s="145" t="s">
        <v>76</v>
      </c>
      <c r="D39" s="139">
        <v>48374.5</v>
      </c>
      <c r="E39" s="139">
        <v>279</v>
      </c>
      <c r="F39" s="139">
        <v>27388.82</v>
      </c>
      <c r="G39" s="139">
        <v>10270.42</v>
      </c>
      <c r="H39" s="139">
        <v>5878.32</v>
      </c>
      <c r="I39" s="139">
        <v>32</v>
      </c>
      <c r="J39" s="139">
        <v>0</v>
      </c>
      <c r="K39" s="139">
        <v>43569.56</v>
      </c>
      <c r="M39" s="228"/>
    </row>
    <row r="40" spans="1:13">
      <c r="A40" s="132" t="str">
        <f t="shared" si="1"/>
        <v>SVE27</v>
      </c>
      <c r="B40" s="132" t="s">
        <v>82</v>
      </c>
      <c r="C40" s="145" t="s">
        <v>77</v>
      </c>
      <c r="D40" s="139">
        <v>48532.4</v>
      </c>
      <c r="E40" s="139">
        <v>279</v>
      </c>
      <c r="F40" s="139" t="s">
        <v>73</v>
      </c>
      <c r="G40" s="139" t="s">
        <v>73</v>
      </c>
      <c r="H40" s="139" t="s">
        <v>73</v>
      </c>
      <c r="I40" s="139" t="s">
        <v>73</v>
      </c>
      <c r="J40" s="139" t="s">
        <v>73</v>
      </c>
      <c r="K40" s="139" t="s">
        <v>73</v>
      </c>
      <c r="M40" s="228"/>
    </row>
    <row r="41" spans="1:13">
      <c r="A41" s="132" t="str">
        <f t="shared" si="1"/>
        <v>SVE28</v>
      </c>
      <c r="B41" s="132" t="s">
        <v>82</v>
      </c>
      <c r="C41" s="145" t="s">
        <v>78</v>
      </c>
      <c r="D41" s="139">
        <v>48684</v>
      </c>
      <c r="E41" s="139">
        <v>279</v>
      </c>
      <c r="F41" s="139" t="s">
        <v>73</v>
      </c>
      <c r="G41" s="139" t="s">
        <v>73</v>
      </c>
      <c r="H41" s="139" t="s">
        <v>73</v>
      </c>
      <c r="I41" s="139" t="s">
        <v>73</v>
      </c>
      <c r="J41" s="139" t="s">
        <v>73</v>
      </c>
      <c r="K41" s="139" t="s">
        <v>73</v>
      </c>
      <c r="M41" s="228"/>
    </row>
    <row r="42" spans="1:13">
      <c r="A42" s="132" t="str">
        <f t="shared" si="1"/>
        <v>SVE29</v>
      </c>
      <c r="B42" s="132" t="s">
        <v>82</v>
      </c>
      <c r="C42" s="145" t="s">
        <v>79</v>
      </c>
      <c r="D42" s="139">
        <v>48839.5</v>
      </c>
      <c r="E42" s="139">
        <v>279</v>
      </c>
      <c r="F42" s="139" t="s">
        <v>73</v>
      </c>
      <c r="G42" s="139" t="s">
        <v>73</v>
      </c>
      <c r="H42" s="139" t="s">
        <v>73</v>
      </c>
      <c r="I42" s="139" t="s">
        <v>73</v>
      </c>
      <c r="J42" s="139" t="s">
        <v>73</v>
      </c>
      <c r="K42" s="139" t="s">
        <v>73</v>
      </c>
      <c r="M42" s="228"/>
    </row>
    <row r="43" spans="1:13">
      <c r="A43" s="132" t="str">
        <f t="shared" si="1"/>
        <v>SVE30</v>
      </c>
      <c r="B43" s="132" t="s">
        <v>82</v>
      </c>
      <c r="C43" s="145" t="s">
        <v>80</v>
      </c>
      <c r="D43" s="139">
        <v>48998.7</v>
      </c>
      <c r="E43" s="139">
        <v>279</v>
      </c>
      <c r="F43" s="139" t="s">
        <v>73</v>
      </c>
      <c r="G43" s="139" t="s">
        <v>73</v>
      </c>
      <c r="H43" s="139" t="s">
        <v>73</v>
      </c>
      <c r="I43" s="139" t="s">
        <v>73</v>
      </c>
      <c r="J43" s="139" t="s">
        <v>73</v>
      </c>
      <c r="K43" s="139" t="s">
        <v>73</v>
      </c>
      <c r="M43" s="228"/>
    </row>
    <row r="44" spans="1:13">
      <c r="A44" s="132" t="str">
        <f t="shared" si="1"/>
        <v>SWB23</v>
      </c>
      <c r="B44" s="132" t="s">
        <v>83</v>
      </c>
      <c r="C44" s="145" t="s">
        <v>72</v>
      </c>
      <c r="D44" s="139">
        <v>18545.900000000001</v>
      </c>
      <c r="E44" s="139">
        <v>10.1</v>
      </c>
      <c r="F44" s="139" t="s">
        <v>73</v>
      </c>
      <c r="G44" s="139" t="s">
        <v>73</v>
      </c>
      <c r="H44" s="139" t="s">
        <v>73</v>
      </c>
      <c r="I44" s="139" t="s">
        <v>73</v>
      </c>
      <c r="J44" s="139" t="s">
        <v>73</v>
      </c>
      <c r="K44" s="139" t="s">
        <v>73</v>
      </c>
      <c r="M44" s="228"/>
    </row>
    <row r="45" spans="1:13">
      <c r="A45" s="132" t="str">
        <f t="shared" si="1"/>
        <v>SWB24</v>
      </c>
      <c r="B45" s="132" t="s">
        <v>83</v>
      </c>
      <c r="C45" s="145" t="s">
        <v>74</v>
      </c>
      <c r="D45" s="139">
        <v>18583.400000000001</v>
      </c>
      <c r="E45" s="139">
        <v>10.4</v>
      </c>
      <c r="F45" s="139" t="s">
        <v>73</v>
      </c>
      <c r="G45" s="139" t="s">
        <v>73</v>
      </c>
      <c r="H45" s="139" t="s">
        <v>73</v>
      </c>
      <c r="I45" s="139" t="s">
        <v>73</v>
      </c>
      <c r="J45" s="139" t="s">
        <v>73</v>
      </c>
      <c r="K45" s="139" t="s">
        <v>73</v>
      </c>
    </row>
    <row r="46" spans="1:13">
      <c r="A46" s="132" t="str">
        <f t="shared" si="1"/>
        <v>SWB25</v>
      </c>
      <c r="B46" s="132" t="s">
        <v>83</v>
      </c>
      <c r="C46" s="145" t="s">
        <v>75</v>
      </c>
      <c r="D46" s="139">
        <v>18633.52</v>
      </c>
      <c r="E46" s="139">
        <v>10.07</v>
      </c>
      <c r="F46" s="139" t="s">
        <v>73</v>
      </c>
      <c r="G46" s="139" t="s">
        <v>73</v>
      </c>
      <c r="H46" s="139" t="s">
        <v>73</v>
      </c>
      <c r="I46" s="139" t="s">
        <v>73</v>
      </c>
      <c r="J46" s="139" t="s">
        <v>73</v>
      </c>
      <c r="K46" s="139" t="s">
        <v>73</v>
      </c>
    </row>
    <row r="47" spans="1:13">
      <c r="A47" s="132" t="str">
        <f t="shared" si="1"/>
        <v>SWB26</v>
      </c>
      <c r="B47" s="132" t="s">
        <v>83</v>
      </c>
      <c r="C47" s="145" t="s">
        <v>76</v>
      </c>
      <c r="D47" s="139">
        <v>18673.080000000009</v>
      </c>
      <c r="E47" s="139">
        <v>30.7442016</v>
      </c>
      <c r="F47" s="139">
        <v>13310.12</v>
      </c>
      <c r="G47" s="139">
        <v>2595.54</v>
      </c>
      <c r="H47" s="139">
        <v>898.34</v>
      </c>
      <c r="I47" s="139">
        <v>269.2</v>
      </c>
      <c r="J47" s="139">
        <v>95.44</v>
      </c>
      <c r="K47" s="139">
        <v>17168.64</v>
      </c>
    </row>
    <row r="48" spans="1:13">
      <c r="A48" s="132" t="str">
        <f t="shared" si="1"/>
        <v>SWB27</v>
      </c>
      <c r="B48" s="132" t="s">
        <v>83</v>
      </c>
      <c r="C48" s="145" t="s">
        <v>77</v>
      </c>
      <c r="D48" s="139">
        <v>18708</v>
      </c>
      <c r="E48" s="139">
        <v>51.240335999999999</v>
      </c>
      <c r="F48" s="139" t="s">
        <v>73</v>
      </c>
      <c r="G48" s="139" t="s">
        <v>73</v>
      </c>
      <c r="H48" s="139" t="s">
        <v>73</v>
      </c>
      <c r="I48" s="139" t="s">
        <v>73</v>
      </c>
      <c r="J48" s="139" t="s">
        <v>73</v>
      </c>
      <c r="K48" s="139" t="s">
        <v>73</v>
      </c>
    </row>
    <row r="49" spans="1:11">
      <c r="A49" s="132" t="str">
        <f t="shared" si="1"/>
        <v>SWB28</v>
      </c>
      <c r="B49" s="132" t="s">
        <v>83</v>
      </c>
      <c r="C49" s="145" t="s">
        <v>78</v>
      </c>
      <c r="D49" s="139">
        <v>18759.3</v>
      </c>
      <c r="E49" s="139">
        <v>58.055300688000003</v>
      </c>
      <c r="F49" s="139" t="s">
        <v>73</v>
      </c>
      <c r="G49" s="139" t="s">
        <v>73</v>
      </c>
      <c r="H49" s="139" t="s">
        <v>73</v>
      </c>
      <c r="I49" s="139" t="s">
        <v>73</v>
      </c>
      <c r="J49" s="139" t="s">
        <v>73</v>
      </c>
      <c r="K49" s="139" t="s">
        <v>73</v>
      </c>
    </row>
    <row r="50" spans="1:11">
      <c r="A50" s="132" t="str">
        <f t="shared" si="1"/>
        <v>SWB29</v>
      </c>
      <c r="B50" s="132" t="s">
        <v>83</v>
      </c>
      <c r="C50" s="145" t="s">
        <v>79</v>
      </c>
      <c r="D50" s="139">
        <v>18809.400000000001</v>
      </c>
      <c r="E50" s="139">
        <v>58.080920856000013</v>
      </c>
      <c r="F50" s="139" t="s">
        <v>73</v>
      </c>
      <c r="G50" s="139" t="s">
        <v>73</v>
      </c>
      <c r="H50" s="139" t="s">
        <v>73</v>
      </c>
      <c r="I50" s="139" t="s">
        <v>73</v>
      </c>
      <c r="J50" s="139" t="s">
        <v>73</v>
      </c>
      <c r="K50" s="139" t="s">
        <v>73</v>
      </c>
    </row>
    <row r="51" spans="1:11">
      <c r="A51" s="132" t="str">
        <f t="shared" si="1"/>
        <v>SWB30</v>
      </c>
      <c r="B51" s="132" t="s">
        <v>83</v>
      </c>
      <c r="C51" s="145" t="s">
        <v>80</v>
      </c>
      <c r="D51" s="139">
        <v>18854.5</v>
      </c>
      <c r="E51" s="139">
        <v>58.080920856000013</v>
      </c>
      <c r="F51" s="139" t="s">
        <v>73</v>
      </c>
      <c r="G51" s="139" t="s">
        <v>73</v>
      </c>
      <c r="H51" s="139" t="s">
        <v>73</v>
      </c>
      <c r="I51" s="139" t="s">
        <v>73</v>
      </c>
      <c r="J51" s="139" t="s">
        <v>73</v>
      </c>
      <c r="K51" s="139" t="s">
        <v>73</v>
      </c>
    </row>
    <row r="52" spans="1:11">
      <c r="A52" s="132" t="str">
        <f t="shared" si="1"/>
        <v>SRN23</v>
      </c>
      <c r="B52" s="132" t="s">
        <v>43</v>
      </c>
      <c r="C52" s="145" t="s">
        <v>72</v>
      </c>
      <c r="D52" s="139">
        <v>13919</v>
      </c>
      <c r="E52" s="139">
        <v>4.43</v>
      </c>
      <c r="F52" s="139" t="s">
        <v>73</v>
      </c>
      <c r="G52" s="139" t="s">
        <v>73</v>
      </c>
      <c r="H52" s="139" t="s">
        <v>73</v>
      </c>
      <c r="I52" s="139" t="s">
        <v>73</v>
      </c>
      <c r="J52" s="139" t="s">
        <v>73</v>
      </c>
      <c r="K52" s="139" t="s">
        <v>73</v>
      </c>
    </row>
    <row r="53" spans="1:11">
      <c r="A53" s="132" t="str">
        <f t="shared" si="1"/>
        <v>SRN24</v>
      </c>
      <c r="B53" s="132" t="s">
        <v>43</v>
      </c>
      <c r="C53" s="145" t="s">
        <v>74</v>
      </c>
      <c r="D53" s="139">
        <v>13972.6</v>
      </c>
      <c r="E53" s="139">
        <v>14.5</v>
      </c>
      <c r="F53" s="139" t="s">
        <v>73</v>
      </c>
      <c r="G53" s="139" t="s">
        <v>73</v>
      </c>
      <c r="H53" s="139" t="s">
        <v>73</v>
      </c>
      <c r="I53" s="139" t="s">
        <v>73</v>
      </c>
      <c r="J53" s="139" t="s">
        <v>73</v>
      </c>
      <c r="K53" s="139" t="s">
        <v>73</v>
      </c>
    </row>
    <row r="54" spans="1:11">
      <c r="A54" s="132" t="str">
        <f t="shared" si="1"/>
        <v>SRN25</v>
      </c>
      <c r="B54" s="132" t="s">
        <v>43</v>
      </c>
      <c r="C54" s="145" t="s">
        <v>75</v>
      </c>
      <c r="D54" s="139">
        <v>14039.5</v>
      </c>
      <c r="E54" s="139">
        <v>0</v>
      </c>
      <c r="F54" s="139" t="s">
        <v>73</v>
      </c>
      <c r="G54" s="139" t="s">
        <v>73</v>
      </c>
      <c r="H54" s="139" t="s">
        <v>73</v>
      </c>
      <c r="I54" s="139" t="s">
        <v>73</v>
      </c>
      <c r="J54" s="139" t="s">
        <v>73</v>
      </c>
      <c r="K54" s="139" t="s">
        <v>73</v>
      </c>
    </row>
    <row r="55" spans="1:11">
      <c r="A55" s="132" t="str">
        <f t="shared" si="1"/>
        <v>SRN26</v>
      </c>
      <c r="B55" s="132" t="s">
        <v>43</v>
      </c>
      <c r="C55" s="145" t="s">
        <v>76</v>
      </c>
      <c r="D55" s="139">
        <v>14108.55</v>
      </c>
      <c r="E55" s="139">
        <v>40.72</v>
      </c>
      <c r="F55" s="139">
        <v>416.46</v>
      </c>
      <c r="G55" s="139">
        <v>2324.34</v>
      </c>
      <c r="H55" s="139">
        <v>2070.2800000000002</v>
      </c>
      <c r="I55" s="139">
        <v>468.66</v>
      </c>
      <c r="J55" s="139">
        <v>83.63</v>
      </c>
      <c r="K55" s="139">
        <v>5363.37</v>
      </c>
    </row>
    <row r="56" spans="1:11">
      <c r="A56" s="132" t="str">
        <f t="shared" si="1"/>
        <v>SRN27</v>
      </c>
      <c r="B56" s="132" t="s">
        <v>43</v>
      </c>
      <c r="C56" s="145" t="s">
        <v>77</v>
      </c>
      <c r="D56" s="139">
        <v>14177.35</v>
      </c>
      <c r="E56" s="139">
        <v>60.72</v>
      </c>
      <c r="F56" s="139" t="s">
        <v>73</v>
      </c>
      <c r="G56" s="139" t="s">
        <v>73</v>
      </c>
      <c r="H56" s="139" t="s">
        <v>73</v>
      </c>
      <c r="I56" s="139" t="s">
        <v>73</v>
      </c>
      <c r="J56" s="139" t="s">
        <v>73</v>
      </c>
      <c r="K56" s="139" t="s">
        <v>73</v>
      </c>
    </row>
    <row r="57" spans="1:11">
      <c r="A57" s="132" t="str">
        <f t="shared" si="1"/>
        <v>SRN28</v>
      </c>
      <c r="B57" s="132" t="s">
        <v>43</v>
      </c>
      <c r="C57" s="145" t="s">
        <v>78</v>
      </c>
      <c r="D57" s="139">
        <v>14246.15</v>
      </c>
      <c r="E57" s="139">
        <v>68.22</v>
      </c>
      <c r="F57" s="139" t="s">
        <v>73</v>
      </c>
      <c r="G57" s="139" t="s">
        <v>73</v>
      </c>
      <c r="H57" s="139" t="s">
        <v>73</v>
      </c>
      <c r="I57" s="139" t="s">
        <v>73</v>
      </c>
      <c r="J57" s="139" t="s">
        <v>73</v>
      </c>
      <c r="K57" s="139" t="s">
        <v>73</v>
      </c>
    </row>
    <row r="58" spans="1:11">
      <c r="A58" s="132" t="str">
        <f t="shared" si="1"/>
        <v>SRN29</v>
      </c>
      <c r="B58" s="132" t="s">
        <v>43</v>
      </c>
      <c r="C58" s="145" t="s">
        <v>79</v>
      </c>
      <c r="D58" s="139">
        <v>14314.95</v>
      </c>
      <c r="E58" s="139">
        <v>88.22</v>
      </c>
      <c r="F58" s="139" t="s">
        <v>73</v>
      </c>
      <c r="G58" s="139" t="s">
        <v>73</v>
      </c>
      <c r="H58" s="139" t="s">
        <v>73</v>
      </c>
      <c r="I58" s="139" t="s">
        <v>73</v>
      </c>
      <c r="J58" s="139" t="s">
        <v>73</v>
      </c>
      <c r="K58" s="139" t="s">
        <v>73</v>
      </c>
    </row>
    <row r="59" spans="1:11">
      <c r="A59" s="132" t="str">
        <f t="shared" si="1"/>
        <v>SRN30</v>
      </c>
      <c r="B59" s="132" t="s">
        <v>43</v>
      </c>
      <c r="C59" s="145" t="s">
        <v>80</v>
      </c>
      <c r="D59" s="139">
        <v>14383.75</v>
      </c>
      <c r="E59" s="139">
        <v>108.22</v>
      </c>
      <c r="F59" s="139" t="s">
        <v>73</v>
      </c>
      <c r="G59" s="139" t="s">
        <v>73</v>
      </c>
      <c r="H59" s="139" t="s">
        <v>73</v>
      </c>
      <c r="I59" s="139" t="s">
        <v>73</v>
      </c>
      <c r="J59" s="139" t="s">
        <v>73</v>
      </c>
      <c r="K59" s="139" t="s">
        <v>73</v>
      </c>
    </row>
    <row r="60" spans="1:11">
      <c r="A60" s="132" t="str">
        <f t="shared" si="1"/>
        <v>TMS23</v>
      </c>
      <c r="B60" s="132" t="s">
        <v>48</v>
      </c>
      <c r="C60" s="145" t="s">
        <v>72</v>
      </c>
      <c r="D60" s="139">
        <v>31926.7</v>
      </c>
      <c r="E60" s="139">
        <v>59.7</v>
      </c>
      <c r="F60" s="139" t="s">
        <v>73</v>
      </c>
      <c r="G60" s="139" t="s">
        <v>73</v>
      </c>
      <c r="H60" s="139" t="s">
        <v>73</v>
      </c>
      <c r="I60" s="139" t="s">
        <v>73</v>
      </c>
      <c r="J60" s="139" t="s">
        <v>73</v>
      </c>
      <c r="K60" s="139" t="s">
        <v>73</v>
      </c>
    </row>
    <row r="61" spans="1:11">
      <c r="A61" s="132" t="str">
        <f t="shared" si="1"/>
        <v>TMS24</v>
      </c>
      <c r="B61" s="132" t="s">
        <v>48</v>
      </c>
      <c r="C61" s="145" t="s">
        <v>74</v>
      </c>
      <c r="D61" s="139">
        <v>32010.1</v>
      </c>
      <c r="E61" s="139">
        <v>78.099999999999994</v>
      </c>
      <c r="F61" s="139" t="s">
        <v>73</v>
      </c>
      <c r="G61" s="139" t="s">
        <v>73</v>
      </c>
      <c r="H61" s="139" t="s">
        <v>73</v>
      </c>
      <c r="I61" s="139" t="s">
        <v>73</v>
      </c>
      <c r="J61" s="139" t="s">
        <v>73</v>
      </c>
      <c r="K61" s="139" t="s">
        <v>73</v>
      </c>
    </row>
    <row r="62" spans="1:11">
      <c r="A62" s="132" t="str">
        <f t="shared" si="1"/>
        <v>TMS25</v>
      </c>
      <c r="B62" s="132" t="s">
        <v>48</v>
      </c>
      <c r="C62" s="145" t="s">
        <v>75</v>
      </c>
      <c r="D62" s="139">
        <v>32074.1</v>
      </c>
      <c r="E62" s="139">
        <v>30.3</v>
      </c>
      <c r="F62" s="139" t="s">
        <v>73</v>
      </c>
      <c r="G62" s="139" t="s">
        <v>73</v>
      </c>
      <c r="H62" s="139" t="s">
        <v>73</v>
      </c>
      <c r="I62" s="139" t="s">
        <v>73</v>
      </c>
      <c r="J62" s="139" t="s">
        <v>73</v>
      </c>
      <c r="K62" s="139" t="s">
        <v>73</v>
      </c>
    </row>
    <row r="63" spans="1:11">
      <c r="A63" s="132" t="str">
        <f t="shared" si="1"/>
        <v>TMS26</v>
      </c>
      <c r="B63" s="132" t="s">
        <v>48</v>
      </c>
      <c r="C63" s="145" t="s">
        <v>76</v>
      </c>
      <c r="D63" s="139">
        <v>32138.1</v>
      </c>
      <c r="E63" s="139">
        <v>55.2</v>
      </c>
      <c r="F63" s="139">
        <v>11048.77746343113</v>
      </c>
      <c r="G63" s="139">
        <v>5242.4611026543416</v>
      </c>
      <c r="H63" s="139">
        <v>6981.1011980503617</v>
      </c>
      <c r="I63" s="139">
        <v>5100.8711659397313</v>
      </c>
      <c r="J63" s="139">
        <v>44.990339191794291</v>
      </c>
      <c r="K63" s="139">
        <v>28418.20126926736</v>
      </c>
    </row>
    <row r="64" spans="1:11">
      <c r="A64" s="132" t="str">
        <f t="shared" si="1"/>
        <v>TMS27</v>
      </c>
      <c r="B64" s="132" t="s">
        <v>48</v>
      </c>
      <c r="C64" s="145" t="s">
        <v>77</v>
      </c>
      <c r="D64" s="139">
        <v>32194.1</v>
      </c>
      <c r="E64" s="139">
        <v>54.6</v>
      </c>
      <c r="F64" s="139" t="s">
        <v>73</v>
      </c>
      <c r="G64" s="139" t="s">
        <v>73</v>
      </c>
      <c r="H64" s="139" t="s">
        <v>73</v>
      </c>
      <c r="I64" s="139" t="s">
        <v>73</v>
      </c>
      <c r="J64" s="139" t="s">
        <v>73</v>
      </c>
      <c r="K64" s="139" t="s">
        <v>73</v>
      </c>
    </row>
    <row r="65" spans="1:11">
      <c r="A65" s="132" t="str">
        <f t="shared" si="1"/>
        <v>TMS28</v>
      </c>
      <c r="B65" s="132" t="s">
        <v>48</v>
      </c>
      <c r="C65" s="145" t="s">
        <v>78</v>
      </c>
      <c r="D65" s="139">
        <v>32245.1</v>
      </c>
      <c r="E65" s="139">
        <v>59.7</v>
      </c>
      <c r="F65" s="139" t="s">
        <v>73</v>
      </c>
      <c r="G65" s="139" t="s">
        <v>73</v>
      </c>
      <c r="H65" s="139" t="s">
        <v>73</v>
      </c>
      <c r="I65" s="139" t="s">
        <v>73</v>
      </c>
      <c r="J65" s="139" t="s">
        <v>73</v>
      </c>
      <c r="K65" s="139" t="s">
        <v>73</v>
      </c>
    </row>
    <row r="66" spans="1:11">
      <c r="A66" s="132" t="str">
        <f t="shared" si="1"/>
        <v>TMS29</v>
      </c>
      <c r="B66" s="132" t="s">
        <v>48</v>
      </c>
      <c r="C66" s="145" t="s">
        <v>79</v>
      </c>
      <c r="D66" s="139">
        <v>32292.1</v>
      </c>
      <c r="E66" s="139">
        <v>73</v>
      </c>
      <c r="F66" s="139" t="s">
        <v>73</v>
      </c>
      <c r="G66" s="139" t="s">
        <v>73</v>
      </c>
      <c r="H66" s="139" t="s">
        <v>73</v>
      </c>
      <c r="I66" s="139" t="s">
        <v>73</v>
      </c>
      <c r="J66" s="139" t="s">
        <v>73</v>
      </c>
      <c r="K66" s="139" t="s">
        <v>73</v>
      </c>
    </row>
    <row r="67" spans="1:11">
      <c r="A67" s="132" t="str">
        <f t="shared" si="1"/>
        <v>TMS30</v>
      </c>
      <c r="B67" s="132" t="s">
        <v>48</v>
      </c>
      <c r="C67" s="145" t="s">
        <v>80</v>
      </c>
      <c r="D67" s="139">
        <v>32334.1</v>
      </c>
      <c r="E67" s="139">
        <v>99.5</v>
      </c>
      <c r="F67" s="139" t="s">
        <v>73</v>
      </c>
      <c r="G67" s="139" t="s">
        <v>73</v>
      </c>
      <c r="H67" s="139" t="s">
        <v>73</v>
      </c>
      <c r="I67" s="139" t="s">
        <v>73</v>
      </c>
      <c r="J67" s="139" t="s">
        <v>73</v>
      </c>
      <c r="K67" s="139" t="s">
        <v>73</v>
      </c>
    </row>
    <row r="68" spans="1:11">
      <c r="A68" s="132" t="str">
        <f t="shared" ref="A68:A99" si="2">B68&amp;RIGHT(C68,2)</f>
        <v>NWT23</v>
      </c>
      <c r="B68" s="132" t="s">
        <v>50</v>
      </c>
      <c r="C68" s="145" t="s">
        <v>72</v>
      </c>
      <c r="D68" s="139">
        <v>42877.120000000003</v>
      </c>
      <c r="E68" s="139">
        <v>39.200000000000003</v>
      </c>
      <c r="F68" s="139" t="s">
        <v>73</v>
      </c>
      <c r="G68" s="139" t="s">
        <v>73</v>
      </c>
      <c r="H68" s="139" t="s">
        <v>73</v>
      </c>
      <c r="I68" s="139" t="s">
        <v>73</v>
      </c>
      <c r="J68" s="139" t="s">
        <v>73</v>
      </c>
      <c r="K68" s="139" t="s">
        <v>73</v>
      </c>
    </row>
    <row r="69" spans="1:11">
      <c r="A69" s="132" t="str">
        <f t="shared" si="2"/>
        <v>NWT24</v>
      </c>
      <c r="B69" s="132" t="s">
        <v>50</v>
      </c>
      <c r="C69" s="145" t="s">
        <v>74</v>
      </c>
      <c r="D69" s="139">
        <v>43032.3</v>
      </c>
      <c r="E69" s="139">
        <v>20.98432</v>
      </c>
      <c r="F69" s="139" t="s">
        <v>73</v>
      </c>
      <c r="G69" s="139" t="s">
        <v>73</v>
      </c>
      <c r="H69" s="139" t="s">
        <v>73</v>
      </c>
      <c r="I69" s="139" t="s">
        <v>73</v>
      </c>
      <c r="J69" s="139" t="s">
        <v>73</v>
      </c>
      <c r="K69" s="139" t="s">
        <v>73</v>
      </c>
    </row>
    <row r="70" spans="1:11">
      <c r="A70" s="132" t="str">
        <f t="shared" si="2"/>
        <v>NWT25</v>
      </c>
      <c r="B70" s="132" t="s">
        <v>50</v>
      </c>
      <c r="C70" s="145" t="s">
        <v>75</v>
      </c>
      <c r="D70" s="139">
        <v>43177.730664759001</v>
      </c>
      <c r="E70" s="139">
        <v>56.267500000000467</v>
      </c>
      <c r="F70" s="139" t="s">
        <v>73</v>
      </c>
      <c r="G70" s="139" t="s">
        <v>73</v>
      </c>
      <c r="H70" s="139" t="s">
        <v>73</v>
      </c>
      <c r="I70" s="139" t="s">
        <v>73</v>
      </c>
      <c r="J70" s="139" t="s">
        <v>73</v>
      </c>
      <c r="K70" s="139" t="s">
        <v>73</v>
      </c>
    </row>
    <row r="71" spans="1:11">
      <c r="A71" s="132" t="str">
        <f t="shared" si="2"/>
        <v>NWT26</v>
      </c>
      <c r="B71" s="132" t="s">
        <v>50</v>
      </c>
      <c r="C71" s="145" t="s">
        <v>76</v>
      </c>
      <c r="D71" s="139">
        <v>43329.491664759</v>
      </c>
      <c r="E71" s="139">
        <v>134.37008588846899</v>
      </c>
      <c r="F71" s="139">
        <v>26032.348848495021</v>
      </c>
      <c r="G71" s="139">
        <v>6718.7770007844738</v>
      </c>
      <c r="H71" s="139">
        <v>4809.8429749086354</v>
      </c>
      <c r="I71" s="139">
        <v>853.78696120933455</v>
      </c>
      <c r="J71" s="139">
        <v>188.63417365069469</v>
      </c>
      <c r="K71" s="139">
        <v>38603.389959048152</v>
      </c>
    </row>
    <row r="72" spans="1:11">
      <c r="A72" s="132" t="str">
        <f t="shared" si="2"/>
        <v>NWT27</v>
      </c>
      <c r="B72" s="132" t="s">
        <v>50</v>
      </c>
      <c r="C72" s="145" t="s">
        <v>77</v>
      </c>
      <c r="D72" s="139">
        <v>43527.901664759003</v>
      </c>
      <c r="E72" s="139">
        <v>203.034153909385</v>
      </c>
      <c r="F72" s="139" t="s">
        <v>73</v>
      </c>
      <c r="G72" s="139" t="s">
        <v>73</v>
      </c>
      <c r="H72" s="139" t="s">
        <v>73</v>
      </c>
      <c r="I72" s="139" t="s">
        <v>73</v>
      </c>
      <c r="J72" s="139" t="s">
        <v>73</v>
      </c>
      <c r="K72" s="139" t="s">
        <v>73</v>
      </c>
    </row>
    <row r="73" spans="1:11">
      <c r="A73" s="132" t="str">
        <f t="shared" si="2"/>
        <v>NWT28</v>
      </c>
      <c r="B73" s="132" t="s">
        <v>50</v>
      </c>
      <c r="C73" s="145" t="s">
        <v>78</v>
      </c>
      <c r="D73" s="139">
        <v>43749.935664759003</v>
      </c>
      <c r="E73" s="139">
        <v>186.85666138102599</v>
      </c>
      <c r="F73" s="139" t="s">
        <v>73</v>
      </c>
      <c r="G73" s="139" t="s">
        <v>73</v>
      </c>
      <c r="H73" s="139" t="s">
        <v>73</v>
      </c>
      <c r="I73" s="139" t="s">
        <v>73</v>
      </c>
      <c r="J73" s="139" t="s">
        <v>73</v>
      </c>
      <c r="K73" s="139" t="s">
        <v>73</v>
      </c>
    </row>
    <row r="74" spans="1:11">
      <c r="A74" s="132" t="str">
        <f t="shared" si="2"/>
        <v>NWT29</v>
      </c>
      <c r="B74" s="132" t="s">
        <v>50</v>
      </c>
      <c r="C74" s="145" t="s">
        <v>79</v>
      </c>
      <c r="D74" s="139">
        <v>43952.465664759002</v>
      </c>
      <c r="E74" s="139">
        <v>179.12791384455801</v>
      </c>
      <c r="F74" s="139" t="s">
        <v>73</v>
      </c>
      <c r="G74" s="139" t="s">
        <v>73</v>
      </c>
      <c r="H74" s="139" t="s">
        <v>73</v>
      </c>
      <c r="I74" s="139" t="s">
        <v>73</v>
      </c>
      <c r="J74" s="139" t="s">
        <v>73</v>
      </c>
      <c r="K74" s="139" t="s">
        <v>73</v>
      </c>
    </row>
    <row r="75" spans="1:11">
      <c r="A75" s="132" t="str">
        <f t="shared" si="2"/>
        <v>NWT30</v>
      </c>
      <c r="B75" s="132" t="s">
        <v>50</v>
      </c>
      <c r="C75" s="145" t="s">
        <v>80</v>
      </c>
      <c r="D75" s="139">
        <v>44152.035664759002</v>
      </c>
      <c r="E75" s="139">
        <v>224.44271635098201</v>
      </c>
      <c r="F75" s="139" t="s">
        <v>73</v>
      </c>
      <c r="G75" s="139" t="s">
        <v>73</v>
      </c>
      <c r="H75" s="139" t="s">
        <v>73</v>
      </c>
      <c r="I75" s="139" t="s">
        <v>73</v>
      </c>
      <c r="J75" s="139" t="s">
        <v>73</v>
      </c>
      <c r="K75" s="139" t="s">
        <v>73</v>
      </c>
    </row>
    <row r="76" spans="1:11">
      <c r="A76" s="132" t="str">
        <f t="shared" si="2"/>
        <v>WSX23</v>
      </c>
      <c r="B76" s="132" t="s">
        <v>52</v>
      </c>
      <c r="C76" s="145" t="s">
        <v>72</v>
      </c>
      <c r="D76" s="139">
        <v>12116.3</v>
      </c>
      <c r="E76" s="139">
        <v>25.9</v>
      </c>
      <c r="F76" s="139" t="s">
        <v>73</v>
      </c>
      <c r="G76" s="139" t="s">
        <v>73</v>
      </c>
      <c r="H76" s="139" t="s">
        <v>73</v>
      </c>
      <c r="I76" s="139" t="s">
        <v>73</v>
      </c>
      <c r="J76" s="139" t="s">
        <v>73</v>
      </c>
      <c r="K76" s="139" t="s">
        <v>73</v>
      </c>
    </row>
    <row r="77" spans="1:11">
      <c r="A77" s="132" t="str">
        <f t="shared" si="2"/>
        <v>WSX24</v>
      </c>
      <c r="B77" s="132" t="s">
        <v>52</v>
      </c>
      <c r="C77" s="145" t="s">
        <v>74</v>
      </c>
      <c r="D77" s="139">
        <v>12148.9</v>
      </c>
      <c r="E77" s="139">
        <v>19.600000000000001</v>
      </c>
      <c r="F77" s="139" t="s">
        <v>73</v>
      </c>
      <c r="G77" s="139" t="s">
        <v>73</v>
      </c>
      <c r="H77" s="139" t="s">
        <v>73</v>
      </c>
      <c r="I77" s="139" t="s">
        <v>73</v>
      </c>
      <c r="J77" s="139" t="s">
        <v>73</v>
      </c>
      <c r="K77" s="139" t="s">
        <v>73</v>
      </c>
    </row>
    <row r="78" spans="1:11">
      <c r="A78" s="132" t="str">
        <f t="shared" si="2"/>
        <v>WSX25</v>
      </c>
      <c r="B78" s="132" t="s">
        <v>52</v>
      </c>
      <c r="C78" s="145" t="s">
        <v>75</v>
      </c>
      <c r="D78" s="139">
        <v>12178.9</v>
      </c>
      <c r="E78" s="139">
        <v>26.933333333333341</v>
      </c>
      <c r="F78" s="139" t="s">
        <v>73</v>
      </c>
      <c r="G78" s="139" t="s">
        <v>73</v>
      </c>
      <c r="H78" s="139" t="s">
        <v>73</v>
      </c>
      <c r="I78" s="139" t="s">
        <v>73</v>
      </c>
      <c r="J78" s="139" t="s">
        <v>73</v>
      </c>
      <c r="K78" s="139" t="s">
        <v>73</v>
      </c>
    </row>
    <row r="79" spans="1:11">
      <c r="A79" s="132" t="str">
        <f t="shared" si="2"/>
        <v>WSX26</v>
      </c>
      <c r="B79" s="132" t="s">
        <v>52</v>
      </c>
      <c r="C79" s="145" t="s">
        <v>76</v>
      </c>
      <c r="D79" s="139">
        <v>12208.9</v>
      </c>
      <c r="E79" s="139">
        <v>49</v>
      </c>
      <c r="F79" s="139">
        <v>5497.3159675477564</v>
      </c>
      <c r="G79" s="139">
        <v>2844.6621432959391</v>
      </c>
      <c r="H79" s="139">
        <v>2224.605604747951</v>
      </c>
      <c r="I79" s="139">
        <v>392.24814958045209</v>
      </c>
      <c r="J79" s="139">
        <v>33.118134827901848</v>
      </c>
      <c r="K79" s="139">
        <v>10991.95</v>
      </c>
    </row>
    <row r="80" spans="1:11">
      <c r="A80" s="132" t="str">
        <f t="shared" si="2"/>
        <v>WSX27</v>
      </c>
      <c r="B80" s="132" t="s">
        <v>52</v>
      </c>
      <c r="C80" s="145" t="s">
        <v>77</v>
      </c>
      <c r="D80" s="139">
        <v>12238.9</v>
      </c>
      <c r="E80" s="139">
        <v>49</v>
      </c>
      <c r="F80" s="139" t="s">
        <v>73</v>
      </c>
      <c r="G80" s="139" t="s">
        <v>73</v>
      </c>
      <c r="H80" s="139" t="s">
        <v>73</v>
      </c>
      <c r="I80" s="139" t="s">
        <v>73</v>
      </c>
      <c r="J80" s="139" t="s">
        <v>73</v>
      </c>
      <c r="K80" s="139" t="s">
        <v>73</v>
      </c>
    </row>
    <row r="81" spans="1:11">
      <c r="A81" s="132" t="str">
        <f t="shared" si="2"/>
        <v>WSX28</v>
      </c>
      <c r="B81" s="132" t="s">
        <v>52</v>
      </c>
      <c r="C81" s="145" t="s">
        <v>78</v>
      </c>
      <c r="D81" s="139">
        <v>12268.9</v>
      </c>
      <c r="E81" s="139">
        <v>49</v>
      </c>
      <c r="F81" s="139" t="s">
        <v>73</v>
      </c>
      <c r="G81" s="139" t="s">
        <v>73</v>
      </c>
      <c r="H81" s="139" t="s">
        <v>73</v>
      </c>
      <c r="I81" s="139" t="s">
        <v>73</v>
      </c>
      <c r="J81" s="139" t="s">
        <v>73</v>
      </c>
      <c r="K81" s="139" t="s">
        <v>73</v>
      </c>
    </row>
    <row r="82" spans="1:11">
      <c r="A82" s="132" t="str">
        <f t="shared" si="2"/>
        <v>WSX29</v>
      </c>
      <c r="B82" s="132" t="s">
        <v>52</v>
      </c>
      <c r="C82" s="145" t="s">
        <v>79</v>
      </c>
      <c r="D82" s="139">
        <v>12298.9</v>
      </c>
      <c r="E82" s="139">
        <v>49</v>
      </c>
      <c r="F82" s="139" t="s">
        <v>73</v>
      </c>
      <c r="G82" s="139" t="s">
        <v>73</v>
      </c>
      <c r="H82" s="139" t="s">
        <v>73</v>
      </c>
      <c r="I82" s="139" t="s">
        <v>73</v>
      </c>
      <c r="J82" s="139" t="s">
        <v>73</v>
      </c>
      <c r="K82" s="139" t="s">
        <v>73</v>
      </c>
    </row>
    <row r="83" spans="1:11">
      <c r="A83" s="132" t="str">
        <f t="shared" si="2"/>
        <v>WSX30</v>
      </c>
      <c r="B83" s="132" t="s">
        <v>52</v>
      </c>
      <c r="C83" s="145" t="s">
        <v>80</v>
      </c>
      <c r="D83" s="139">
        <v>12328.9</v>
      </c>
      <c r="E83" s="139">
        <v>49</v>
      </c>
      <c r="F83" s="139" t="s">
        <v>73</v>
      </c>
      <c r="G83" s="139" t="s">
        <v>73</v>
      </c>
      <c r="H83" s="139" t="s">
        <v>73</v>
      </c>
      <c r="I83" s="139" t="s">
        <v>73</v>
      </c>
      <c r="J83" s="139" t="s">
        <v>73</v>
      </c>
      <c r="K83" s="139" t="s">
        <v>73</v>
      </c>
    </row>
    <row r="84" spans="1:11">
      <c r="A84" s="132" t="str">
        <f t="shared" si="2"/>
        <v>YKY23</v>
      </c>
      <c r="B84" s="132" t="s">
        <v>53</v>
      </c>
      <c r="C84" s="145" t="s">
        <v>72</v>
      </c>
      <c r="D84" s="139">
        <v>32267.4</v>
      </c>
      <c r="E84" s="139">
        <v>18</v>
      </c>
      <c r="F84" s="139" t="s">
        <v>73</v>
      </c>
      <c r="G84" s="139" t="s">
        <v>73</v>
      </c>
      <c r="H84" s="139" t="s">
        <v>73</v>
      </c>
      <c r="I84" s="139" t="s">
        <v>73</v>
      </c>
      <c r="J84" s="139" t="s">
        <v>73</v>
      </c>
      <c r="K84" s="139" t="s">
        <v>73</v>
      </c>
    </row>
    <row r="85" spans="1:11">
      <c r="A85" s="132" t="str">
        <f t="shared" si="2"/>
        <v>YKY24</v>
      </c>
      <c r="B85" s="132" t="s">
        <v>53</v>
      </c>
      <c r="C85" s="145" t="s">
        <v>74</v>
      </c>
      <c r="D85" s="139">
        <v>32375.599999999999</v>
      </c>
      <c r="E85" s="139">
        <v>12.2</v>
      </c>
      <c r="F85" s="139" t="s">
        <v>73</v>
      </c>
      <c r="G85" s="139" t="s">
        <v>73</v>
      </c>
      <c r="H85" s="139" t="s">
        <v>73</v>
      </c>
      <c r="I85" s="139" t="s">
        <v>73</v>
      </c>
      <c r="J85" s="139" t="s">
        <v>73</v>
      </c>
      <c r="K85" s="139" t="s">
        <v>73</v>
      </c>
    </row>
    <row r="86" spans="1:11">
      <c r="A86" s="132" t="str">
        <f t="shared" si="2"/>
        <v>YKY25</v>
      </c>
      <c r="B86" s="132" t="s">
        <v>53</v>
      </c>
      <c r="C86" s="145" t="s">
        <v>75</v>
      </c>
      <c r="D86" s="139">
        <v>32478.400000000001</v>
      </c>
      <c r="E86" s="139">
        <v>8.3000000000000007</v>
      </c>
      <c r="F86" s="139" t="s">
        <v>73</v>
      </c>
      <c r="G86" s="139" t="s">
        <v>73</v>
      </c>
      <c r="H86" s="139" t="s">
        <v>73</v>
      </c>
      <c r="I86" s="139" t="s">
        <v>73</v>
      </c>
      <c r="J86" s="139" t="s">
        <v>73</v>
      </c>
      <c r="K86" s="139" t="s">
        <v>73</v>
      </c>
    </row>
    <row r="87" spans="1:11">
      <c r="A87" s="132" t="str">
        <f t="shared" si="2"/>
        <v>YKY26</v>
      </c>
      <c r="B87" s="132" t="s">
        <v>53</v>
      </c>
      <c r="C87" s="145" t="s">
        <v>76</v>
      </c>
      <c r="D87" s="139">
        <v>32583.9</v>
      </c>
      <c r="E87" s="139">
        <v>215.1</v>
      </c>
      <c r="F87" s="139">
        <v>13651.409299999999</v>
      </c>
      <c r="G87" s="139">
        <v>8382.7594000000008</v>
      </c>
      <c r="H87" s="139">
        <v>5040.5677999999998</v>
      </c>
      <c r="I87" s="139">
        <v>1943.0262</v>
      </c>
      <c r="J87" s="139">
        <v>510.0446</v>
      </c>
      <c r="K87" s="139">
        <v>29527.8073</v>
      </c>
    </row>
    <row r="88" spans="1:11">
      <c r="A88" s="132" t="str">
        <f t="shared" si="2"/>
        <v>YKY27</v>
      </c>
      <c r="B88" s="132" t="s">
        <v>53</v>
      </c>
      <c r="C88" s="145" t="s">
        <v>77</v>
      </c>
      <c r="D88" s="139">
        <v>32689.4</v>
      </c>
      <c r="E88" s="139">
        <v>215.8</v>
      </c>
      <c r="F88" s="139" t="s">
        <v>73</v>
      </c>
      <c r="G88" s="139" t="s">
        <v>73</v>
      </c>
      <c r="H88" s="139" t="s">
        <v>73</v>
      </c>
      <c r="I88" s="139" t="s">
        <v>73</v>
      </c>
      <c r="J88" s="139" t="s">
        <v>73</v>
      </c>
      <c r="K88" s="139" t="s">
        <v>73</v>
      </c>
    </row>
    <row r="89" spans="1:11">
      <c r="A89" s="132" t="str">
        <f t="shared" si="2"/>
        <v>YKY28</v>
      </c>
      <c r="B89" s="132" t="s">
        <v>53</v>
      </c>
      <c r="C89" s="145" t="s">
        <v>78</v>
      </c>
      <c r="D89" s="139">
        <v>32794.9</v>
      </c>
      <c r="E89" s="139">
        <v>216.4</v>
      </c>
      <c r="F89" s="139" t="s">
        <v>73</v>
      </c>
      <c r="G89" s="139" t="s">
        <v>73</v>
      </c>
      <c r="H89" s="139" t="s">
        <v>73</v>
      </c>
      <c r="I89" s="139" t="s">
        <v>73</v>
      </c>
      <c r="J89" s="139" t="s">
        <v>73</v>
      </c>
      <c r="K89" s="139" t="s">
        <v>73</v>
      </c>
    </row>
    <row r="90" spans="1:11">
      <c r="A90" s="132" t="str">
        <f t="shared" si="2"/>
        <v>YKY29</v>
      </c>
      <c r="B90" s="132" t="s">
        <v>53</v>
      </c>
      <c r="C90" s="145" t="s">
        <v>79</v>
      </c>
      <c r="D90" s="139">
        <v>32900.400000000001</v>
      </c>
      <c r="E90" s="139">
        <v>217.1</v>
      </c>
      <c r="F90" s="139" t="s">
        <v>73</v>
      </c>
      <c r="G90" s="139" t="s">
        <v>73</v>
      </c>
      <c r="H90" s="139" t="s">
        <v>73</v>
      </c>
      <c r="I90" s="139" t="s">
        <v>73</v>
      </c>
      <c r="J90" s="139" t="s">
        <v>73</v>
      </c>
      <c r="K90" s="139" t="s">
        <v>73</v>
      </c>
    </row>
    <row r="91" spans="1:11">
      <c r="A91" s="132" t="str">
        <f t="shared" si="2"/>
        <v>YKY30</v>
      </c>
      <c r="B91" s="132" t="s">
        <v>53</v>
      </c>
      <c r="C91" s="145" t="s">
        <v>80</v>
      </c>
      <c r="D91" s="139">
        <v>33005.9</v>
      </c>
      <c r="E91" s="139">
        <v>217.8</v>
      </c>
      <c r="F91" s="139" t="s">
        <v>73</v>
      </c>
      <c r="G91" s="139" t="s">
        <v>73</v>
      </c>
      <c r="H91" s="139" t="s">
        <v>73</v>
      </c>
      <c r="I91" s="139" t="s">
        <v>73</v>
      </c>
      <c r="J91" s="139" t="s">
        <v>73</v>
      </c>
      <c r="K91" s="139" t="s">
        <v>73</v>
      </c>
    </row>
    <row r="92" spans="1:11">
      <c r="A92" s="132" t="str">
        <f t="shared" si="2"/>
        <v>AFW23</v>
      </c>
      <c r="B92" s="132" t="s">
        <v>84</v>
      </c>
      <c r="C92" s="145" t="s">
        <v>72</v>
      </c>
      <c r="D92" s="139">
        <v>16969.2</v>
      </c>
      <c r="E92" s="139">
        <v>11.2</v>
      </c>
      <c r="F92" s="139" t="s">
        <v>73</v>
      </c>
      <c r="G92" s="139" t="s">
        <v>73</v>
      </c>
      <c r="H92" s="139" t="s">
        <v>73</v>
      </c>
      <c r="I92" s="139" t="s">
        <v>73</v>
      </c>
      <c r="J92" s="139" t="s">
        <v>73</v>
      </c>
      <c r="K92" s="139" t="s">
        <v>73</v>
      </c>
    </row>
    <row r="93" spans="1:11">
      <c r="A93" s="132" t="str">
        <f t="shared" si="2"/>
        <v>AFW24</v>
      </c>
      <c r="B93" s="132" t="s">
        <v>84</v>
      </c>
      <c r="C93" s="145" t="s">
        <v>74</v>
      </c>
      <c r="D93" s="139">
        <v>16989.044000000002</v>
      </c>
      <c r="E93" s="139">
        <v>10.8</v>
      </c>
      <c r="F93" s="139" t="s">
        <v>73</v>
      </c>
      <c r="G93" s="139" t="s">
        <v>73</v>
      </c>
      <c r="H93" s="139" t="s">
        <v>73</v>
      </c>
      <c r="I93" s="139" t="s">
        <v>73</v>
      </c>
      <c r="J93" s="139" t="s">
        <v>73</v>
      </c>
      <c r="K93" s="139" t="s">
        <v>73</v>
      </c>
    </row>
    <row r="94" spans="1:11">
      <c r="A94" s="132" t="str">
        <f t="shared" si="2"/>
        <v>AFW25</v>
      </c>
      <c r="B94" s="132" t="s">
        <v>84</v>
      </c>
      <c r="C94" s="145" t="s">
        <v>75</v>
      </c>
      <c r="D94" s="139">
        <v>17049.3</v>
      </c>
      <c r="E94" s="139">
        <v>3.6</v>
      </c>
      <c r="F94" s="139" t="s">
        <v>73</v>
      </c>
      <c r="G94" s="139" t="s">
        <v>73</v>
      </c>
      <c r="H94" s="139" t="s">
        <v>73</v>
      </c>
      <c r="I94" s="139" t="s">
        <v>73</v>
      </c>
      <c r="J94" s="139" t="s">
        <v>73</v>
      </c>
      <c r="K94" s="139" t="s">
        <v>73</v>
      </c>
    </row>
    <row r="95" spans="1:11">
      <c r="A95" s="132" t="str">
        <f t="shared" si="2"/>
        <v>AFW26</v>
      </c>
      <c r="B95" s="132" t="s">
        <v>84</v>
      </c>
      <c r="C95" s="145" t="s">
        <v>76</v>
      </c>
      <c r="D95" s="139">
        <v>17091.3</v>
      </c>
      <c r="E95" s="139">
        <v>21.7</v>
      </c>
      <c r="F95" s="139">
        <v>8837.4007459999993</v>
      </c>
      <c r="G95" s="139">
        <v>4364.8819810000005</v>
      </c>
      <c r="H95" s="139">
        <v>1891.9635390000001</v>
      </c>
      <c r="I95" s="139">
        <v>422.10198300000002</v>
      </c>
      <c r="J95" s="139">
        <v>38.995328999999998</v>
      </c>
      <c r="K95" s="139">
        <v>15555.343578</v>
      </c>
    </row>
    <row r="96" spans="1:11">
      <c r="A96" s="132" t="str">
        <f t="shared" si="2"/>
        <v>AFW27</v>
      </c>
      <c r="B96" s="132" t="s">
        <v>84</v>
      </c>
      <c r="C96" s="145" t="s">
        <v>77</v>
      </c>
      <c r="D96" s="139">
        <v>17135.3</v>
      </c>
      <c r="E96" s="139">
        <v>46.7</v>
      </c>
      <c r="F96" s="139" t="s">
        <v>73</v>
      </c>
      <c r="G96" s="139" t="s">
        <v>73</v>
      </c>
      <c r="H96" s="139" t="s">
        <v>73</v>
      </c>
      <c r="I96" s="139" t="s">
        <v>73</v>
      </c>
      <c r="J96" s="139" t="s">
        <v>73</v>
      </c>
      <c r="K96" s="139" t="s">
        <v>73</v>
      </c>
    </row>
    <row r="97" spans="1:11">
      <c r="A97" s="132" t="str">
        <f t="shared" si="2"/>
        <v>AFW28</v>
      </c>
      <c r="B97" s="132" t="s">
        <v>84</v>
      </c>
      <c r="C97" s="145" t="s">
        <v>78</v>
      </c>
      <c r="D97" s="139">
        <v>17184.3</v>
      </c>
      <c r="E97" s="139">
        <v>66.7</v>
      </c>
      <c r="F97" s="139" t="s">
        <v>73</v>
      </c>
      <c r="G97" s="139" t="s">
        <v>73</v>
      </c>
      <c r="H97" s="139" t="s">
        <v>73</v>
      </c>
      <c r="I97" s="139" t="s">
        <v>73</v>
      </c>
      <c r="J97" s="139" t="s">
        <v>73</v>
      </c>
      <c r="K97" s="139" t="s">
        <v>73</v>
      </c>
    </row>
    <row r="98" spans="1:11">
      <c r="A98" s="132" t="str">
        <f t="shared" si="2"/>
        <v>AFW29</v>
      </c>
      <c r="B98" s="132" t="s">
        <v>84</v>
      </c>
      <c r="C98" s="145" t="s">
        <v>79</v>
      </c>
      <c r="D98" s="139">
        <v>17235.7</v>
      </c>
      <c r="E98" s="139">
        <v>66.7</v>
      </c>
      <c r="F98" s="139" t="s">
        <v>73</v>
      </c>
      <c r="G98" s="139" t="s">
        <v>73</v>
      </c>
      <c r="H98" s="139" t="s">
        <v>73</v>
      </c>
      <c r="I98" s="139" t="s">
        <v>73</v>
      </c>
      <c r="J98" s="139" t="s">
        <v>73</v>
      </c>
      <c r="K98" s="139" t="s">
        <v>73</v>
      </c>
    </row>
    <row r="99" spans="1:11">
      <c r="A99" s="132" t="str">
        <f t="shared" si="2"/>
        <v>AFW30</v>
      </c>
      <c r="B99" s="132" t="s">
        <v>84</v>
      </c>
      <c r="C99" s="145" t="s">
        <v>80</v>
      </c>
      <c r="D99" s="139">
        <v>17290.7</v>
      </c>
      <c r="E99" s="139">
        <v>67</v>
      </c>
      <c r="F99" s="139" t="s">
        <v>73</v>
      </c>
      <c r="G99" s="139" t="s">
        <v>73</v>
      </c>
      <c r="H99" s="139" t="s">
        <v>73</v>
      </c>
      <c r="I99" s="139" t="s">
        <v>73</v>
      </c>
      <c r="J99" s="139" t="s">
        <v>73</v>
      </c>
      <c r="K99" s="139" t="s">
        <v>73</v>
      </c>
    </row>
    <row r="100" spans="1:11">
      <c r="A100" s="132" t="str">
        <f t="shared" ref="A100:A131" si="3">B100&amp;RIGHT(C100,2)</f>
        <v>BRL23</v>
      </c>
      <c r="B100" s="132" t="s">
        <v>34</v>
      </c>
      <c r="C100" s="145" t="s">
        <v>72</v>
      </c>
      <c r="D100" s="139">
        <v>6955.9</v>
      </c>
      <c r="E100" s="139">
        <v>8.3000000000000007</v>
      </c>
      <c r="F100" s="139" t="s">
        <v>73</v>
      </c>
      <c r="G100" s="139" t="s">
        <v>73</v>
      </c>
      <c r="H100" s="139" t="s">
        <v>73</v>
      </c>
      <c r="I100" s="139" t="s">
        <v>73</v>
      </c>
      <c r="J100" s="139" t="s">
        <v>73</v>
      </c>
      <c r="K100" s="139" t="s">
        <v>73</v>
      </c>
    </row>
    <row r="101" spans="1:11">
      <c r="A101" s="132" t="str">
        <f t="shared" si="3"/>
        <v>BRL24</v>
      </c>
      <c r="B101" s="132" t="s">
        <v>34</v>
      </c>
      <c r="C101" s="145" t="s">
        <v>74</v>
      </c>
      <c r="D101" s="139">
        <v>6973.2</v>
      </c>
      <c r="E101" s="139">
        <v>7.8</v>
      </c>
      <c r="F101" s="139" t="s">
        <v>73</v>
      </c>
      <c r="G101" s="139" t="s">
        <v>73</v>
      </c>
      <c r="H101" s="139" t="s">
        <v>73</v>
      </c>
      <c r="I101" s="139" t="s">
        <v>73</v>
      </c>
      <c r="J101" s="139" t="s">
        <v>73</v>
      </c>
      <c r="K101" s="139" t="s">
        <v>73</v>
      </c>
    </row>
    <row r="102" spans="1:11">
      <c r="A102" s="132" t="str">
        <f t="shared" si="3"/>
        <v>BRL25</v>
      </c>
      <c r="B102" s="132" t="s">
        <v>34</v>
      </c>
      <c r="C102" s="145" t="s">
        <v>75</v>
      </c>
      <c r="D102" s="139">
        <v>7010.2179299999998</v>
      </c>
      <c r="E102" s="139">
        <v>13</v>
      </c>
      <c r="F102" s="139" t="s">
        <v>73</v>
      </c>
      <c r="G102" s="139" t="s">
        <v>73</v>
      </c>
      <c r="H102" s="139" t="s">
        <v>73</v>
      </c>
      <c r="I102" s="139" t="s">
        <v>73</v>
      </c>
      <c r="J102" s="139" t="s">
        <v>73</v>
      </c>
      <c r="K102" s="139" t="s">
        <v>73</v>
      </c>
    </row>
    <row r="103" spans="1:11">
      <c r="A103" s="132" t="str">
        <f t="shared" si="3"/>
        <v>BRL26</v>
      </c>
      <c r="B103" s="132" t="s">
        <v>34</v>
      </c>
      <c r="C103" s="145" t="s">
        <v>76</v>
      </c>
      <c r="D103" s="139">
        <v>7020.4999999999991</v>
      </c>
      <c r="E103" s="139">
        <v>19.739999999999998</v>
      </c>
      <c r="F103" s="139">
        <v>3290.59</v>
      </c>
      <c r="G103" s="139">
        <v>1795.35</v>
      </c>
      <c r="H103" s="139">
        <v>853.78</v>
      </c>
      <c r="I103" s="139">
        <v>202.76</v>
      </c>
      <c r="J103" s="139">
        <v>19.02</v>
      </c>
      <c r="K103" s="139">
        <v>6161.5</v>
      </c>
    </row>
    <row r="104" spans="1:11">
      <c r="A104" s="132" t="str">
        <f t="shared" si="3"/>
        <v>BRL27</v>
      </c>
      <c r="B104" s="132" t="s">
        <v>34</v>
      </c>
      <c r="C104" s="145" t="s">
        <v>77</v>
      </c>
      <c r="D104" s="139">
        <v>7034.7</v>
      </c>
      <c r="E104" s="139">
        <v>32.9</v>
      </c>
      <c r="F104" s="139" t="s">
        <v>73</v>
      </c>
      <c r="G104" s="139" t="s">
        <v>73</v>
      </c>
      <c r="H104" s="139" t="s">
        <v>73</v>
      </c>
      <c r="I104" s="139" t="s">
        <v>73</v>
      </c>
      <c r="J104" s="139" t="s">
        <v>73</v>
      </c>
      <c r="K104" s="139" t="s">
        <v>73</v>
      </c>
    </row>
    <row r="105" spans="1:11">
      <c r="A105" s="132" t="str">
        <f t="shared" si="3"/>
        <v>BRL28</v>
      </c>
      <c r="B105" s="132" t="s">
        <v>34</v>
      </c>
      <c r="C105" s="145" t="s">
        <v>78</v>
      </c>
      <c r="D105" s="139">
        <v>7051.6</v>
      </c>
      <c r="E105" s="139">
        <v>37.275700000000001</v>
      </c>
      <c r="F105" s="139" t="s">
        <v>73</v>
      </c>
      <c r="G105" s="139" t="s">
        <v>73</v>
      </c>
      <c r="H105" s="139" t="s">
        <v>73</v>
      </c>
      <c r="I105" s="139" t="s">
        <v>73</v>
      </c>
      <c r="J105" s="139" t="s">
        <v>73</v>
      </c>
      <c r="K105" s="139" t="s">
        <v>73</v>
      </c>
    </row>
    <row r="106" spans="1:11">
      <c r="A106" s="132" t="str">
        <f t="shared" si="3"/>
        <v>BRL29</v>
      </c>
      <c r="B106" s="132" t="s">
        <v>34</v>
      </c>
      <c r="C106" s="145" t="s">
        <v>79</v>
      </c>
      <c r="D106" s="139">
        <v>7071.5</v>
      </c>
      <c r="E106" s="139">
        <v>37.292149999999999</v>
      </c>
      <c r="F106" s="139" t="s">
        <v>73</v>
      </c>
      <c r="G106" s="139" t="s">
        <v>73</v>
      </c>
      <c r="H106" s="139" t="s">
        <v>73</v>
      </c>
      <c r="I106" s="139" t="s">
        <v>73</v>
      </c>
      <c r="J106" s="139" t="s">
        <v>73</v>
      </c>
      <c r="K106" s="139" t="s">
        <v>73</v>
      </c>
    </row>
    <row r="107" spans="1:11">
      <c r="A107" s="132" t="str">
        <f t="shared" si="3"/>
        <v>BRL30</v>
      </c>
      <c r="B107" s="132" t="s">
        <v>34</v>
      </c>
      <c r="C107" s="145" t="s">
        <v>80</v>
      </c>
      <c r="D107" s="139">
        <v>7086.5999999999995</v>
      </c>
      <c r="E107" s="139">
        <v>37.292149999999999</v>
      </c>
      <c r="F107" s="139" t="s">
        <v>73</v>
      </c>
      <c r="G107" s="139" t="s">
        <v>73</v>
      </c>
      <c r="H107" s="139" t="s">
        <v>73</v>
      </c>
      <c r="I107" s="139" t="s">
        <v>73</v>
      </c>
      <c r="J107" s="139" t="s">
        <v>73</v>
      </c>
      <c r="K107" s="139" t="s">
        <v>73</v>
      </c>
    </row>
    <row r="108" spans="1:11">
      <c r="A108" s="132" t="str">
        <f t="shared" si="3"/>
        <v>PRT23</v>
      </c>
      <c r="B108" s="132" t="s">
        <v>39</v>
      </c>
      <c r="C108" s="145" t="s">
        <v>72</v>
      </c>
      <c r="D108" s="139">
        <v>3386.5</v>
      </c>
      <c r="E108" s="139">
        <v>11.3</v>
      </c>
      <c r="F108" s="139" t="s">
        <v>73</v>
      </c>
      <c r="G108" s="139" t="s">
        <v>73</v>
      </c>
      <c r="H108" s="139" t="s">
        <v>73</v>
      </c>
      <c r="I108" s="139" t="s">
        <v>73</v>
      </c>
      <c r="J108" s="139" t="s">
        <v>73</v>
      </c>
      <c r="K108" s="139" t="s">
        <v>73</v>
      </c>
    </row>
    <row r="109" spans="1:11">
      <c r="A109" s="132" t="str">
        <f t="shared" si="3"/>
        <v>PRT24</v>
      </c>
      <c r="B109" s="132" t="s">
        <v>39</v>
      </c>
      <c r="C109" s="145" t="s">
        <v>74</v>
      </c>
      <c r="D109" s="139">
        <v>3409</v>
      </c>
      <c r="E109" s="139">
        <v>10.7</v>
      </c>
      <c r="F109" s="139" t="s">
        <v>73</v>
      </c>
      <c r="G109" s="139" t="s">
        <v>73</v>
      </c>
      <c r="H109" s="139" t="s">
        <v>73</v>
      </c>
      <c r="I109" s="139" t="s">
        <v>73</v>
      </c>
      <c r="J109" s="139" t="s">
        <v>73</v>
      </c>
      <c r="K109" s="139" t="s">
        <v>73</v>
      </c>
    </row>
    <row r="110" spans="1:11">
      <c r="A110" s="132" t="str">
        <f t="shared" si="3"/>
        <v>PRT25</v>
      </c>
      <c r="B110" s="132" t="s">
        <v>39</v>
      </c>
      <c r="C110" s="145" t="s">
        <v>75</v>
      </c>
      <c r="D110" s="139">
        <v>3402.5</v>
      </c>
      <c r="E110" s="139">
        <v>12.5</v>
      </c>
      <c r="F110" s="139" t="s">
        <v>73</v>
      </c>
      <c r="G110" s="139" t="s">
        <v>73</v>
      </c>
      <c r="H110" s="139" t="s">
        <v>73</v>
      </c>
      <c r="I110" s="139" t="s">
        <v>73</v>
      </c>
      <c r="J110" s="139" t="s">
        <v>73</v>
      </c>
      <c r="K110" s="139" t="s">
        <v>73</v>
      </c>
    </row>
    <row r="111" spans="1:11">
      <c r="A111" s="132" t="str">
        <f t="shared" si="3"/>
        <v>PRT26</v>
      </c>
      <c r="B111" s="132" t="s">
        <v>39</v>
      </c>
      <c r="C111" s="145" t="s">
        <v>76</v>
      </c>
      <c r="D111" s="139">
        <v>3411.5</v>
      </c>
      <c r="E111" s="139">
        <v>8.1999999999999993</v>
      </c>
      <c r="F111" s="139">
        <v>2245.62</v>
      </c>
      <c r="G111" s="139">
        <v>490.83</v>
      </c>
      <c r="H111" s="139">
        <v>148.97</v>
      </c>
      <c r="I111" s="139">
        <v>1.66</v>
      </c>
      <c r="J111" s="139">
        <v>0</v>
      </c>
      <c r="K111" s="139">
        <v>2887.08</v>
      </c>
    </row>
    <row r="112" spans="1:11">
      <c r="A112" s="132" t="str">
        <f t="shared" si="3"/>
        <v>PRT27</v>
      </c>
      <c r="B112" s="132" t="s">
        <v>39</v>
      </c>
      <c r="C112" s="145" t="s">
        <v>77</v>
      </c>
      <c r="D112" s="139">
        <v>3423.5</v>
      </c>
      <c r="E112" s="139">
        <v>8.1999999999999993</v>
      </c>
      <c r="F112" s="139" t="s">
        <v>73</v>
      </c>
      <c r="G112" s="139" t="s">
        <v>73</v>
      </c>
      <c r="H112" s="139" t="s">
        <v>73</v>
      </c>
      <c r="I112" s="139" t="s">
        <v>73</v>
      </c>
      <c r="J112" s="139" t="s">
        <v>73</v>
      </c>
      <c r="K112" s="139" t="s">
        <v>73</v>
      </c>
    </row>
    <row r="113" spans="1:11">
      <c r="A113" s="132" t="str">
        <f t="shared" si="3"/>
        <v>PRT28</v>
      </c>
      <c r="B113" s="132" t="s">
        <v>39</v>
      </c>
      <c r="C113" s="145" t="s">
        <v>78</v>
      </c>
      <c r="D113" s="139">
        <v>3434.5</v>
      </c>
      <c r="E113" s="139">
        <v>8.1999999999999993</v>
      </c>
      <c r="F113" s="139" t="s">
        <v>73</v>
      </c>
      <c r="G113" s="139" t="s">
        <v>73</v>
      </c>
      <c r="H113" s="139" t="s">
        <v>73</v>
      </c>
      <c r="I113" s="139" t="s">
        <v>73</v>
      </c>
      <c r="J113" s="139" t="s">
        <v>73</v>
      </c>
      <c r="K113" s="139" t="s">
        <v>73</v>
      </c>
    </row>
    <row r="114" spans="1:11">
      <c r="A114" s="132" t="str">
        <f t="shared" si="3"/>
        <v>PRT29</v>
      </c>
      <c r="B114" s="132" t="s">
        <v>39</v>
      </c>
      <c r="C114" s="145" t="s">
        <v>79</v>
      </c>
      <c r="D114" s="139">
        <v>3445.5</v>
      </c>
      <c r="E114" s="139">
        <v>8.1999999999999993</v>
      </c>
      <c r="F114" s="139" t="s">
        <v>73</v>
      </c>
      <c r="G114" s="139" t="s">
        <v>73</v>
      </c>
      <c r="H114" s="139" t="s">
        <v>73</v>
      </c>
      <c r="I114" s="139" t="s">
        <v>73</v>
      </c>
      <c r="J114" s="139" t="s">
        <v>73</v>
      </c>
      <c r="K114" s="139" t="s">
        <v>73</v>
      </c>
    </row>
    <row r="115" spans="1:11">
      <c r="A115" s="132" t="str">
        <f t="shared" si="3"/>
        <v>PRT30</v>
      </c>
      <c r="B115" s="132" t="s">
        <v>39</v>
      </c>
      <c r="C115" s="145" t="s">
        <v>80</v>
      </c>
      <c r="D115" s="139">
        <v>3455.5</v>
      </c>
      <c r="E115" s="139">
        <v>8.1999999999999993</v>
      </c>
      <c r="F115" s="139" t="s">
        <v>73</v>
      </c>
      <c r="G115" s="139" t="s">
        <v>73</v>
      </c>
      <c r="H115" s="139" t="s">
        <v>73</v>
      </c>
      <c r="I115" s="139" t="s">
        <v>73</v>
      </c>
      <c r="J115" s="139" t="s">
        <v>73</v>
      </c>
      <c r="K115" s="139" t="s">
        <v>73</v>
      </c>
    </row>
    <row r="116" spans="1:11">
      <c r="A116" s="132" t="str">
        <f t="shared" si="3"/>
        <v>SEW23</v>
      </c>
      <c r="B116" s="132" t="s">
        <v>42</v>
      </c>
      <c r="C116" s="145" t="s">
        <v>72</v>
      </c>
      <c r="D116" s="139">
        <v>15045.5</v>
      </c>
      <c r="E116" s="139">
        <v>14.1</v>
      </c>
      <c r="F116" s="139" t="s">
        <v>73</v>
      </c>
      <c r="G116" s="139" t="s">
        <v>73</v>
      </c>
      <c r="H116" s="139" t="s">
        <v>73</v>
      </c>
      <c r="I116" s="139" t="s">
        <v>73</v>
      </c>
      <c r="J116" s="139" t="s">
        <v>73</v>
      </c>
      <c r="K116" s="139" t="s">
        <v>73</v>
      </c>
    </row>
    <row r="117" spans="1:11">
      <c r="A117" s="132" t="str">
        <f t="shared" si="3"/>
        <v>SEW24</v>
      </c>
      <c r="B117" s="132" t="s">
        <v>42</v>
      </c>
      <c r="C117" s="145" t="s">
        <v>74</v>
      </c>
      <c r="D117" s="139">
        <v>15098.518876292001</v>
      </c>
      <c r="E117" s="139">
        <v>9</v>
      </c>
      <c r="F117" s="139" t="s">
        <v>73</v>
      </c>
      <c r="G117" s="139" t="s">
        <v>73</v>
      </c>
      <c r="H117" s="139" t="s">
        <v>73</v>
      </c>
      <c r="I117" s="139" t="s">
        <v>73</v>
      </c>
      <c r="J117" s="139" t="s">
        <v>73</v>
      </c>
      <c r="K117" s="139" t="s">
        <v>73</v>
      </c>
    </row>
    <row r="118" spans="1:11">
      <c r="A118" s="132" t="str">
        <f t="shared" si="3"/>
        <v>SEW25</v>
      </c>
      <c r="B118" s="132" t="s">
        <v>42</v>
      </c>
      <c r="C118" s="145" t="s">
        <v>75</v>
      </c>
      <c r="D118" s="139">
        <v>15161.623583929841</v>
      </c>
      <c r="E118" s="139">
        <v>4.38</v>
      </c>
      <c r="F118" s="139" t="s">
        <v>73</v>
      </c>
      <c r="G118" s="139" t="s">
        <v>73</v>
      </c>
      <c r="H118" s="139" t="s">
        <v>73</v>
      </c>
      <c r="I118" s="139" t="s">
        <v>73</v>
      </c>
      <c r="J118" s="139" t="s">
        <v>73</v>
      </c>
      <c r="K118" s="139" t="s">
        <v>73</v>
      </c>
    </row>
    <row r="119" spans="1:11">
      <c r="A119" s="132" t="str">
        <f t="shared" si="3"/>
        <v>SEW26</v>
      </c>
      <c r="B119" s="132" t="s">
        <v>42</v>
      </c>
      <c r="C119" s="145" t="s">
        <v>76</v>
      </c>
      <c r="D119" s="139">
        <v>15263.92967693382</v>
      </c>
      <c r="E119" s="139">
        <v>78.39</v>
      </c>
      <c r="F119" s="230">
        <v>7032.45</v>
      </c>
      <c r="G119" s="230">
        <v>3866.61</v>
      </c>
      <c r="H119" s="230">
        <v>2638.71</v>
      </c>
      <c r="I119" s="230">
        <v>511.34</v>
      </c>
      <c r="J119" s="230">
        <v>80.3</v>
      </c>
      <c r="K119" s="230">
        <v>14129.4</v>
      </c>
    </row>
    <row r="120" spans="1:11">
      <c r="A120" s="132" t="str">
        <f t="shared" si="3"/>
        <v>SEW27</v>
      </c>
      <c r="B120" s="132" t="s">
        <v>42</v>
      </c>
      <c r="C120" s="145" t="s">
        <v>77</v>
      </c>
      <c r="D120" s="139">
        <v>15368.282083940039</v>
      </c>
      <c r="E120" s="139">
        <v>78.5</v>
      </c>
      <c r="F120" s="139" t="s">
        <v>73</v>
      </c>
      <c r="G120" s="139" t="s">
        <v>73</v>
      </c>
      <c r="H120" s="139" t="s">
        <v>73</v>
      </c>
      <c r="I120" s="139" t="s">
        <v>73</v>
      </c>
      <c r="J120" s="139" t="s">
        <v>73</v>
      </c>
      <c r="K120" s="139" t="s">
        <v>73</v>
      </c>
    </row>
    <row r="121" spans="1:11">
      <c r="A121" s="132" t="str">
        <f t="shared" si="3"/>
        <v>SEW28</v>
      </c>
      <c r="B121" s="132" t="s">
        <v>42</v>
      </c>
      <c r="C121" s="145" t="s">
        <v>78</v>
      </c>
      <c r="D121" s="139">
        <v>15475.225449548911</v>
      </c>
      <c r="E121" s="139">
        <v>78.584000000000003</v>
      </c>
      <c r="F121" s="139" t="s">
        <v>73</v>
      </c>
      <c r="G121" s="139" t="s">
        <v>73</v>
      </c>
      <c r="H121" s="139" t="s">
        <v>73</v>
      </c>
      <c r="I121" s="139" t="s">
        <v>73</v>
      </c>
      <c r="J121" s="139" t="s">
        <v>73</v>
      </c>
      <c r="K121" s="139" t="s">
        <v>73</v>
      </c>
    </row>
    <row r="122" spans="1:11">
      <c r="A122" s="132" t="str">
        <f t="shared" si="3"/>
        <v>SEW29</v>
      </c>
      <c r="B122" s="132" t="s">
        <v>42</v>
      </c>
      <c r="C122" s="145" t="s">
        <v>79</v>
      </c>
      <c r="D122" s="139">
        <v>15593.378987976421</v>
      </c>
      <c r="E122" s="139">
        <v>78.668999999999997</v>
      </c>
      <c r="F122" s="139" t="s">
        <v>73</v>
      </c>
      <c r="G122" s="139" t="s">
        <v>73</v>
      </c>
      <c r="H122" s="139" t="s">
        <v>73</v>
      </c>
      <c r="I122" s="139" t="s">
        <v>73</v>
      </c>
      <c r="J122" s="139" t="s">
        <v>73</v>
      </c>
      <c r="K122" s="139" t="s">
        <v>73</v>
      </c>
    </row>
    <row r="123" spans="1:11">
      <c r="A123" s="132" t="str">
        <f t="shared" si="3"/>
        <v>SEW30</v>
      </c>
      <c r="B123" s="132" t="s">
        <v>42</v>
      </c>
      <c r="C123" s="145" t="s">
        <v>80</v>
      </c>
      <c r="D123" s="139">
        <v>15782.09652054654</v>
      </c>
      <c r="E123" s="139">
        <v>78.756</v>
      </c>
      <c r="F123" s="139" t="s">
        <v>73</v>
      </c>
      <c r="G123" s="139" t="s">
        <v>73</v>
      </c>
      <c r="H123" s="139" t="s">
        <v>73</v>
      </c>
      <c r="I123" s="139" t="s">
        <v>73</v>
      </c>
      <c r="J123" s="139" t="s">
        <v>73</v>
      </c>
      <c r="K123" s="139" t="s">
        <v>73</v>
      </c>
    </row>
    <row r="124" spans="1:11">
      <c r="A124" s="132" t="str">
        <f t="shared" si="3"/>
        <v>SSC23</v>
      </c>
      <c r="B124" s="132" t="s">
        <v>85</v>
      </c>
      <c r="C124" s="145" t="s">
        <v>72</v>
      </c>
      <c r="D124" s="139">
        <v>8702.244999999999</v>
      </c>
      <c r="E124" s="139">
        <v>21.19</v>
      </c>
      <c r="F124" s="139" t="s">
        <v>73</v>
      </c>
      <c r="G124" s="139" t="s">
        <v>73</v>
      </c>
      <c r="H124" s="139" t="s">
        <v>73</v>
      </c>
      <c r="I124" s="139" t="s">
        <v>73</v>
      </c>
      <c r="J124" s="139" t="s">
        <v>73</v>
      </c>
      <c r="K124" s="139" t="s">
        <v>73</v>
      </c>
    </row>
    <row r="125" spans="1:11">
      <c r="A125" s="132" t="str">
        <f t="shared" si="3"/>
        <v>SSC24</v>
      </c>
      <c r="B125" s="132" t="s">
        <v>85</v>
      </c>
      <c r="C125" s="145" t="s">
        <v>74</v>
      </c>
      <c r="D125" s="139">
        <v>8745.3449999999993</v>
      </c>
      <c r="E125" s="139">
        <v>9</v>
      </c>
      <c r="F125" s="139" t="s">
        <v>73</v>
      </c>
      <c r="G125" s="139" t="s">
        <v>73</v>
      </c>
      <c r="H125" s="139" t="s">
        <v>73</v>
      </c>
      <c r="I125" s="139" t="s">
        <v>73</v>
      </c>
      <c r="J125" s="139" t="s">
        <v>73</v>
      </c>
      <c r="K125" s="139" t="s">
        <v>73</v>
      </c>
    </row>
    <row r="126" spans="1:11">
      <c r="A126" s="132" t="str">
        <f t="shared" si="3"/>
        <v>SSC25</v>
      </c>
      <c r="B126" s="132" t="s">
        <v>85</v>
      </c>
      <c r="C126" s="145" t="s">
        <v>75</v>
      </c>
      <c r="D126" s="139">
        <v>8788.4449999999997</v>
      </c>
      <c r="E126" s="139">
        <v>19</v>
      </c>
      <c r="F126" s="139" t="s">
        <v>73</v>
      </c>
      <c r="G126" s="139" t="s">
        <v>73</v>
      </c>
      <c r="H126" s="139" t="s">
        <v>73</v>
      </c>
      <c r="I126" s="139" t="s">
        <v>73</v>
      </c>
      <c r="J126" s="139" t="s">
        <v>73</v>
      </c>
      <c r="K126" s="139" t="s">
        <v>73</v>
      </c>
    </row>
    <row r="127" spans="1:11">
      <c r="A127" s="132" t="str">
        <f t="shared" si="3"/>
        <v>SSC26</v>
      </c>
      <c r="B127" s="132" t="s">
        <v>85</v>
      </c>
      <c r="C127" s="145" t="s">
        <v>76</v>
      </c>
      <c r="D127" s="139">
        <v>8831.5450000000001</v>
      </c>
      <c r="E127" s="139">
        <v>50</v>
      </c>
      <c r="F127" s="139">
        <v>3904.700163604999</v>
      </c>
      <c r="G127" s="139">
        <v>2757.8831203109999</v>
      </c>
      <c r="H127" s="139">
        <v>773.76580269199997</v>
      </c>
      <c r="I127" s="139">
        <v>118.935059255</v>
      </c>
      <c r="J127" s="139">
        <v>3.530907864</v>
      </c>
      <c r="K127" s="139">
        <v>7558.8150537269976</v>
      </c>
    </row>
    <row r="128" spans="1:11">
      <c r="A128" s="132" t="str">
        <f t="shared" si="3"/>
        <v>SSC27</v>
      </c>
      <c r="B128" s="132" t="s">
        <v>85</v>
      </c>
      <c r="C128" s="145" t="s">
        <v>77</v>
      </c>
      <c r="D128" s="139">
        <v>8874.6450000000004</v>
      </c>
      <c r="E128" s="139">
        <v>50</v>
      </c>
      <c r="F128" s="139" t="s">
        <v>73</v>
      </c>
      <c r="G128" s="139" t="s">
        <v>73</v>
      </c>
      <c r="H128" s="139" t="s">
        <v>73</v>
      </c>
      <c r="I128" s="139" t="s">
        <v>73</v>
      </c>
      <c r="J128" s="139" t="s">
        <v>73</v>
      </c>
      <c r="K128" s="139" t="s">
        <v>73</v>
      </c>
    </row>
    <row r="129" spans="1:11">
      <c r="A129" s="132" t="str">
        <f t="shared" si="3"/>
        <v>SSC28</v>
      </c>
      <c r="B129" s="132" t="s">
        <v>85</v>
      </c>
      <c r="C129" s="145" t="s">
        <v>78</v>
      </c>
      <c r="D129" s="139">
        <v>8917.7450000000008</v>
      </c>
      <c r="E129" s="139">
        <v>50</v>
      </c>
      <c r="F129" s="139" t="s">
        <v>73</v>
      </c>
      <c r="G129" s="139" t="s">
        <v>73</v>
      </c>
      <c r="H129" s="139" t="s">
        <v>73</v>
      </c>
      <c r="I129" s="139" t="s">
        <v>73</v>
      </c>
      <c r="J129" s="139" t="s">
        <v>73</v>
      </c>
      <c r="K129" s="139" t="s">
        <v>73</v>
      </c>
    </row>
    <row r="130" spans="1:11">
      <c r="A130" s="132" t="str">
        <f t="shared" si="3"/>
        <v>SSC29</v>
      </c>
      <c r="B130" s="132" t="s">
        <v>85</v>
      </c>
      <c r="C130" s="145" t="s">
        <v>79</v>
      </c>
      <c r="D130" s="139">
        <v>8960.8450000000012</v>
      </c>
      <c r="E130" s="139">
        <v>50</v>
      </c>
      <c r="F130" s="139" t="s">
        <v>73</v>
      </c>
      <c r="G130" s="139" t="s">
        <v>73</v>
      </c>
      <c r="H130" s="139" t="s">
        <v>73</v>
      </c>
      <c r="I130" s="139" t="s">
        <v>73</v>
      </c>
      <c r="J130" s="139" t="s">
        <v>73</v>
      </c>
      <c r="K130" s="139" t="s">
        <v>73</v>
      </c>
    </row>
    <row r="131" spans="1:11">
      <c r="A131" s="132" t="str">
        <f t="shared" si="3"/>
        <v>SSC30</v>
      </c>
      <c r="B131" s="132" t="s">
        <v>85</v>
      </c>
      <c r="C131" s="145" t="s">
        <v>80</v>
      </c>
      <c r="D131" s="139">
        <v>9003.9450000000015</v>
      </c>
      <c r="E131" s="139">
        <v>50</v>
      </c>
      <c r="F131" s="139" t="s">
        <v>73</v>
      </c>
      <c r="G131" s="139" t="s">
        <v>73</v>
      </c>
      <c r="H131" s="139" t="s">
        <v>73</v>
      </c>
      <c r="I131" s="139" t="s">
        <v>73</v>
      </c>
      <c r="J131" s="139" t="s">
        <v>73</v>
      </c>
      <c r="K131" s="139" t="s">
        <v>73</v>
      </c>
    </row>
    <row r="132" spans="1:11">
      <c r="A132" s="132" t="str">
        <f t="shared" ref="A132:A139" si="4">B132&amp;RIGHT(C132,2)</f>
        <v>SES23</v>
      </c>
      <c r="B132" s="132" t="s">
        <v>41</v>
      </c>
      <c r="C132" s="145" t="s">
        <v>72</v>
      </c>
      <c r="D132" s="139">
        <v>3527.87</v>
      </c>
      <c r="E132" s="139">
        <v>16.25</v>
      </c>
      <c r="F132" s="139" t="s">
        <v>73</v>
      </c>
      <c r="G132" s="139" t="s">
        <v>73</v>
      </c>
      <c r="H132" s="139" t="s">
        <v>73</v>
      </c>
      <c r="I132" s="139" t="s">
        <v>73</v>
      </c>
      <c r="J132" s="139" t="s">
        <v>73</v>
      </c>
      <c r="K132" s="139" t="s">
        <v>73</v>
      </c>
    </row>
    <row r="133" spans="1:11">
      <c r="A133" s="132" t="str">
        <f t="shared" si="4"/>
        <v>SES24</v>
      </c>
      <c r="B133" s="132" t="s">
        <v>41</v>
      </c>
      <c r="C133" s="145" t="s">
        <v>74</v>
      </c>
      <c r="D133" s="139">
        <v>3526.8</v>
      </c>
      <c r="E133" s="139">
        <v>6.17</v>
      </c>
      <c r="F133" s="139" t="s">
        <v>73</v>
      </c>
      <c r="G133" s="139" t="s">
        <v>73</v>
      </c>
      <c r="H133" s="139" t="s">
        <v>73</v>
      </c>
      <c r="I133" s="139" t="s">
        <v>73</v>
      </c>
      <c r="J133" s="139" t="s">
        <v>73</v>
      </c>
      <c r="K133" s="139" t="s">
        <v>73</v>
      </c>
    </row>
    <row r="134" spans="1:11">
      <c r="A134" s="132" t="str">
        <f t="shared" si="4"/>
        <v>SES25</v>
      </c>
      <c r="B134" s="132" t="s">
        <v>41</v>
      </c>
      <c r="C134" s="145" t="s">
        <v>75</v>
      </c>
      <c r="D134" s="139">
        <v>3538.5932808299999</v>
      </c>
      <c r="E134" s="139">
        <v>10.599670830000001</v>
      </c>
      <c r="F134" s="139" t="s">
        <v>73</v>
      </c>
      <c r="G134" s="139" t="s">
        <v>73</v>
      </c>
      <c r="H134" s="139" t="s">
        <v>73</v>
      </c>
      <c r="I134" s="139" t="s">
        <v>73</v>
      </c>
      <c r="J134" s="139" t="s">
        <v>73</v>
      </c>
      <c r="K134" s="139" t="s">
        <v>73</v>
      </c>
    </row>
    <row r="135" spans="1:11">
      <c r="A135" s="132" t="str">
        <f t="shared" si="4"/>
        <v>SES26</v>
      </c>
      <c r="B135" s="132" t="s">
        <v>41</v>
      </c>
      <c r="C135" s="145" t="s">
        <v>76</v>
      </c>
      <c r="D135" s="139">
        <v>3543.97906067249</v>
      </c>
      <c r="E135" s="139">
        <v>10.615779842489999</v>
      </c>
      <c r="F135" s="139">
        <v>2597.8106473338048</v>
      </c>
      <c r="G135" s="139">
        <v>586.27003343952731</v>
      </c>
      <c r="H135" s="139">
        <v>43.091072739707442</v>
      </c>
      <c r="I135" s="139">
        <v>0.25289118076436601</v>
      </c>
      <c r="J135" s="139">
        <v>0.52031201880658717</v>
      </c>
      <c r="K135" s="139">
        <v>3227.879999619232</v>
      </c>
    </row>
    <row r="136" spans="1:11">
      <c r="A136" s="132" t="str">
        <f t="shared" si="4"/>
        <v>SES27</v>
      </c>
      <c r="B136" s="132" t="s">
        <v>41</v>
      </c>
      <c r="C136" s="145" t="s">
        <v>77</v>
      </c>
      <c r="D136" s="139">
        <v>3549.3809978545069</v>
      </c>
      <c r="E136" s="139">
        <v>10.63193718201747</v>
      </c>
      <c r="F136" s="139" t="s">
        <v>73</v>
      </c>
      <c r="G136" s="139" t="s">
        <v>73</v>
      </c>
      <c r="H136" s="139" t="s">
        <v>73</v>
      </c>
      <c r="I136" s="139" t="s">
        <v>73</v>
      </c>
      <c r="J136" s="139" t="s">
        <v>73</v>
      </c>
      <c r="K136" s="139" t="s">
        <v>73</v>
      </c>
    </row>
    <row r="137" spans="1:11">
      <c r="A137" s="132" t="str">
        <f t="shared" si="4"/>
        <v>SES28</v>
      </c>
      <c r="B137" s="132" t="s">
        <v>41</v>
      </c>
      <c r="C137" s="145" t="s">
        <v>78</v>
      </c>
      <c r="D137" s="139">
        <v>3554.7991408480711</v>
      </c>
      <c r="E137" s="139">
        <v>10.648142993563519</v>
      </c>
      <c r="F137" s="139" t="s">
        <v>73</v>
      </c>
      <c r="G137" s="139" t="s">
        <v>73</v>
      </c>
      <c r="H137" s="139" t="s">
        <v>73</v>
      </c>
      <c r="I137" s="139" t="s">
        <v>73</v>
      </c>
      <c r="J137" s="139" t="s">
        <v>73</v>
      </c>
      <c r="K137" s="139" t="s">
        <v>73</v>
      </c>
    </row>
    <row r="138" spans="1:11">
      <c r="A138" s="132" t="str">
        <f t="shared" si="4"/>
        <v>SES29</v>
      </c>
      <c r="B138" s="132" t="s">
        <v>41</v>
      </c>
      <c r="C138" s="145" t="s">
        <v>79</v>
      </c>
      <c r="D138" s="139">
        <v>3560.2335382706151</v>
      </c>
      <c r="E138" s="139">
        <v>10.66439742254421</v>
      </c>
      <c r="F138" s="139" t="s">
        <v>73</v>
      </c>
      <c r="G138" s="139" t="s">
        <v>73</v>
      </c>
      <c r="H138" s="139" t="s">
        <v>73</v>
      </c>
      <c r="I138" s="139" t="s">
        <v>73</v>
      </c>
      <c r="J138" s="139" t="s">
        <v>73</v>
      </c>
      <c r="K138" s="139" t="s">
        <v>73</v>
      </c>
    </row>
    <row r="139" spans="1:11">
      <c r="A139" s="132" t="str">
        <f t="shared" si="4"/>
        <v>SES30</v>
      </c>
      <c r="B139" s="132" t="s">
        <v>41</v>
      </c>
      <c r="C139" s="145" t="s">
        <v>80</v>
      </c>
      <c r="D139" s="139">
        <v>3565.684238885427</v>
      </c>
      <c r="E139" s="139">
        <v>10.680700614811849</v>
      </c>
      <c r="F139" s="139" t="s">
        <v>73</v>
      </c>
      <c r="G139" s="139" t="s">
        <v>73</v>
      </c>
      <c r="H139" s="139" t="s">
        <v>73</v>
      </c>
      <c r="I139" s="139" t="s">
        <v>73</v>
      </c>
      <c r="J139" s="139" t="s">
        <v>73</v>
      </c>
      <c r="K139" s="139" t="s">
        <v>73</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3FA24-D7EF-4260-80AE-A49191BED55B}">
  <sheetPr>
    <tabColor rgb="FFFFDB8E"/>
  </sheetPr>
  <dimension ref="A1:V324"/>
  <sheetViews>
    <sheetView zoomScale="80" zoomScaleNormal="80" workbookViewId="0"/>
  </sheetViews>
  <sheetFormatPr defaultColWidth="9" defaultRowHeight="13.15"/>
  <cols>
    <col min="1" max="3" width="9" style="132"/>
    <col min="4" max="4" width="10.85546875" style="132" customWidth="1"/>
    <col min="5" max="6" width="9" style="132"/>
    <col min="7" max="7" width="10" style="132" customWidth="1"/>
    <col min="8" max="8" width="10.5703125" style="132" customWidth="1"/>
    <col min="9" max="11" width="9" style="132"/>
    <col min="12" max="12" width="9.28515625" style="132" customWidth="1"/>
    <col min="13" max="16384" width="9" style="132"/>
  </cols>
  <sheetData>
    <row r="1" spans="1:22" s="144" customFormat="1" ht="65.650000000000006">
      <c r="A1" s="141" t="s">
        <v>12</v>
      </c>
      <c r="B1" s="142" t="s">
        <v>86</v>
      </c>
      <c r="C1" s="143" t="s">
        <v>71</v>
      </c>
      <c r="D1" s="141" t="s">
        <v>87</v>
      </c>
      <c r="E1" s="141" t="s">
        <v>88</v>
      </c>
      <c r="F1" s="141" t="s">
        <v>89</v>
      </c>
      <c r="G1" s="141" t="s">
        <v>90</v>
      </c>
      <c r="H1" s="141" t="s">
        <v>91</v>
      </c>
      <c r="I1" s="141" t="s">
        <v>92</v>
      </c>
      <c r="J1" s="141" t="s">
        <v>93</v>
      </c>
      <c r="K1" s="141" t="s">
        <v>94</v>
      </c>
      <c r="L1" s="141"/>
    </row>
    <row r="2" spans="1:22">
      <c r="A2" s="132" t="s">
        <v>95</v>
      </c>
      <c r="B2" s="132" t="s">
        <v>21</v>
      </c>
      <c r="C2" s="145" t="s">
        <v>96</v>
      </c>
      <c r="D2" s="146">
        <v>37876.639999999999</v>
      </c>
      <c r="E2" s="146">
        <v>162.07</v>
      </c>
      <c r="F2" s="146">
        <v>162.07</v>
      </c>
      <c r="G2" s="146">
        <v>0</v>
      </c>
      <c r="H2" s="146">
        <v>0</v>
      </c>
      <c r="I2" s="140">
        <v>4.2788906302142953E-3</v>
      </c>
      <c r="J2" s="140">
        <v>4.2788906302142953E-3</v>
      </c>
      <c r="K2" s="140">
        <v>0</v>
      </c>
      <c r="L2" s="140"/>
      <c r="V2" s="228"/>
    </row>
    <row r="3" spans="1:22">
      <c r="A3" s="132" t="s">
        <v>97</v>
      </c>
      <c r="B3" s="132" t="s">
        <v>21</v>
      </c>
      <c r="C3" s="145" t="s">
        <v>98</v>
      </c>
      <c r="D3" s="146">
        <v>38006.129999999997</v>
      </c>
      <c r="E3" s="146">
        <v>97.995000000000005</v>
      </c>
      <c r="F3" s="146">
        <v>97.995000000000005</v>
      </c>
      <c r="G3" s="146">
        <v>0</v>
      </c>
      <c r="H3" s="146">
        <v>0</v>
      </c>
      <c r="I3" s="140">
        <v>2.5783998528658408E-3</v>
      </c>
      <c r="J3" s="140">
        <v>2.5783998528658408E-3</v>
      </c>
      <c r="K3" s="140">
        <v>0</v>
      </c>
      <c r="L3" s="140"/>
      <c r="V3" s="228"/>
    </row>
    <row r="4" spans="1:22">
      <c r="A4" s="132" t="s">
        <v>99</v>
      </c>
      <c r="B4" s="132" t="s">
        <v>21</v>
      </c>
      <c r="C4" s="145" t="s">
        <v>100</v>
      </c>
      <c r="D4" s="146">
        <v>38076.050000000003</v>
      </c>
      <c r="E4" s="146">
        <v>108.24</v>
      </c>
      <c r="F4" s="146">
        <v>108.24</v>
      </c>
      <c r="G4" s="146">
        <v>0</v>
      </c>
      <c r="H4" s="146">
        <v>0</v>
      </c>
      <c r="I4" s="140">
        <v>2.8427318484979401E-3</v>
      </c>
      <c r="J4" s="140">
        <v>2.8427318484979401E-3</v>
      </c>
      <c r="K4" s="140">
        <v>0</v>
      </c>
      <c r="L4" s="140"/>
      <c r="V4" s="228"/>
    </row>
    <row r="5" spans="1:22">
      <c r="A5" s="132" t="s">
        <v>101</v>
      </c>
      <c r="B5" s="132" t="s">
        <v>21</v>
      </c>
      <c r="C5" s="145" t="s">
        <v>102</v>
      </c>
      <c r="D5" s="146">
        <v>38095.050000000003</v>
      </c>
      <c r="E5" s="146">
        <v>84.93</v>
      </c>
      <c r="F5" s="146">
        <v>84.93</v>
      </c>
      <c r="G5" s="146">
        <v>0</v>
      </c>
      <c r="H5" s="146">
        <v>0</v>
      </c>
      <c r="I5" s="140">
        <v>2.2294235077785695E-3</v>
      </c>
      <c r="J5" s="140">
        <v>2.2294235077785695E-3</v>
      </c>
      <c r="K5" s="140">
        <v>0</v>
      </c>
      <c r="L5" s="140"/>
      <c r="V5" s="228"/>
    </row>
    <row r="6" spans="1:22">
      <c r="A6" s="132" t="s">
        <v>103</v>
      </c>
      <c r="B6" s="132" t="s">
        <v>21</v>
      </c>
      <c r="C6" s="145" t="s">
        <v>104</v>
      </c>
      <c r="D6" s="146">
        <v>38184.71</v>
      </c>
      <c r="E6" s="146">
        <v>22.105</v>
      </c>
      <c r="F6" s="146">
        <v>22.105</v>
      </c>
      <c r="G6" s="146">
        <v>0</v>
      </c>
      <c r="H6" s="146">
        <v>0</v>
      </c>
      <c r="I6" s="140">
        <v>5.7889663166225437E-4</v>
      </c>
      <c r="J6" s="140">
        <v>5.7889663166225437E-4</v>
      </c>
      <c r="K6" s="140">
        <v>0</v>
      </c>
      <c r="L6" s="140"/>
      <c r="V6" s="228"/>
    </row>
    <row r="7" spans="1:22">
      <c r="A7" s="132" t="s">
        <v>105</v>
      </c>
      <c r="B7" s="132" t="s">
        <v>21</v>
      </c>
      <c r="C7" s="145" t="s">
        <v>106</v>
      </c>
      <c r="D7" s="146">
        <v>38325.279999999999</v>
      </c>
      <c r="E7" s="146">
        <v>33.814999999999998</v>
      </c>
      <c r="F7" s="146">
        <v>33.814999999999998</v>
      </c>
      <c r="G7" s="146">
        <v>0</v>
      </c>
      <c r="H7" s="146">
        <v>0</v>
      </c>
      <c r="I7" s="140">
        <v>8.8231579782326443E-4</v>
      </c>
      <c r="J7" s="140">
        <v>8.8231579782326443E-4</v>
      </c>
      <c r="K7" s="140">
        <v>0</v>
      </c>
      <c r="L7" s="140"/>
      <c r="V7" s="228"/>
    </row>
    <row r="8" spans="1:22">
      <c r="A8" s="132" t="s">
        <v>107</v>
      </c>
      <c r="B8" s="132" t="s">
        <v>21</v>
      </c>
      <c r="C8" s="145" t="s">
        <v>108</v>
      </c>
      <c r="D8" s="146">
        <v>38419.65</v>
      </c>
      <c r="E8" s="146">
        <v>89</v>
      </c>
      <c r="F8" s="146">
        <v>89</v>
      </c>
      <c r="G8" s="146">
        <v>0</v>
      </c>
      <c r="H8" s="146">
        <v>0</v>
      </c>
      <c r="I8" s="140">
        <v>2.3165229251177455E-3</v>
      </c>
      <c r="J8" s="140">
        <v>2.3165229251177455E-3</v>
      </c>
      <c r="K8" s="140">
        <v>0</v>
      </c>
      <c r="L8" s="140"/>
      <c r="V8" s="228"/>
    </row>
    <row r="9" spans="1:22">
      <c r="A9" s="132" t="s">
        <v>109</v>
      </c>
      <c r="B9" s="132" t="s">
        <v>21</v>
      </c>
      <c r="C9" s="145" t="s">
        <v>110</v>
      </c>
      <c r="D9" s="146">
        <v>38584.370000000003</v>
      </c>
      <c r="E9" s="146">
        <v>100.91200000000001</v>
      </c>
      <c r="F9" s="146">
        <v>100.91200000000001</v>
      </c>
      <c r="G9" s="146">
        <v>0</v>
      </c>
      <c r="H9" s="146">
        <v>0</v>
      </c>
      <c r="I9" s="140">
        <v>2.6153595354802993E-3</v>
      </c>
      <c r="J9" s="140">
        <v>2.6153595354802993E-3</v>
      </c>
      <c r="K9" s="140">
        <v>0</v>
      </c>
      <c r="L9" s="140"/>
      <c r="V9" s="228"/>
    </row>
    <row r="10" spans="1:22">
      <c r="A10" s="132" t="s">
        <v>111</v>
      </c>
      <c r="B10" s="132" t="s">
        <v>21</v>
      </c>
      <c r="C10" s="145" t="s">
        <v>112</v>
      </c>
      <c r="D10" s="146">
        <v>38709</v>
      </c>
      <c r="E10" s="146">
        <v>29.8</v>
      </c>
      <c r="F10" s="146">
        <v>29.8</v>
      </c>
      <c r="G10" s="146">
        <v>0</v>
      </c>
      <c r="H10" s="146">
        <v>0</v>
      </c>
      <c r="I10" s="140">
        <v>7.6984680565243227E-4</v>
      </c>
      <c r="J10" s="140">
        <v>7.6984680565243227E-4</v>
      </c>
      <c r="K10" s="140">
        <v>0</v>
      </c>
      <c r="L10" s="140"/>
      <c r="V10" s="228"/>
    </row>
    <row r="11" spans="1:22">
      <c r="A11" s="132" t="s">
        <v>113</v>
      </c>
      <c r="B11" s="132" t="s">
        <v>21</v>
      </c>
      <c r="C11" s="145" t="s">
        <v>114</v>
      </c>
      <c r="D11" s="146">
        <v>38763.800000000003</v>
      </c>
      <c r="E11" s="146">
        <v>16.7</v>
      </c>
      <c r="F11" s="146">
        <v>15.899999999999999</v>
      </c>
      <c r="G11" s="146">
        <v>0</v>
      </c>
      <c r="H11" s="146">
        <v>0.8</v>
      </c>
      <c r="I11" s="140">
        <v>4.3081431644988362E-4</v>
      </c>
      <c r="J11" s="140">
        <v>4.1017650488342207E-4</v>
      </c>
      <c r="K11" s="140">
        <v>2.063781156646149E-5</v>
      </c>
      <c r="L11" s="140"/>
      <c r="V11" s="228"/>
    </row>
    <row r="12" spans="1:22">
      <c r="A12" s="132" t="s">
        <v>115</v>
      </c>
      <c r="B12" s="132" t="s">
        <v>21</v>
      </c>
      <c r="C12" s="145" t="s">
        <v>116</v>
      </c>
      <c r="D12" s="146">
        <v>38789.4</v>
      </c>
      <c r="E12" s="146">
        <v>32.5</v>
      </c>
      <c r="F12" s="146">
        <v>31.99</v>
      </c>
      <c r="G12" s="146">
        <v>0</v>
      </c>
      <c r="H12" s="146">
        <v>0.51</v>
      </c>
      <c r="I12" s="140">
        <v>8.3785776526576841E-4</v>
      </c>
      <c r="J12" s="140">
        <v>8.2470984341082867E-4</v>
      </c>
      <c r="K12" s="140">
        <v>1.3147921854939752E-5</v>
      </c>
      <c r="L12" s="140"/>
      <c r="V12" s="228"/>
    </row>
    <row r="13" spans="1:22">
      <c r="A13" s="132" t="s">
        <v>117</v>
      </c>
      <c r="B13" s="132" t="s">
        <v>21</v>
      </c>
      <c r="C13" s="145" t="s">
        <v>72</v>
      </c>
      <c r="D13" s="146">
        <v>39248.1</v>
      </c>
      <c r="E13" s="146">
        <v>45.2</v>
      </c>
      <c r="F13" s="146">
        <v>41.161000000000001</v>
      </c>
      <c r="G13" s="146">
        <v>0</v>
      </c>
      <c r="H13" s="146">
        <v>4.0389999999999997</v>
      </c>
      <c r="I13" s="140">
        <v>1.1516481052585986E-3</v>
      </c>
      <c r="J13" s="140">
        <v>1.0487386650563978E-3</v>
      </c>
      <c r="K13" s="140">
        <v>1.0290944020220086E-4</v>
      </c>
      <c r="L13" s="140"/>
      <c r="V13" s="228"/>
    </row>
    <row r="14" spans="1:22">
      <c r="A14" s="132" t="s">
        <v>118</v>
      </c>
      <c r="B14" s="132" t="s">
        <v>21</v>
      </c>
      <c r="C14" s="145" t="s">
        <v>74</v>
      </c>
      <c r="D14" s="146">
        <v>39397</v>
      </c>
      <c r="E14" s="146">
        <v>37.5</v>
      </c>
      <c r="F14" s="146">
        <v>35.9</v>
      </c>
      <c r="G14" s="146">
        <v>0</v>
      </c>
      <c r="H14" s="146">
        <v>1.6</v>
      </c>
      <c r="I14" s="140">
        <v>9.5184912556793664E-4</v>
      </c>
      <c r="J14" s="140">
        <v>9.1123689621037127E-4</v>
      </c>
      <c r="K14" s="140">
        <v>4.0612229357565299E-5</v>
      </c>
      <c r="L14" s="140"/>
      <c r="V14" s="228"/>
    </row>
    <row r="15" spans="1:22">
      <c r="A15" s="132" t="s">
        <v>119</v>
      </c>
      <c r="B15" s="132" t="s">
        <v>21</v>
      </c>
      <c r="C15" s="145" t="s">
        <v>75</v>
      </c>
      <c r="D15" s="146">
        <v>39885.800000000003</v>
      </c>
      <c r="E15" s="146">
        <v>66.3</v>
      </c>
      <c r="F15" s="146">
        <v>66.3</v>
      </c>
      <c r="G15" s="146">
        <v>0</v>
      </c>
      <c r="H15" s="146">
        <v>0</v>
      </c>
      <c r="I15" s="140">
        <v>1.6622457115063505E-3</v>
      </c>
      <c r="J15" s="140">
        <v>1.6622457115063505E-3</v>
      </c>
      <c r="K15" s="140">
        <v>0</v>
      </c>
      <c r="L15" s="140"/>
      <c r="V15" s="228"/>
    </row>
    <row r="16" spans="1:22">
      <c r="A16" s="132" t="s">
        <v>120</v>
      </c>
      <c r="B16" s="132" t="s">
        <v>21</v>
      </c>
      <c r="C16" s="145" t="s">
        <v>76</v>
      </c>
      <c r="D16" s="146">
        <v>39989.9</v>
      </c>
      <c r="E16" s="146">
        <v>201.8</v>
      </c>
      <c r="F16" s="146">
        <v>46.7</v>
      </c>
      <c r="G16" s="146">
        <v>0</v>
      </c>
      <c r="H16" s="146">
        <v>155.1</v>
      </c>
      <c r="I16" s="140">
        <v>5.0462741842315188E-3</v>
      </c>
      <c r="J16" s="140">
        <v>1.1677948682042216E-3</v>
      </c>
      <c r="K16" s="140">
        <v>3.8784793160272966E-3</v>
      </c>
      <c r="L16" s="140"/>
      <c r="V16" s="228"/>
    </row>
    <row r="17" spans="1:22">
      <c r="A17" s="132" t="s">
        <v>121</v>
      </c>
      <c r="B17" s="132" t="s">
        <v>21</v>
      </c>
      <c r="C17" s="145" t="s">
        <v>77</v>
      </c>
      <c r="D17" s="146">
        <v>40098.9</v>
      </c>
      <c r="E17" s="146">
        <v>213.6</v>
      </c>
      <c r="F17" s="146">
        <v>49.6</v>
      </c>
      <c r="G17" s="146">
        <v>0</v>
      </c>
      <c r="H17" s="146">
        <v>164</v>
      </c>
      <c r="I17" s="140">
        <v>5.3268294142732094E-3</v>
      </c>
      <c r="J17" s="140">
        <v>1.2369416617413445E-3</v>
      </c>
      <c r="K17" s="140">
        <v>4.0898877525318645E-3</v>
      </c>
      <c r="L17" s="140"/>
      <c r="V17" s="228"/>
    </row>
    <row r="18" spans="1:22">
      <c r="A18" s="132" t="s">
        <v>122</v>
      </c>
      <c r="B18" s="132" t="s">
        <v>21</v>
      </c>
      <c r="C18" s="145" t="s">
        <v>78</v>
      </c>
      <c r="D18" s="146">
        <v>40215.4</v>
      </c>
      <c r="E18" s="146">
        <v>188.2</v>
      </c>
      <c r="F18" s="146">
        <v>50.7</v>
      </c>
      <c r="G18" s="146">
        <v>0</v>
      </c>
      <c r="H18" s="146">
        <v>137.5</v>
      </c>
      <c r="I18" s="140">
        <v>4.6797992808725007E-3</v>
      </c>
      <c r="J18" s="140">
        <v>1.2607110708832935E-3</v>
      </c>
      <c r="K18" s="140">
        <v>3.4190882099892081E-3</v>
      </c>
      <c r="L18" s="140"/>
      <c r="V18" s="228"/>
    </row>
    <row r="19" spans="1:22">
      <c r="A19" s="132" t="s">
        <v>123</v>
      </c>
      <c r="B19" s="132" t="s">
        <v>21</v>
      </c>
      <c r="C19" s="145" t="s">
        <v>79</v>
      </c>
      <c r="D19" s="146">
        <v>40323.300000000003</v>
      </c>
      <c r="E19" s="146">
        <v>187.8</v>
      </c>
      <c r="F19" s="146">
        <v>50.3</v>
      </c>
      <c r="G19" s="146">
        <v>0</v>
      </c>
      <c r="H19" s="146">
        <v>137.5</v>
      </c>
      <c r="I19" s="140">
        <v>4.657356912752676E-3</v>
      </c>
      <c r="J19" s="140">
        <v>1.2474177460674099E-3</v>
      </c>
      <c r="K19" s="140">
        <v>3.4099391666852661E-3</v>
      </c>
      <c r="L19" s="140"/>
      <c r="V19" s="228"/>
    </row>
    <row r="20" spans="1:22">
      <c r="A20" s="132" t="s">
        <v>124</v>
      </c>
      <c r="B20" s="132" t="s">
        <v>21</v>
      </c>
      <c r="C20" s="145" t="s">
        <v>80</v>
      </c>
      <c r="D20" s="146">
        <v>40604.199999999997</v>
      </c>
      <c r="E20" s="146">
        <v>201.6</v>
      </c>
      <c r="F20" s="146">
        <v>56.4</v>
      </c>
      <c r="G20" s="146">
        <v>0</v>
      </c>
      <c r="H20" s="146">
        <v>145.19999999999999</v>
      </c>
      <c r="I20" s="140">
        <v>4.9650036203151404E-3</v>
      </c>
      <c r="J20" s="140">
        <v>1.3890188699691166E-3</v>
      </c>
      <c r="K20" s="140">
        <v>3.5759847503460231E-3</v>
      </c>
      <c r="L20" s="140"/>
      <c r="V20" s="228"/>
    </row>
    <row r="21" spans="1:22">
      <c r="A21" s="132" t="s">
        <v>125</v>
      </c>
      <c r="B21" s="132" t="s">
        <v>84</v>
      </c>
      <c r="C21" s="145" t="s">
        <v>96</v>
      </c>
      <c r="D21" s="146">
        <v>16539.400000000001</v>
      </c>
      <c r="E21" s="146">
        <v>147.80000000000001</v>
      </c>
      <c r="F21" s="146">
        <v>147.80000000000001</v>
      </c>
      <c r="G21" s="146">
        <v>0</v>
      </c>
      <c r="H21" s="146">
        <v>0</v>
      </c>
      <c r="I21" s="140">
        <v>8.9362371065455828E-3</v>
      </c>
      <c r="J21" s="140">
        <v>8.9362371065455828E-3</v>
      </c>
      <c r="K21" s="140">
        <v>0</v>
      </c>
      <c r="L21" s="140"/>
      <c r="V21" s="228"/>
    </row>
    <row r="22" spans="1:22">
      <c r="A22" s="132" t="s">
        <v>126</v>
      </c>
      <c r="B22" s="132" t="s">
        <v>84</v>
      </c>
      <c r="C22" s="145" t="s">
        <v>98</v>
      </c>
      <c r="D22" s="146">
        <v>16548.7</v>
      </c>
      <c r="E22" s="146">
        <v>138.5</v>
      </c>
      <c r="F22" s="146">
        <v>138.5</v>
      </c>
      <c r="G22" s="146">
        <v>0</v>
      </c>
      <c r="H22" s="146">
        <v>0</v>
      </c>
      <c r="I22" s="140">
        <v>8.3692374627614245E-3</v>
      </c>
      <c r="J22" s="140">
        <v>8.3692374627614245E-3</v>
      </c>
      <c r="K22" s="140">
        <v>0</v>
      </c>
      <c r="L22" s="140"/>
      <c r="V22" s="228"/>
    </row>
    <row r="23" spans="1:22">
      <c r="A23" s="132" t="s">
        <v>127</v>
      </c>
      <c r="B23" s="132" t="s">
        <v>84</v>
      </c>
      <c r="C23" s="145" t="s">
        <v>100</v>
      </c>
      <c r="D23" s="146">
        <v>16568.3</v>
      </c>
      <c r="E23" s="146">
        <v>140.30000000000001</v>
      </c>
      <c r="F23" s="146">
        <v>140.30000000000001</v>
      </c>
      <c r="G23" s="146">
        <v>0</v>
      </c>
      <c r="H23" s="146">
        <v>0</v>
      </c>
      <c r="I23" s="140">
        <v>8.4679780061925492E-3</v>
      </c>
      <c r="J23" s="140">
        <v>8.4679780061925492E-3</v>
      </c>
      <c r="K23" s="140">
        <v>0</v>
      </c>
      <c r="L23" s="140"/>
      <c r="V23" s="228"/>
    </row>
    <row r="24" spans="1:22">
      <c r="A24" s="132" t="s">
        <v>128</v>
      </c>
      <c r="B24" s="132" t="s">
        <v>84</v>
      </c>
      <c r="C24" s="145" t="s">
        <v>102</v>
      </c>
      <c r="D24" s="146">
        <v>16595.5</v>
      </c>
      <c r="E24" s="146">
        <v>122.3</v>
      </c>
      <c r="F24" s="146">
        <v>122.3</v>
      </c>
      <c r="G24" s="146">
        <v>0</v>
      </c>
      <c r="H24" s="146">
        <v>0</v>
      </c>
      <c r="I24" s="140">
        <v>7.3694676267662918E-3</v>
      </c>
      <c r="J24" s="140">
        <v>7.3694676267662918E-3</v>
      </c>
      <c r="K24" s="140">
        <v>0</v>
      </c>
      <c r="L24" s="140"/>
      <c r="V24" s="228"/>
    </row>
    <row r="25" spans="1:22">
      <c r="A25" s="132" t="s">
        <v>129</v>
      </c>
      <c r="B25" s="132" t="s">
        <v>84</v>
      </c>
      <c r="C25" s="145" t="s">
        <v>104</v>
      </c>
      <c r="D25" s="146">
        <v>16613.3</v>
      </c>
      <c r="E25" s="146">
        <v>116.2</v>
      </c>
      <c r="F25" s="146">
        <v>116.2</v>
      </c>
      <c r="G25" s="146">
        <v>0</v>
      </c>
      <c r="H25" s="146">
        <v>0</v>
      </c>
      <c r="I25" s="140">
        <v>6.9943960561718631E-3</v>
      </c>
      <c r="J25" s="140">
        <v>6.9943960561718631E-3</v>
      </c>
      <c r="K25" s="140">
        <v>0</v>
      </c>
      <c r="L25" s="140"/>
      <c r="V25" s="228"/>
    </row>
    <row r="26" spans="1:22">
      <c r="A26" s="132" t="s">
        <v>130</v>
      </c>
      <c r="B26" s="132" t="s">
        <v>84</v>
      </c>
      <c r="C26" s="145" t="s">
        <v>106</v>
      </c>
      <c r="D26" s="146">
        <v>16636.5</v>
      </c>
      <c r="E26" s="146">
        <v>99.7</v>
      </c>
      <c r="F26" s="146">
        <v>99.7</v>
      </c>
      <c r="G26" s="146">
        <v>0</v>
      </c>
      <c r="H26" s="146">
        <v>0</v>
      </c>
      <c r="I26" s="140">
        <v>5.9928470531662309E-3</v>
      </c>
      <c r="J26" s="140">
        <v>5.9928470531662309E-3</v>
      </c>
      <c r="K26" s="140">
        <v>0</v>
      </c>
      <c r="L26" s="140"/>
      <c r="V26" s="228"/>
    </row>
    <row r="27" spans="1:22">
      <c r="A27" s="132" t="s">
        <v>131</v>
      </c>
      <c r="B27" s="132" t="s">
        <v>84</v>
      </c>
      <c r="C27" s="145" t="s">
        <v>108</v>
      </c>
      <c r="D27" s="146">
        <v>16682.3</v>
      </c>
      <c r="E27" s="146">
        <v>72.3</v>
      </c>
      <c r="F27" s="146">
        <v>71</v>
      </c>
      <c r="G27" s="146">
        <v>0</v>
      </c>
      <c r="H27" s="146">
        <v>0</v>
      </c>
      <c r="I27" s="140">
        <v>4.3339347691865029E-3</v>
      </c>
      <c r="J27" s="140">
        <v>4.2560078646229835E-3</v>
      </c>
      <c r="K27" s="140">
        <v>0</v>
      </c>
      <c r="L27" s="140"/>
      <c r="V27" s="228"/>
    </row>
    <row r="28" spans="1:22">
      <c r="A28" s="132" t="s">
        <v>132</v>
      </c>
      <c r="B28" s="132" t="s">
        <v>84</v>
      </c>
      <c r="C28" s="145" t="s">
        <v>110</v>
      </c>
      <c r="D28" s="146">
        <v>16728.8</v>
      </c>
      <c r="E28" s="146">
        <v>51.35</v>
      </c>
      <c r="F28" s="146">
        <v>46.1</v>
      </c>
      <c r="G28" s="146">
        <v>0</v>
      </c>
      <c r="H28" s="146">
        <v>0</v>
      </c>
      <c r="I28" s="140">
        <v>3.0695566926498019E-3</v>
      </c>
      <c r="J28" s="140">
        <v>2.7557266510449046E-3</v>
      </c>
      <c r="K28" s="140">
        <v>0</v>
      </c>
      <c r="L28" s="140"/>
      <c r="V28" s="228"/>
    </row>
    <row r="29" spans="1:22">
      <c r="A29" s="132" t="s">
        <v>133</v>
      </c>
      <c r="B29" s="132" t="s">
        <v>84</v>
      </c>
      <c r="C29" s="145" t="s">
        <v>112</v>
      </c>
      <c r="D29" s="146">
        <v>16789.3</v>
      </c>
      <c r="E29" s="146">
        <v>29.599999999999998</v>
      </c>
      <c r="F29" s="146">
        <v>25.9</v>
      </c>
      <c r="G29" s="146">
        <v>0</v>
      </c>
      <c r="H29" s="146">
        <v>0</v>
      </c>
      <c r="I29" s="140">
        <v>1.7630276426057071E-3</v>
      </c>
      <c r="J29" s="140">
        <v>1.5426491872799937E-3</v>
      </c>
      <c r="K29" s="140">
        <v>0</v>
      </c>
      <c r="L29" s="140"/>
      <c r="V29" s="228"/>
    </row>
    <row r="30" spans="1:22">
      <c r="A30" s="132" t="s">
        <v>134</v>
      </c>
      <c r="B30" s="132" t="s">
        <v>84</v>
      </c>
      <c r="C30" s="145" t="s">
        <v>114</v>
      </c>
      <c r="D30" s="146">
        <v>16836.900000000001</v>
      </c>
      <c r="E30" s="146">
        <v>22.4</v>
      </c>
      <c r="F30" s="146">
        <v>15.3</v>
      </c>
      <c r="G30" s="146">
        <v>0</v>
      </c>
      <c r="H30" s="146">
        <v>0</v>
      </c>
      <c r="I30" s="140">
        <v>1.330411180205382E-3</v>
      </c>
      <c r="J30" s="140">
        <v>9.0871835076528334E-4</v>
      </c>
      <c r="K30" s="140">
        <v>0</v>
      </c>
      <c r="L30" s="140"/>
      <c r="V30" s="228"/>
    </row>
    <row r="31" spans="1:22">
      <c r="A31" s="132" t="s">
        <v>135</v>
      </c>
      <c r="B31" s="132" t="s">
        <v>84</v>
      </c>
      <c r="C31" s="145" t="s">
        <v>116</v>
      </c>
      <c r="D31" s="146">
        <v>16912</v>
      </c>
      <c r="E31" s="146">
        <v>13.3</v>
      </c>
      <c r="F31" s="146">
        <v>6.2</v>
      </c>
      <c r="G31" s="146">
        <v>0</v>
      </c>
      <c r="H31" s="146">
        <v>0</v>
      </c>
      <c r="I31" s="140">
        <v>7.8642384105960268E-4</v>
      </c>
      <c r="J31" s="140">
        <v>3.6660359508041627E-4</v>
      </c>
      <c r="K31" s="140">
        <v>0</v>
      </c>
      <c r="L31" s="140"/>
      <c r="V31" s="228"/>
    </row>
    <row r="32" spans="1:22">
      <c r="A32" s="132" t="s">
        <v>136</v>
      </c>
      <c r="B32" s="132" t="s">
        <v>84</v>
      </c>
      <c r="C32" s="145" t="s">
        <v>72</v>
      </c>
      <c r="D32" s="146">
        <v>16969.2</v>
      </c>
      <c r="E32" s="146">
        <v>11.200000000000001</v>
      </c>
      <c r="F32" s="146">
        <v>9.3000000000000007</v>
      </c>
      <c r="G32" s="146">
        <v>0</v>
      </c>
      <c r="H32" s="146">
        <v>0</v>
      </c>
      <c r="I32" s="140">
        <v>6.600193291374962E-4</v>
      </c>
      <c r="J32" s="140">
        <v>5.4805176437309957E-4</v>
      </c>
      <c r="K32" s="140">
        <v>0</v>
      </c>
      <c r="L32" s="140"/>
      <c r="V32" s="228"/>
    </row>
    <row r="33" spans="1:22">
      <c r="A33" s="132" t="s">
        <v>137</v>
      </c>
      <c r="B33" s="132" t="s">
        <v>84</v>
      </c>
      <c r="C33" s="145" t="s">
        <v>74</v>
      </c>
      <c r="D33" s="146">
        <v>16989.044000000002</v>
      </c>
      <c r="E33" s="146">
        <v>10.75</v>
      </c>
      <c r="F33" s="146">
        <v>7.5</v>
      </c>
      <c r="G33" s="146">
        <v>0</v>
      </c>
      <c r="H33" s="146">
        <v>0</v>
      </c>
      <c r="I33" s="140">
        <v>6.327607368607674E-4</v>
      </c>
      <c r="J33" s="140">
        <v>4.4146097920518657E-4</v>
      </c>
      <c r="K33" s="140">
        <v>0</v>
      </c>
      <c r="L33" s="140"/>
      <c r="V33" s="228"/>
    </row>
    <row r="34" spans="1:22">
      <c r="A34" s="132" t="s">
        <v>138</v>
      </c>
      <c r="B34" s="132" t="s">
        <v>84</v>
      </c>
      <c r="C34" s="145" t="s">
        <v>75</v>
      </c>
      <c r="D34" s="146">
        <v>17070.5</v>
      </c>
      <c r="E34" s="146">
        <v>7.7</v>
      </c>
      <c r="F34" s="146">
        <v>6</v>
      </c>
      <c r="G34" s="146">
        <v>0</v>
      </c>
      <c r="H34" s="146">
        <v>0</v>
      </c>
      <c r="I34" s="140">
        <v>4.5107056032336488E-4</v>
      </c>
      <c r="J34" s="140">
        <v>3.5148355349872589E-4</v>
      </c>
      <c r="K34" s="140">
        <v>0</v>
      </c>
      <c r="L34" s="140"/>
      <c r="V34" s="228"/>
    </row>
    <row r="35" spans="1:22">
      <c r="A35" s="132" t="s">
        <v>139</v>
      </c>
      <c r="B35" s="132" t="s">
        <v>84</v>
      </c>
      <c r="C35" s="145" t="s">
        <v>76</v>
      </c>
      <c r="D35" s="146">
        <v>17113.400000000001</v>
      </c>
      <c r="E35" s="146">
        <v>15.399999999999999</v>
      </c>
      <c r="F35" s="146">
        <v>13.7</v>
      </c>
      <c r="G35" s="146">
        <v>0</v>
      </c>
      <c r="H35" s="146">
        <v>0</v>
      </c>
      <c r="I35" s="140">
        <v>8.9987962649152112E-4</v>
      </c>
      <c r="J35" s="140">
        <v>8.0054226512557395E-4</v>
      </c>
      <c r="K35" s="140">
        <v>0</v>
      </c>
      <c r="L35" s="140"/>
      <c r="V35" s="228"/>
    </row>
    <row r="36" spans="1:22">
      <c r="A36" s="132" t="s">
        <v>140</v>
      </c>
      <c r="B36" s="132" t="s">
        <v>84</v>
      </c>
      <c r="C36" s="145" t="s">
        <v>77</v>
      </c>
      <c r="D36" s="146">
        <v>17158.400000000001</v>
      </c>
      <c r="E36" s="146">
        <v>20.599999999999998</v>
      </c>
      <c r="F36" s="146">
        <v>18.899999999999999</v>
      </c>
      <c r="G36" s="146">
        <v>0</v>
      </c>
      <c r="H36" s="146">
        <v>0</v>
      </c>
      <c r="I36" s="140">
        <v>1.2005781424841474E-3</v>
      </c>
      <c r="J36" s="140">
        <v>1.1015013054830286E-3</v>
      </c>
      <c r="K36" s="140">
        <v>0</v>
      </c>
      <c r="L36" s="140"/>
      <c r="V36" s="228"/>
    </row>
    <row r="37" spans="1:22">
      <c r="A37" s="132" t="s">
        <v>141</v>
      </c>
      <c r="B37" s="132" t="s">
        <v>84</v>
      </c>
      <c r="C37" s="145" t="s">
        <v>78</v>
      </c>
      <c r="D37" s="146">
        <v>17208.400000000001</v>
      </c>
      <c r="E37" s="146">
        <v>25.9</v>
      </c>
      <c r="F37" s="146">
        <v>24.2</v>
      </c>
      <c r="G37" s="146">
        <v>0</v>
      </c>
      <c r="H37" s="146">
        <v>0</v>
      </c>
      <c r="I37" s="140">
        <v>1.5050789149485134E-3</v>
      </c>
      <c r="J37" s="140">
        <v>1.4062899514190742E-3</v>
      </c>
      <c r="K37" s="140">
        <v>0</v>
      </c>
      <c r="L37" s="140"/>
      <c r="V37" s="228"/>
    </row>
    <row r="38" spans="1:22">
      <c r="A38" s="132" t="s">
        <v>142</v>
      </c>
      <c r="B38" s="132" t="s">
        <v>84</v>
      </c>
      <c r="C38" s="145" t="s">
        <v>79</v>
      </c>
      <c r="D38" s="146">
        <v>17260.8</v>
      </c>
      <c r="E38" s="146">
        <v>31.099999999999998</v>
      </c>
      <c r="F38" s="146">
        <v>29.4</v>
      </c>
      <c r="G38" s="146">
        <v>0</v>
      </c>
      <c r="H38" s="146">
        <v>0</v>
      </c>
      <c r="I38" s="140">
        <v>1.8017704857248794E-3</v>
      </c>
      <c r="J38" s="140">
        <v>1.7032814238042268E-3</v>
      </c>
      <c r="K38" s="140">
        <v>0</v>
      </c>
      <c r="L38" s="140"/>
      <c r="V38" s="228"/>
    </row>
    <row r="39" spans="1:22">
      <c r="A39" s="132" t="s">
        <v>143</v>
      </c>
      <c r="B39" s="132" t="s">
        <v>84</v>
      </c>
      <c r="C39" s="145" t="s">
        <v>80</v>
      </c>
      <c r="D39" s="146">
        <v>17316.8</v>
      </c>
      <c r="E39" s="146">
        <v>36.300000000000004</v>
      </c>
      <c r="F39" s="146">
        <v>34.6</v>
      </c>
      <c r="G39" s="146">
        <v>0</v>
      </c>
      <c r="H39" s="146">
        <v>0</v>
      </c>
      <c r="I39" s="140">
        <v>2.0962302503926824E-3</v>
      </c>
      <c r="J39" s="140">
        <v>1.9980596877021161E-3</v>
      </c>
      <c r="K39" s="140">
        <v>0</v>
      </c>
      <c r="L39" s="140"/>
      <c r="V39" s="228"/>
    </row>
    <row r="40" spans="1:22">
      <c r="A40" s="132" t="s">
        <v>144</v>
      </c>
      <c r="B40" s="132" t="s">
        <v>34</v>
      </c>
      <c r="C40" s="145" t="s">
        <v>96</v>
      </c>
      <c r="D40" s="146">
        <v>6648.3</v>
      </c>
      <c r="E40" s="146">
        <v>71.099999999999994</v>
      </c>
      <c r="F40" s="146">
        <v>71.099999999999994</v>
      </c>
      <c r="G40" s="146">
        <v>0</v>
      </c>
      <c r="H40" s="146">
        <v>0</v>
      </c>
      <c r="I40" s="140">
        <v>1.06944632462434E-2</v>
      </c>
      <c r="J40" s="140">
        <v>1.06944632462434E-2</v>
      </c>
      <c r="K40" s="140">
        <v>0</v>
      </c>
      <c r="L40" s="140"/>
      <c r="V40" s="228"/>
    </row>
    <row r="41" spans="1:22">
      <c r="A41" s="132" t="s">
        <v>145</v>
      </c>
      <c r="B41" s="132" t="s">
        <v>34</v>
      </c>
      <c r="C41" s="145" t="s">
        <v>98</v>
      </c>
      <c r="D41" s="146">
        <v>6677</v>
      </c>
      <c r="E41" s="146">
        <v>75.3</v>
      </c>
      <c r="F41" s="146">
        <v>75.3</v>
      </c>
      <c r="G41" s="146">
        <v>0</v>
      </c>
      <c r="H41" s="146">
        <v>0</v>
      </c>
      <c r="I41" s="140">
        <v>1.1277519844241425E-2</v>
      </c>
      <c r="J41" s="140">
        <v>1.1277519844241425E-2</v>
      </c>
      <c r="K41" s="140">
        <v>0</v>
      </c>
      <c r="L41" s="140"/>
      <c r="V41" s="228"/>
    </row>
    <row r="42" spans="1:22">
      <c r="A42" s="132" t="s">
        <v>146</v>
      </c>
      <c r="B42" s="132" t="s">
        <v>34</v>
      </c>
      <c r="C42" s="145" t="s">
        <v>100</v>
      </c>
      <c r="D42" s="146">
        <v>6708.1</v>
      </c>
      <c r="E42" s="146">
        <v>71.3</v>
      </c>
      <c r="F42" s="146">
        <v>71.3</v>
      </c>
      <c r="G42" s="146">
        <v>0</v>
      </c>
      <c r="H42" s="146">
        <v>0</v>
      </c>
      <c r="I42" s="140">
        <v>1.0628941130871632E-2</v>
      </c>
      <c r="J42" s="140">
        <v>1.0628941130871632E-2</v>
      </c>
      <c r="K42" s="140">
        <v>0</v>
      </c>
      <c r="L42" s="140"/>
      <c r="V42" s="228"/>
    </row>
    <row r="43" spans="1:22">
      <c r="A43" s="132" t="s">
        <v>147</v>
      </c>
      <c r="B43" s="132" t="s">
        <v>34</v>
      </c>
      <c r="C43" s="145" t="s">
        <v>102</v>
      </c>
      <c r="D43" s="146">
        <v>6734.1</v>
      </c>
      <c r="E43" s="146">
        <v>28</v>
      </c>
      <c r="F43" s="146">
        <v>28</v>
      </c>
      <c r="G43" s="146">
        <v>0</v>
      </c>
      <c r="H43" s="146">
        <v>0</v>
      </c>
      <c r="I43" s="140">
        <v>4.1579424124975868E-3</v>
      </c>
      <c r="J43" s="140">
        <v>4.1579424124975868E-3</v>
      </c>
      <c r="K43" s="140">
        <v>0</v>
      </c>
      <c r="L43" s="140"/>
      <c r="V43" s="228"/>
    </row>
    <row r="44" spans="1:22">
      <c r="A44" s="132" t="s">
        <v>148</v>
      </c>
      <c r="B44" s="132" t="s">
        <v>34</v>
      </c>
      <c r="C44" s="145" t="s">
        <v>104</v>
      </c>
      <c r="D44" s="146">
        <v>6747.6</v>
      </c>
      <c r="E44" s="146">
        <v>4.9000000000000004</v>
      </c>
      <c r="F44" s="146">
        <v>4.9000000000000004</v>
      </c>
      <c r="G44" s="146">
        <v>0</v>
      </c>
      <c r="H44" s="146">
        <v>0</v>
      </c>
      <c r="I44" s="140">
        <v>7.2618412472582846E-4</v>
      </c>
      <c r="J44" s="140">
        <v>7.2618412472582846E-4</v>
      </c>
      <c r="K44" s="140">
        <v>0</v>
      </c>
      <c r="L44" s="140"/>
      <c r="V44" s="228"/>
    </row>
    <row r="45" spans="1:22">
      <c r="A45" s="132" t="s">
        <v>149</v>
      </c>
      <c r="B45" s="132" t="s">
        <v>34</v>
      </c>
      <c r="C45" s="145" t="s">
        <v>106</v>
      </c>
      <c r="D45" s="146">
        <v>6768.3</v>
      </c>
      <c r="E45" s="146">
        <v>15</v>
      </c>
      <c r="F45" s="146">
        <v>15</v>
      </c>
      <c r="G45" s="146">
        <v>0</v>
      </c>
      <c r="H45" s="146">
        <v>0</v>
      </c>
      <c r="I45" s="140">
        <v>2.2162138203093832E-3</v>
      </c>
      <c r="J45" s="140">
        <v>2.2162138203093832E-3</v>
      </c>
      <c r="K45" s="140">
        <v>0</v>
      </c>
      <c r="L45" s="140"/>
      <c r="V45" s="228"/>
    </row>
    <row r="46" spans="1:22">
      <c r="A46" s="132" t="s">
        <v>150</v>
      </c>
      <c r="B46" s="132" t="s">
        <v>34</v>
      </c>
      <c r="C46" s="145" t="s">
        <v>108</v>
      </c>
      <c r="D46" s="146">
        <v>6828</v>
      </c>
      <c r="E46" s="146">
        <v>16.2</v>
      </c>
      <c r="F46" s="146">
        <v>16.2</v>
      </c>
      <c r="G46" s="146">
        <v>0</v>
      </c>
      <c r="H46" s="146">
        <v>0</v>
      </c>
      <c r="I46" s="140">
        <v>2.3725834797891036E-3</v>
      </c>
      <c r="J46" s="140">
        <v>2.3725834797891036E-3</v>
      </c>
      <c r="K46" s="140">
        <v>0</v>
      </c>
      <c r="L46" s="140"/>
      <c r="V46" s="228"/>
    </row>
    <row r="47" spans="1:22">
      <c r="A47" s="132" t="s">
        <v>151</v>
      </c>
      <c r="B47" s="132" t="s">
        <v>34</v>
      </c>
      <c r="C47" s="145" t="s">
        <v>110</v>
      </c>
      <c r="D47" s="146">
        <v>6848</v>
      </c>
      <c r="E47" s="146">
        <v>16.600000000000001</v>
      </c>
      <c r="F47" s="146">
        <v>16.600000000000001</v>
      </c>
      <c r="G47" s="146">
        <v>0</v>
      </c>
      <c r="H47" s="146">
        <v>0</v>
      </c>
      <c r="I47" s="140">
        <v>2.4240654205607477E-3</v>
      </c>
      <c r="J47" s="140">
        <v>2.4240654205607477E-3</v>
      </c>
      <c r="K47" s="140">
        <v>0</v>
      </c>
      <c r="L47" s="140"/>
      <c r="V47" s="228"/>
    </row>
    <row r="48" spans="1:22">
      <c r="A48" s="132" t="s">
        <v>152</v>
      </c>
      <c r="B48" s="132" t="s">
        <v>34</v>
      </c>
      <c r="C48" s="145" t="s">
        <v>112</v>
      </c>
      <c r="D48" s="146">
        <v>6874.9</v>
      </c>
      <c r="E48" s="146">
        <v>32.1</v>
      </c>
      <c r="F48" s="146">
        <v>32.1</v>
      </c>
      <c r="G48" s="146">
        <v>0</v>
      </c>
      <c r="H48" s="146">
        <v>0</v>
      </c>
      <c r="I48" s="140">
        <v>4.6691588241283511E-3</v>
      </c>
      <c r="J48" s="140">
        <v>4.6691588241283511E-3</v>
      </c>
      <c r="K48" s="140">
        <v>0</v>
      </c>
      <c r="L48" s="140"/>
      <c r="V48" s="228"/>
    </row>
    <row r="49" spans="1:22">
      <c r="A49" s="132" t="s">
        <v>153</v>
      </c>
      <c r="B49" s="132" t="s">
        <v>34</v>
      </c>
      <c r="C49" s="145" t="s">
        <v>114</v>
      </c>
      <c r="D49" s="146">
        <v>6903.7</v>
      </c>
      <c r="E49" s="146">
        <v>17.100000000000001</v>
      </c>
      <c r="F49" s="146">
        <v>17.100000000000001</v>
      </c>
      <c r="G49" s="146">
        <v>0</v>
      </c>
      <c r="H49" s="146">
        <v>0</v>
      </c>
      <c r="I49" s="140">
        <v>2.4769326592986372E-3</v>
      </c>
      <c r="J49" s="140">
        <v>2.4769326592986372E-3</v>
      </c>
      <c r="K49" s="140">
        <v>0</v>
      </c>
      <c r="L49" s="140"/>
      <c r="V49" s="228"/>
    </row>
    <row r="50" spans="1:22">
      <c r="A50" s="132" t="s">
        <v>154</v>
      </c>
      <c r="B50" s="132" t="s">
        <v>34</v>
      </c>
      <c r="C50" s="145" t="s">
        <v>116</v>
      </c>
      <c r="D50" s="146">
        <v>6928.8</v>
      </c>
      <c r="E50" s="146">
        <v>8.6999999999999993</v>
      </c>
      <c r="F50" s="146">
        <v>8.6999999999999993</v>
      </c>
      <c r="G50" s="146">
        <v>0</v>
      </c>
      <c r="H50" s="146">
        <v>0</v>
      </c>
      <c r="I50" s="140">
        <v>1.2556286802909594E-3</v>
      </c>
      <c r="J50" s="140">
        <v>1.2556286802909594E-3</v>
      </c>
      <c r="K50" s="140">
        <v>0</v>
      </c>
      <c r="L50" s="140"/>
      <c r="V50" s="228"/>
    </row>
    <row r="51" spans="1:22">
      <c r="A51" s="132" t="s">
        <v>155</v>
      </c>
      <c r="B51" s="132" t="s">
        <v>34</v>
      </c>
      <c r="C51" s="145" t="s">
        <v>72</v>
      </c>
      <c r="D51" s="146">
        <v>6955.9</v>
      </c>
      <c r="E51" s="146">
        <v>8.3000000000000007</v>
      </c>
      <c r="F51" s="146">
        <v>8.3000000000000007</v>
      </c>
      <c r="G51" s="146">
        <v>0</v>
      </c>
      <c r="H51" s="146">
        <v>0</v>
      </c>
      <c r="I51" s="140">
        <v>1.1932316450782791E-3</v>
      </c>
      <c r="J51" s="140">
        <v>1.1932316450782791E-3</v>
      </c>
      <c r="K51" s="140">
        <v>0</v>
      </c>
      <c r="L51" s="140"/>
      <c r="V51" s="228"/>
    </row>
    <row r="52" spans="1:22">
      <c r="A52" s="132" t="s">
        <v>156</v>
      </c>
      <c r="B52" s="132" t="s">
        <v>34</v>
      </c>
      <c r="C52" s="145" t="s">
        <v>74</v>
      </c>
      <c r="D52" s="146">
        <v>6973.2</v>
      </c>
      <c r="E52" s="146">
        <v>7.8</v>
      </c>
      <c r="F52" s="146">
        <v>7.8</v>
      </c>
      <c r="G52" s="146">
        <v>0</v>
      </c>
      <c r="H52" s="146">
        <v>0</v>
      </c>
      <c r="I52" s="140">
        <v>1.1185682326621924E-3</v>
      </c>
      <c r="J52" s="140">
        <v>1.1185682326621924E-3</v>
      </c>
      <c r="K52" s="140">
        <v>0</v>
      </c>
      <c r="L52" s="140"/>
      <c r="V52" s="228"/>
    </row>
    <row r="53" spans="1:22">
      <c r="A53" s="132" t="s">
        <v>157</v>
      </c>
      <c r="B53" s="132" t="s">
        <v>34</v>
      </c>
      <c r="C53" s="145" t="s">
        <v>75</v>
      </c>
      <c r="D53" s="146">
        <v>7010.2</v>
      </c>
      <c r="E53" s="146">
        <v>13</v>
      </c>
      <c r="F53" s="146">
        <v>13</v>
      </c>
      <c r="G53" s="146">
        <v>0</v>
      </c>
      <c r="H53" s="146">
        <v>0</v>
      </c>
      <c r="I53" s="140">
        <v>1.8544406721634191E-3</v>
      </c>
      <c r="J53" s="140">
        <v>1.8544406721634191E-3</v>
      </c>
      <c r="K53" s="140">
        <v>0</v>
      </c>
      <c r="L53" s="140"/>
      <c r="V53" s="228"/>
    </row>
    <row r="54" spans="1:22">
      <c r="A54" s="132" t="s">
        <v>158</v>
      </c>
      <c r="B54" s="132" t="s">
        <v>34</v>
      </c>
      <c r="C54" s="145" t="s">
        <v>76</v>
      </c>
      <c r="D54" s="146">
        <v>7020.5</v>
      </c>
      <c r="E54" s="146">
        <v>28.2</v>
      </c>
      <c r="F54" s="146">
        <v>20.5</v>
      </c>
      <c r="G54" s="146">
        <v>0</v>
      </c>
      <c r="H54" s="146">
        <v>7.6999999999999993</v>
      </c>
      <c r="I54" s="140">
        <v>4.0168079196638415E-3</v>
      </c>
      <c r="J54" s="140">
        <v>2.9200199415996011E-3</v>
      </c>
      <c r="K54" s="140">
        <v>1.0967879780642404E-3</v>
      </c>
      <c r="L54" s="140"/>
      <c r="V54" s="228"/>
    </row>
    <row r="55" spans="1:22">
      <c r="A55" s="132" t="s">
        <v>159</v>
      </c>
      <c r="B55" s="132" t="s">
        <v>34</v>
      </c>
      <c r="C55" s="145" t="s">
        <v>77</v>
      </c>
      <c r="D55" s="146">
        <v>7034.7</v>
      </c>
      <c r="E55" s="146">
        <v>32.700000000000003</v>
      </c>
      <c r="F55" s="146">
        <v>14.3</v>
      </c>
      <c r="G55" s="146">
        <v>0</v>
      </c>
      <c r="H55" s="146">
        <v>18.400000000000002</v>
      </c>
      <c r="I55" s="140">
        <v>4.6483858586720125E-3</v>
      </c>
      <c r="J55" s="140">
        <v>2.0327803602143662E-3</v>
      </c>
      <c r="K55" s="140">
        <v>2.6156054984576458E-3</v>
      </c>
      <c r="L55" s="140"/>
      <c r="V55" s="228"/>
    </row>
    <row r="56" spans="1:22">
      <c r="A56" s="132" t="s">
        <v>160</v>
      </c>
      <c r="B56" s="132" t="s">
        <v>34</v>
      </c>
      <c r="C56" s="145" t="s">
        <v>78</v>
      </c>
      <c r="D56" s="146">
        <v>7051.6</v>
      </c>
      <c r="E56" s="146">
        <v>36.5</v>
      </c>
      <c r="F56" s="146">
        <v>23.7</v>
      </c>
      <c r="G56" s="146">
        <v>0</v>
      </c>
      <c r="H56" s="146">
        <v>12.8</v>
      </c>
      <c r="I56" s="140">
        <v>5.1761302399455436E-3</v>
      </c>
      <c r="J56" s="140">
        <v>3.3609393612797091E-3</v>
      </c>
      <c r="K56" s="140">
        <v>1.8151908786658347E-3</v>
      </c>
      <c r="L56" s="140"/>
      <c r="V56" s="228"/>
    </row>
    <row r="57" spans="1:22">
      <c r="A57" s="132" t="s">
        <v>161</v>
      </c>
      <c r="B57" s="132" t="s">
        <v>34</v>
      </c>
      <c r="C57" s="145" t="s">
        <v>79</v>
      </c>
      <c r="D57" s="146">
        <v>7071.5</v>
      </c>
      <c r="E57" s="146">
        <v>33.400000000000006</v>
      </c>
      <c r="F57" s="146">
        <v>21</v>
      </c>
      <c r="G57" s="146">
        <v>0</v>
      </c>
      <c r="H57" s="146">
        <v>12.4</v>
      </c>
      <c r="I57" s="140">
        <v>4.7231846142968261E-3</v>
      </c>
      <c r="J57" s="140">
        <v>2.9696669730608781E-3</v>
      </c>
      <c r="K57" s="140">
        <v>1.7535176412359472E-3</v>
      </c>
      <c r="L57" s="140"/>
      <c r="V57" s="228"/>
    </row>
    <row r="58" spans="1:22">
      <c r="A58" s="132" t="s">
        <v>162</v>
      </c>
      <c r="B58" s="132" t="s">
        <v>34</v>
      </c>
      <c r="C58" s="145" t="s">
        <v>80</v>
      </c>
      <c r="D58" s="146">
        <v>7086.6</v>
      </c>
      <c r="E58" s="146">
        <v>33.700000000000003</v>
      </c>
      <c r="F58" s="146">
        <v>18.8</v>
      </c>
      <c r="G58" s="146">
        <v>0</v>
      </c>
      <c r="H58" s="146">
        <v>14.9</v>
      </c>
      <c r="I58" s="140">
        <v>4.7554539553523551E-3</v>
      </c>
      <c r="J58" s="140">
        <v>2.652894194677278E-3</v>
      </c>
      <c r="K58" s="140">
        <v>2.1025597606750767E-3</v>
      </c>
      <c r="L58" s="140"/>
      <c r="V58" s="228"/>
    </row>
    <row r="59" spans="1:22">
      <c r="A59" s="132" t="s">
        <v>163</v>
      </c>
      <c r="B59" s="132" t="s">
        <v>81</v>
      </c>
      <c r="C59" s="145" t="s">
        <v>96</v>
      </c>
      <c r="D59" s="146">
        <v>1969.8</v>
      </c>
      <c r="E59" s="146">
        <v>10.51</v>
      </c>
      <c r="F59" s="146">
        <v>10.51</v>
      </c>
      <c r="G59" s="146">
        <v>0</v>
      </c>
      <c r="H59" s="146">
        <v>0</v>
      </c>
      <c r="I59" s="140">
        <v>5.3355670626459538E-3</v>
      </c>
      <c r="J59" s="140">
        <v>5.3355670626459538E-3</v>
      </c>
      <c r="K59" s="140">
        <v>0</v>
      </c>
      <c r="L59" s="140"/>
      <c r="V59" s="228"/>
    </row>
    <row r="60" spans="1:22">
      <c r="A60" s="132" t="s">
        <v>164</v>
      </c>
      <c r="B60" s="132" t="s">
        <v>81</v>
      </c>
      <c r="C60" s="145" t="s">
        <v>98</v>
      </c>
      <c r="D60" s="146">
        <v>1976.34</v>
      </c>
      <c r="E60" s="146">
        <v>11.37</v>
      </c>
      <c r="F60" s="146">
        <v>11.37</v>
      </c>
      <c r="G60" s="146">
        <v>0</v>
      </c>
      <c r="H60" s="146">
        <v>0</v>
      </c>
      <c r="I60" s="140">
        <v>5.7530586842344938E-3</v>
      </c>
      <c r="J60" s="140">
        <v>5.7530586842344938E-3</v>
      </c>
      <c r="K60" s="140">
        <v>0</v>
      </c>
      <c r="L60" s="140"/>
      <c r="V60" s="228"/>
    </row>
    <row r="61" spans="1:22">
      <c r="A61" s="132" t="s">
        <v>165</v>
      </c>
      <c r="B61" s="132" t="s">
        <v>81</v>
      </c>
      <c r="C61" s="145" t="s">
        <v>100</v>
      </c>
      <c r="D61" s="146">
        <v>1979.3710000000001</v>
      </c>
      <c r="E61" s="146">
        <v>9.4649999999999999</v>
      </c>
      <c r="F61" s="146">
        <v>9.4649999999999999</v>
      </c>
      <c r="G61" s="146">
        <v>0</v>
      </c>
      <c r="H61" s="146">
        <v>0</v>
      </c>
      <c r="I61" s="140">
        <v>4.7818221040926631E-3</v>
      </c>
      <c r="J61" s="140">
        <v>4.7818221040926631E-3</v>
      </c>
      <c r="K61" s="140">
        <v>0</v>
      </c>
      <c r="L61" s="140"/>
      <c r="V61" s="228"/>
    </row>
    <row r="62" spans="1:22">
      <c r="A62" s="132" t="s">
        <v>166</v>
      </c>
      <c r="B62" s="132" t="s">
        <v>81</v>
      </c>
      <c r="C62" s="145" t="s">
        <v>102</v>
      </c>
      <c r="D62" s="146">
        <v>1986.347</v>
      </c>
      <c r="E62" s="146">
        <v>4.55</v>
      </c>
      <c r="F62" s="146">
        <v>4.55</v>
      </c>
      <c r="G62" s="146">
        <v>0</v>
      </c>
      <c r="H62" s="146">
        <v>0</v>
      </c>
      <c r="I62" s="140">
        <v>2.2906370337106253E-3</v>
      </c>
      <c r="J62" s="140">
        <v>2.2906370337106253E-3</v>
      </c>
      <c r="K62" s="140">
        <v>0</v>
      </c>
      <c r="L62" s="140"/>
      <c r="V62" s="228"/>
    </row>
    <row r="63" spans="1:22">
      <c r="A63" s="132" t="s">
        <v>167</v>
      </c>
      <c r="B63" s="132" t="s">
        <v>81</v>
      </c>
      <c r="C63" s="145" t="s">
        <v>104</v>
      </c>
      <c r="D63" s="146">
        <v>1993.405</v>
      </c>
      <c r="E63" s="146">
        <v>12.465999999999999</v>
      </c>
      <c r="F63" s="146">
        <v>12.465999999999999</v>
      </c>
      <c r="G63" s="146">
        <v>0</v>
      </c>
      <c r="H63" s="146">
        <v>0</v>
      </c>
      <c r="I63" s="140">
        <v>6.2536213162904678E-3</v>
      </c>
      <c r="J63" s="140">
        <v>6.2536213162904678E-3</v>
      </c>
      <c r="K63" s="140">
        <v>0</v>
      </c>
      <c r="L63" s="140"/>
      <c r="V63" s="228"/>
    </row>
    <row r="64" spans="1:22">
      <c r="A64" s="132" t="s">
        <v>168</v>
      </c>
      <c r="B64" s="132" t="s">
        <v>81</v>
      </c>
      <c r="C64" s="145" t="s">
        <v>106</v>
      </c>
      <c r="D64" s="146">
        <v>1994.88</v>
      </c>
      <c r="E64" s="146">
        <v>4.5</v>
      </c>
      <c r="F64" s="146">
        <v>4.5</v>
      </c>
      <c r="G64" s="146">
        <v>0</v>
      </c>
      <c r="H64" s="146">
        <v>0</v>
      </c>
      <c r="I64" s="140">
        <v>2.2557747834456208E-3</v>
      </c>
      <c r="J64" s="140">
        <v>2.2557747834456208E-3</v>
      </c>
      <c r="K64" s="140">
        <v>0</v>
      </c>
      <c r="L64" s="140"/>
      <c r="V64" s="228"/>
    </row>
    <row r="65" spans="1:22">
      <c r="A65" s="132" t="s">
        <v>169</v>
      </c>
      <c r="B65" s="132" t="s">
        <v>81</v>
      </c>
      <c r="C65" s="145" t="s">
        <v>108</v>
      </c>
      <c r="D65" s="146">
        <v>2015.1</v>
      </c>
      <c r="E65" s="146">
        <v>5.5</v>
      </c>
      <c r="F65" s="146">
        <v>5.5</v>
      </c>
      <c r="G65" s="146">
        <v>0</v>
      </c>
      <c r="H65" s="146">
        <v>0</v>
      </c>
      <c r="I65" s="140">
        <v>2.7293930822291698E-3</v>
      </c>
      <c r="J65" s="140">
        <v>2.7293930822291698E-3</v>
      </c>
      <c r="K65" s="140">
        <v>0</v>
      </c>
      <c r="L65" s="140"/>
      <c r="V65" s="228"/>
    </row>
    <row r="66" spans="1:22">
      <c r="A66" s="132" t="s">
        <v>170</v>
      </c>
      <c r="B66" s="132" t="s">
        <v>81</v>
      </c>
      <c r="C66" s="145" t="s">
        <v>110</v>
      </c>
      <c r="D66" s="146">
        <v>2606.085</v>
      </c>
      <c r="E66" s="146">
        <v>16.300999999999998</v>
      </c>
      <c r="F66" s="146">
        <v>16.300999999999998</v>
      </c>
      <c r="G66" s="146">
        <v>0</v>
      </c>
      <c r="H66" s="146">
        <v>0</v>
      </c>
      <c r="I66" s="140">
        <v>6.2549763342331496E-3</v>
      </c>
      <c r="J66" s="140">
        <v>6.2549763342331496E-3</v>
      </c>
      <c r="K66" s="140">
        <v>0</v>
      </c>
      <c r="L66" s="140"/>
      <c r="V66" s="228"/>
    </row>
    <row r="67" spans="1:22">
      <c r="A67" s="132" t="s">
        <v>171</v>
      </c>
      <c r="B67" s="132" t="s">
        <v>81</v>
      </c>
      <c r="C67" s="145" t="s">
        <v>112</v>
      </c>
      <c r="D67" s="146">
        <v>2619.2330000000002</v>
      </c>
      <c r="E67" s="146">
        <v>11.3</v>
      </c>
      <c r="F67" s="146">
        <v>11.3</v>
      </c>
      <c r="G67" s="146">
        <v>0</v>
      </c>
      <c r="H67" s="146">
        <v>0</v>
      </c>
      <c r="I67" s="140">
        <v>4.3142400847881804E-3</v>
      </c>
      <c r="J67" s="140">
        <v>4.3142400847881804E-3</v>
      </c>
      <c r="K67" s="140">
        <v>0</v>
      </c>
      <c r="L67" s="140"/>
      <c r="V67" s="228"/>
    </row>
    <row r="68" spans="1:22">
      <c r="A68" s="132" t="s">
        <v>172</v>
      </c>
      <c r="B68" s="132" t="s">
        <v>81</v>
      </c>
      <c r="C68" s="145" t="s">
        <v>114</v>
      </c>
      <c r="D68" s="146">
        <v>2628.5</v>
      </c>
      <c r="E68" s="146">
        <v>4</v>
      </c>
      <c r="F68" s="146">
        <v>4</v>
      </c>
      <c r="G68" s="146">
        <v>0</v>
      </c>
      <c r="H68" s="146">
        <v>0</v>
      </c>
      <c r="I68" s="140">
        <v>1.5217804831653035E-3</v>
      </c>
      <c r="J68" s="140">
        <v>1.5217804831653035E-3</v>
      </c>
      <c r="K68" s="140">
        <v>0</v>
      </c>
      <c r="L68" s="140"/>
      <c r="V68" s="228"/>
    </row>
    <row r="69" spans="1:22">
      <c r="A69" s="132" t="s">
        <v>173</v>
      </c>
      <c r="B69" s="132" t="s">
        <v>81</v>
      </c>
      <c r="C69" s="145" t="s">
        <v>116</v>
      </c>
      <c r="D69" s="146">
        <v>2634</v>
      </c>
      <c r="E69" s="146">
        <v>2.5</v>
      </c>
      <c r="F69" s="146">
        <v>2.5</v>
      </c>
      <c r="G69" s="146">
        <v>0</v>
      </c>
      <c r="H69" s="146">
        <v>0</v>
      </c>
      <c r="I69" s="140">
        <v>9.4912680334092634E-4</v>
      </c>
      <c r="J69" s="140">
        <v>9.4912680334092634E-4</v>
      </c>
      <c r="K69" s="140">
        <v>0</v>
      </c>
      <c r="L69" s="140"/>
      <c r="V69" s="228"/>
    </row>
    <row r="70" spans="1:22">
      <c r="A70" s="132" t="s">
        <v>174</v>
      </c>
      <c r="B70" s="132" t="s">
        <v>81</v>
      </c>
      <c r="C70" s="145" t="s">
        <v>72</v>
      </c>
      <c r="D70" s="146">
        <v>2640.9</v>
      </c>
      <c r="E70" s="146">
        <v>7.6</v>
      </c>
      <c r="F70" s="146">
        <v>7.6</v>
      </c>
      <c r="G70" s="146">
        <v>0</v>
      </c>
      <c r="H70" s="146">
        <v>0</v>
      </c>
      <c r="I70" s="140">
        <v>2.877806808285054E-3</v>
      </c>
      <c r="J70" s="140">
        <v>2.877806808285054E-3</v>
      </c>
      <c r="K70" s="140">
        <v>0</v>
      </c>
      <c r="L70" s="140"/>
      <c r="V70" s="228"/>
    </row>
    <row r="71" spans="1:22">
      <c r="A71" s="132" t="s">
        <v>175</v>
      </c>
      <c r="B71" s="132" t="s">
        <v>81</v>
      </c>
      <c r="C71" s="145" t="s">
        <v>74</v>
      </c>
      <c r="D71" s="146">
        <v>2633.1</v>
      </c>
      <c r="E71" s="146">
        <v>0.34599999999999997</v>
      </c>
      <c r="F71" s="146">
        <v>0.34599999999999997</v>
      </c>
      <c r="G71" s="146">
        <v>0</v>
      </c>
      <c r="H71" s="146">
        <v>0</v>
      </c>
      <c r="I71" s="140">
        <v>1.3140404845999012E-4</v>
      </c>
      <c r="J71" s="140">
        <v>1.3140404845999012E-4</v>
      </c>
      <c r="K71" s="140">
        <v>0</v>
      </c>
      <c r="L71" s="140"/>
      <c r="V71" s="228"/>
    </row>
    <row r="72" spans="1:22">
      <c r="A72" s="132" t="s">
        <v>176</v>
      </c>
      <c r="B72" s="132" t="s">
        <v>81</v>
      </c>
      <c r="C72" s="145" t="s">
        <v>75</v>
      </c>
      <c r="D72" s="146">
        <v>2646.8</v>
      </c>
      <c r="E72" s="146">
        <v>3.2</v>
      </c>
      <c r="F72" s="146">
        <v>3.2</v>
      </c>
      <c r="G72" s="146">
        <v>0</v>
      </c>
      <c r="H72" s="146">
        <v>0</v>
      </c>
      <c r="I72" s="140">
        <v>1.2090071029167296E-3</v>
      </c>
      <c r="J72" s="140">
        <v>1.2090071029167296E-3</v>
      </c>
      <c r="K72" s="140">
        <v>0</v>
      </c>
      <c r="L72" s="140"/>
      <c r="V72" s="228"/>
    </row>
    <row r="73" spans="1:22">
      <c r="A73" s="132" t="s">
        <v>177</v>
      </c>
      <c r="B73" s="132" t="s">
        <v>81</v>
      </c>
      <c r="C73" s="145" t="s">
        <v>76</v>
      </c>
      <c r="D73" s="146">
        <v>2649.8</v>
      </c>
      <c r="E73" s="146">
        <v>10.199999999999999</v>
      </c>
      <c r="F73" s="146">
        <v>6.8299999999999992</v>
      </c>
      <c r="G73" s="146">
        <v>3.37</v>
      </c>
      <c r="H73" s="146">
        <v>0</v>
      </c>
      <c r="I73" s="140">
        <v>3.8493471205373986E-3</v>
      </c>
      <c r="J73" s="140">
        <v>2.57755302286965E-3</v>
      </c>
      <c r="K73" s="140">
        <v>0</v>
      </c>
      <c r="L73" s="140"/>
      <c r="V73" s="228"/>
    </row>
    <row r="74" spans="1:22">
      <c r="A74" s="132" t="s">
        <v>178</v>
      </c>
      <c r="B74" s="132" t="s">
        <v>81</v>
      </c>
      <c r="C74" s="145" t="s">
        <v>77</v>
      </c>
      <c r="D74" s="146">
        <v>2652.8</v>
      </c>
      <c r="E74" s="146">
        <v>12.5</v>
      </c>
      <c r="F74" s="146">
        <v>9.129999999999999</v>
      </c>
      <c r="G74" s="146">
        <v>3.37</v>
      </c>
      <c r="H74" s="146">
        <v>0</v>
      </c>
      <c r="I74" s="140">
        <v>4.7120024125452348E-3</v>
      </c>
      <c r="J74" s="140">
        <v>3.4416465621230391E-3</v>
      </c>
      <c r="K74" s="140">
        <v>0</v>
      </c>
      <c r="L74" s="140"/>
      <c r="V74" s="228"/>
    </row>
    <row r="75" spans="1:22">
      <c r="A75" s="132" t="s">
        <v>179</v>
      </c>
      <c r="B75" s="132" t="s">
        <v>81</v>
      </c>
      <c r="C75" s="145" t="s">
        <v>78</v>
      </c>
      <c r="D75" s="146">
        <v>2655.8</v>
      </c>
      <c r="E75" s="146">
        <v>16.3</v>
      </c>
      <c r="F75" s="146">
        <v>12.93</v>
      </c>
      <c r="G75" s="146">
        <v>3.37</v>
      </c>
      <c r="H75" s="146">
        <v>0</v>
      </c>
      <c r="I75" s="140">
        <v>6.1375103546953838E-3</v>
      </c>
      <c r="J75" s="140">
        <v>4.8685895022215521E-3</v>
      </c>
      <c r="K75" s="140">
        <v>0</v>
      </c>
      <c r="L75" s="140"/>
      <c r="V75" s="228"/>
    </row>
    <row r="76" spans="1:22">
      <c r="A76" s="132" t="s">
        <v>180</v>
      </c>
      <c r="B76" s="132" t="s">
        <v>81</v>
      </c>
      <c r="C76" s="145" t="s">
        <v>79</v>
      </c>
      <c r="D76" s="146">
        <v>2658.8</v>
      </c>
      <c r="E76" s="146">
        <v>14.7</v>
      </c>
      <c r="F76" s="146">
        <v>11.329999999999998</v>
      </c>
      <c r="G76" s="146">
        <v>3.37</v>
      </c>
      <c r="H76" s="146">
        <v>0</v>
      </c>
      <c r="I76" s="140">
        <v>5.528809989468933E-3</v>
      </c>
      <c r="J76" s="140">
        <v>4.2613208966451018E-3</v>
      </c>
      <c r="K76" s="140">
        <v>0</v>
      </c>
      <c r="L76" s="140"/>
      <c r="V76" s="228"/>
    </row>
    <row r="77" spans="1:22">
      <c r="A77" s="132" t="s">
        <v>181</v>
      </c>
      <c r="B77" s="132" t="s">
        <v>81</v>
      </c>
      <c r="C77" s="145" t="s">
        <v>80</v>
      </c>
      <c r="D77" s="146">
        <v>2661.8</v>
      </c>
      <c r="E77" s="146">
        <v>14.3</v>
      </c>
      <c r="F77" s="146">
        <v>10.93</v>
      </c>
      <c r="G77" s="146">
        <v>3.37</v>
      </c>
      <c r="H77" s="146">
        <v>0</v>
      </c>
      <c r="I77" s="140">
        <v>5.3723044556315278E-3</v>
      </c>
      <c r="J77" s="140">
        <v>4.1062438951085731E-3</v>
      </c>
      <c r="K77" s="140">
        <v>0</v>
      </c>
      <c r="L77" s="140"/>
      <c r="V77" s="228"/>
    </row>
    <row r="78" spans="1:22">
      <c r="A78" s="132" t="s">
        <v>182</v>
      </c>
      <c r="B78" s="132" t="s">
        <v>38</v>
      </c>
      <c r="C78" s="145" t="s">
        <v>96</v>
      </c>
      <c r="D78" s="146">
        <v>24777.5</v>
      </c>
      <c r="E78" s="146">
        <v>153</v>
      </c>
      <c r="F78" s="146">
        <v>153</v>
      </c>
      <c r="G78" s="146">
        <v>0</v>
      </c>
      <c r="H78" s="146">
        <v>0</v>
      </c>
      <c r="I78" s="140">
        <v>6.1749571183533445E-3</v>
      </c>
      <c r="J78" s="140">
        <v>6.1749571183533445E-3</v>
      </c>
      <c r="K78" s="140">
        <v>0</v>
      </c>
      <c r="L78" s="140"/>
      <c r="V78" s="228"/>
    </row>
    <row r="79" spans="1:22">
      <c r="A79" s="132" t="s">
        <v>183</v>
      </c>
      <c r="B79" s="132" t="s">
        <v>38</v>
      </c>
      <c r="C79" s="145" t="s">
        <v>98</v>
      </c>
      <c r="D79" s="146">
        <v>25406.7</v>
      </c>
      <c r="E79" s="146">
        <v>145.5</v>
      </c>
      <c r="F79" s="146">
        <v>145.5</v>
      </c>
      <c r="G79" s="146">
        <v>0</v>
      </c>
      <c r="H79" s="146">
        <v>0</v>
      </c>
      <c r="I79" s="140">
        <v>5.7268358346420434E-3</v>
      </c>
      <c r="J79" s="140">
        <v>5.7268358346420434E-3</v>
      </c>
      <c r="K79" s="140">
        <v>0</v>
      </c>
      <c r="L79" s="140"/>
      <c r="V79" s="228"/>
    </row>
    <row r="80" spans="1:22">
      <c r="A80" s="132" t="s">
        <v>184</v>
      </c>
      <c r="B80" s="132" t="s">
        <v>38</v>
      </c>
      <c r="C80" s="145" t="s">
        <v>100</v>
      </c>
      <c r="D80" s="146">
        <v>25613</v>
      </c>
      <c r="E80" s="146">
        <v>93</v>
      </c>
      <c r="F80" s="146">
        <v>93</v>
      </c>
      <c r="G80" s="146">
        <v>0</v>
      </c>
      <c r="H80" s="146">
        <v>0</v>
      </c>
      <c r="I80" s="140">
        <v>3.6309686487330651E-3</v>
      </c>
      <c r="J80" s="140">
        <v>3.6309686487330651E-3</v>
      </c>
      <c r="K80" s="140">
        <v>0</v>
      </c>
      <c r="L80" s="140"/>
      <c r="V80" s="228"/>
    </row>
    <row r="81" spans="1:22">
      <c r="A81" s="132" t="s">
        <v>185</v>
      </c>
      <c r="B81" s="132" t="s">
        <v>38</v>
      </c>
      <c r="C81" s="145" t="s">
        <v>102</v>
      </c>
      <c r="D81" s="146">
        <v>25676.3</v>
      </c>
      <c r="E81" s="146">
        <v>88.1</v>
      </c>
      <c r="F81" s="146">
        <v>88.1</v>
      </c>
      <c r="G81" s="146">
        <v>0</v>
      </c>
      <c r="H81" s="146">
        <v>0</v>
      </c>
      <c r="I81" s="140">
        <v>3.4311797260508717E-3</v>
      </c>
      <c r="J81" s="140">
        <v>3.4311797260508717E-3</v>
      </c>
      <c r="K81" s="140">
        <v>0</v>
      </c>
      <c r="L81" s="140"/>
      <c r="V81" s="228"/>
    </row>
    <row r="82" spans="1:22">
      <c r="A82" s="132" t="s">
        <v>186</v>
      </c>
      <c r="B82" s="132" t="s">
        <v>38</v>
      </c>
      <c r="C82" s="145" t="s">
        <v>104</v>
      </c>
      <c r="D82" s="146">
        <v>25760.6</v>
      </c>
      <c r="E82" s="146">
        <v>72.400000000000006</v>
      </c>
      <c r="F82" s="146">
        <v>72.400000000000006</v>
      </c>
      <c r="G82" s="146">
        <v>0</v>
      </c>
      <c r="H82" s="146">
        <v>0</v>
      </c>
      <c r="I82" s="140">
        <v>2.8104935444050222E-3</v>
      </c>
      <c r="J82" s="140">
        <v>2.8104935444050222E-3</v>
      </c>
      <c r="K82" s="140">
        <v>0</v>
      </c>
      <c r="L82" s="140"/>
      <c r="V82" s="228"/>
    </row>
    <row r="83" spans="1:22">
      <c r="A83" s="132" t="s">
        <v>187</v>
      </c>
      <c r="B83" s="132" t="s">
        <v>38</v>
      </c>
      <c r="C83" s="145" t="s">
        <v>106</v>
      </c>
      <c r="D83" s="146">
        <v>25812.799999999999</v>
      </c>
      <c r="E83" s="146">
        <v>75.099999999999994</v>
      </c>
      <c r="F83" s="146">
        <v>75.099999999999994</v>
      </c>
      <c r="G83" s="146">
        <v>0</v>
      </c>
      <c r="H83" s="146">
        <v>0</v>
      </c>
      <c r="I83" s="140">
        <v>2.9094092853158122E-3</v>
      </c>
      <c r="J83" s="140">
        <v>2.9094092853158122E-3</v>
      </c>
      <c r="K83" s="140">
        <v>0</v>
      </c>
      <c r="L83" s="140"/>
      <c r="V83" s="228"/>
    </row>
    <row r="84" spans="1:22">
      <c r="A84" s="132" t="s">
        <v>188</v>
      </c>
      <c r="B84" s="132" t="s">
        <v>38</v>
      </c>
      <c r="C84" s="145" t="s">
        <v>108</v>
      </c>
      <c r="D84" s="146">
        <v>25912</v>
      </c>
      <c r="E84" s="146">
        <v>84</v>
      </c>
      <c r="F84" s="146">
        <v>84</v>
      </c>
      <c r="G84" s="146">
        <v>0</v>
      </c>
      <c r="H84" s="146">
        <v>0</v>
      </c>
      <c r="I84" s="140">
        <v>3.2417412781722754E-3</v>
      </c>
      <c r="J84" s="140">
        <v>3.2417412781722754E-3</v>
      </c>
      <c r="K84" s="140">
        <v>0</v>
      </c>
      <c r="L84" s="140"/>
      <c r="V84" s="228"/>
    </row>
    <row r="85" spans="1:22">
      <c r="A85" s="132" t="s">
        <v>189</v>
      </c>
      <c r="B85" s="132" t="s">
        <v>38</v>
      </c>
      <c r="C85" s="145" t="s">
        <v>110</v>
      </c>
      <c r="D85" s="146">
        <v>26032.3</v>
      </c>
      <c r="E85" s="146">
        <v>107.9</v>
      </c>
      <c r="F85" s="146">
        <v>107.9</v>
      </c>
      <c r="G85" s="146">
        <v>0</v>
      </c>
      <c r="H85" s="146">
        <v>0</v>
      </c>
      <c r="I85" s="140">
        <v>4.1448508199429177E-3</v>
      </c>
      <c r="J85" s="140">
        <v>4.1448508199429177E-3</v>
      </c>
      <c r="K85" s="140">
        <v>0</v>
      </c>
      <c r="L85" s="140"/>
      <c r="V85" s="228"/>
    </row>
    <row r="86" spans="1:22">
      <c r="A86" s="132" t="s">
        <v>190</v>
      </c>
      <c r="B86" s="132" t="s">
        <v>38</v>
      </c>
      <c r="C86" s="145" t="s">
        <v>112</v>
      </c>
      <c r="D86" s="146">
        <v>26200.2</v>
      </c>
      <c r="E86" s="146">
        <v>77.8</v>
      </c>
      <c r="F86" s="146">
        <v>77.8</v>
      </c>
      <c r="G86" s="146">
        <v>0</v>
      </c>
      <c r="H86" s="146">
        <v>0</v>
      </c>
      <c r="I86" s="140">
        <v>2.9694429813512872E-3</v>
      </c>
      <c r="J86" s="140">
        <v>2.9694429813512872E-3</v>
      </c>
      <c r="K86" s="140">
        <v>0</v>
      </c>
      <c r="L86" s="140"/>
      <c r="V86" s="228"/>
    </row>
    <row r="87" spans="1:22">
      <c r="A87" s="132" t="s">
        <v>191</v>
      </c>
      <c r="B87" s="132" t="s">
        <v>38</v>
      </c>
      <c r="C87" s="145" t="s">
        <v>114</v>
      </c>
      <c r="D87" s="146">
        <v>26252.799999999999</v>
      </c>
      <c r="E87" s="146">
        <v>23</v>
      </c>
      <c r="F87" s="146">
        <v>23</v>
      </c>
      <c r="G87" s="146">
        <v>0</v>
      </c>
      <c r="H87" s="146">
        <v>0</v>
      </c>
      <c r="I87" s="140">
        <v>8.760970258410532E-4</v>
      </c>
      <c r="J87" s="140">
        <v>8.760970258410532E-4</v>
      </c>
      <c r="K87" s="140">
        <v>0</v>
      </c>
      <c r="L87" s="140"/>
      <c r="V87" s="228"/>
    </row>
    <row r="88" spans="1:22">
      <c r="A88" s="132" t="s">
        <v>192</v>
      </c>
      <c r="B88" s="132" t="s">
        <v>38</v>
      </c>
      <c r="C88" s="145" t="s">
        <v>116</v>
      </c>
      <c r="D88" s="146">
        <v>26366</v>
      </c>
      <c r="E88" s="146">
        <v>39.6</v>
      </c>
      <c r="F88" s="146">
        <v>39.6</v>
      </c>
      <c r="G88" s="146">
        <v>0</v>
      </c>
      <c r="H88" s="146">
        <v>0</v>
      </c>
      <c r="I88" s="140">
        <v>1.5019343093377836E-3</v>
      </c>
      <c r="J88" s="140">
        <v>1.5019343093377836E-3</v>
      </c>
      <c r="K88" s="140">
        <v>0</v>
      </c>
      <c r="L88" s="140"/>
      <c r="V88" s="228"/>
    </row>
    <row r="89" spans="1:22">
      <c r="A89" s="132" t="s">
        <v>193</v>
      </c>
      <c r="B89" s="132" t="s">
        <v>38</v>
      </c>
      <c r="C89" s="145" t="s">
        <v>72</v>
      </c>
      <c r="D89" s="146">
        <v>26450.6</v>
      </c>
      <c r="E89" s="146">
        <v>26.8</v>
      </c>
      <c r="F89" s="146">
        <v>26.8</v>
      </c>
      <c r="G89" s="146">
        <v>0</v>
      </c>
      <c r="H89" s="146">
        <v>0</v>
      </c>
      <c r="I89" s="140">
        <v>1.0132095302185962E-3</v>
      </c>
      <c r="J89" s="140">
        <v>1.0132095302185962E-3</v>
      </c>
      <c r="K89" s="140">
        <v>0</v>
      </c>
      <c r="L89" s="140"/>
      <c r="V89" s="228"/>
    </row>
    <row r="90" spans="1:22">
      <c r="A90" s="132" t="s">
        <v>194</v>
      </c>
      <c r="B90" s="132" t="s">
        <v>38</v>
      </c>
      <c r="C90" s="145" t="s">
        <v>74</v>
      </c>
      <c r="D90" s="146">
        <v>26536.799999999999</v>
      </c>
      <c r="E90" s="146">
        <v>26.3</v>
      </c>
      <c r="F90" s="146">
        <v>26.3</v>
      </c>
      <c r="G90" s="146">
        <v>0</v>
      </c>
      <c r="H90" s="146">
        <v>0</v>
      </c>
      <c r="I90" s="140">
        <v>9.910765427632571E-4</v>
      </c>
      <c r="J90" s="140">
        <v>9.910765427632571E-4</v>
      </c>
      <c r="K90" s="140">
        <v>0</v>
      </c>
      <c r="L90" s="140"/>
      <c r="V90" s="228"/>
    </row>
    <row r="91" spans="1:22">
      <c r="A91" s="132" t="s">
        <v>195</v>
      </c>
      <c r="B91" s="132" t="s">
        <v>38</v>
      </c>
      <c r="C91" s="145" t="s">
        <v>75</v>
      </c>
      <c r="D91" s="146">
        <v>26672.579000000002</v>
      </c>
      <c r="E91" s="146">
        <v>145.19999999999999</v>
      </c>
      <c r="F91" s="146">
        <v>145.19999999999999</v>
      </c>
      <c r="G91" s="146">
        <v>0</v>
      </c>
      <c r="H91" s="146">
        <v>0</v>
      </c>
      <c r="I91" s="140">
        <v>5.4437930430349451E-3</v>
      </c>
      <c r="J91" s="140">
        <v>5.4437930430349451E-3</v>
      </c>
      <c r="K91" s="140">
        <v>0</v>
      </c>
      <c r="L91" s="140"/>
      <c r="V91" s="228"/>
    </row>
    <row r="92" spans="1:22">
      <c r="A92" s="132" t="s">
        <v>196</v>
      </c>
      <c r="B92" s="132" t="s">
        <v>38</v>
      </c>
      <c r="C92" s="145" t="s">
        <v>76</v>
      </c>
      <c r="D92" s="146">
        <v>26773.75</v>
      </c>
      <c r="E92" s="146">
        <v>114.16</v>
      </c>
      <c r="F92" s="146">
        <v>51.77</v>
      </c>
      <c r="G92" s="146">
        <v>0</v>
      </c>
      <c r="H92" s="146">
        <v>62.39</v>
      </c>
      <c r="I92" s="140">
        <v>4.2638778654465661E-3</v>
      </c>
      <c r="J92" s="140">
        <v>1.9336103459545264E-3</v>
      </c>
      <c r="K92" s="140">
        <v>2.3302675194920397E-3</v>
      </c>
      <c r="L92" s="140"/>
      <c r="V92" s="228"/>
    </row>
    <row r="93" spans="1:22">
      <c r="A93" s="132" t="s">
        <v>197</v>
      </c>
      <c r="B93" s="132" t="s">
        <v>38</v>
      </c>
      <c r="C93" s="145" t="s">
        <v>77</v>
      </c>
      <c r="D93" s="146">
        <v>26902.276000000002</v>
      </c>
      <c r="E93" s="146">
        <v>119.17</v>
      </c>
      <c r="F93" s="146">
        <v>56.47</v>
      </c>
      <c r="G93" s="146">
        <v>0</v>
      </c>
      <c r="H93" s="146">
        <v>62.7</v>
      </c>
      <c r="I93" s="140">
        <v>4.4297367256212819E-3</v>
      </c>
      <c r="J93" s="140">
        <v>2.0990789032125012E-3</v>
      </c>
      <c r="K93" s="140">
        <v>2.3306578224087807E-3</v>
      </c>
      <c r="L93" s="140"/>
      <c r="V93" s="228"/>
    </row>
    <row r="94" spans="1:22">
      <c r="A94" s="132" t="s">
        <v>198</v>
      </c>
      <c r="B94" s="132" t="s">
        <v>38</v>
      </c>
      <c r="C94" s="145" t="s">
        <v>78</v>
      </c>
      <c r="D94" s="146">
        <v>26987.8</v>
      </c>
      <c r="E94" s="146">
        <v>136.17000000000002</v>
      </c>
      <c r="F94" s="146">
        <v>73.31</v>
      </c>
      <c r="G94" s="146">
        <v>0</v>
      </c>
      <c r="H94" s="146">
        <v>62.86</v>
      </c>
      <c r="I94" s="140">
        <v>5.0456132030028394E-3</v>
      </c>
      <c r="J94" s="140">
        <v>2.7164126012494535E-3</v>
      </c>
      <c r="K94" s="140">
        <v>2.329200601753385E-3</v>
      </c>
      <c r="L94" s="140"/>
      <c r="V94" s="228"/>
    </row>
    <row r="95" spans="1:22">
      <c r="A95" s="132" t="s">
        <v>199</v>
      </c>
      <c r="B95" s="132" t="s">
        <v>38</v>
      </c>
      <c r="C95" s="145" t="s">
        <v>79</v>
      </c>
      <c r="D95" s="146">
        <v>27080.6</v>
      </c>
      <c r="E95" s="146">
        <v>109.64</v>
      </c>
      <c r="F95" s="146">
        <v>46.45</v>
      </c>
      <c r="G95" s="146">
        <v>0</v>
      </c>
      <c r="H95" s="146">
        <v>63.19</v>
      </c>
      <c r="I95" s="140">
        <v>4.0486547565415833E-3</v>
      </c>
      <c r="J95" s="140">
        <v>1.7152500313877834E-3</v>
      </c>
      <c r="K95" s="140">
        <v>2.3334047251538001E-3</v>
      </c>
      <c r="L95" s="140"/>
      <c r="V95" s="228"/>
    </row>
    <row r="96" spans="1:22">
      <c r="A96" s="132" t="s">
        <v>200</v>
      </c>
      <c r="B96" s="132" t="s">
        <v>38</v>
      </c>
      <c r="C96" s="145" t="s">
        <v>80</v>
      </c>
      <c r="D96" s="146">
        <v>27173.4</v>
      </c>
      <c r="E96" s="146">
        <v>110.15</v>
      </c>
      <c r="F96" s="146">
        <v>46.69</v>
      </c>
      <c r="G96" s="146">
        <v>0</v>
      </c>
      <c r="H96" s="146">
        <v>63.46</v>
      </c>
      <c r="I96" s="140">
        <v>4.0535965319025225E-3</v>
      </c>
      <c r="J96" s="140">
        <v>1.7182244400774285E-3</v>
      </c>
      <c r="K96" s="140">
        <v>2.3353720918250936E-3</v>
      </c>
      <c r="L96" s="140"/>
      <c r="V96" s="228"/>
    </row>
    <row r="97" spans="1:22">
      <c r="A97" s="132" t="s">
        <v>201</v>
      </c>
      <c r="B97" s="132" t="s">
        <v>50</v>
      </c>
      <c r="C97" s="145" t="s">
        <v>96</v>
      </c>
      <c r="D97" s="146">
        <v>41578.134806973998</v>
      </c>
      <c r="E97" s="146">
        <v>50.33</v>
      </c>
      <c r="F97" s="146">
        <v>45.725999999999999</v>
      </c>
      <c r="G97" s="146">
        <v>0</v>
      </c>
      <c r="H97" s="146">
        <v>4.6040000000000001</v>
      </c>
      <c r="I97" s="140">
        <v>1.2104920106122228E-3</v>
      </c>
      <c r="J97" s="140">
        <v>1.0997607327092093E-3</v>
      </c>
      <c r="K97" s="140">
        <v>1.107312779030136E-4</v>
      </c>
      <c r="L97" s="140"/>
      <c r="V97" s="228"/>
    </row>
    <row r="98" spans="1:22">
      <c r="A98" s="132" t="s">
        <v>202</v>
      </c>
      <c r="B98" s="132" t="s">
        <v>50</v>
      </c>
      <c r="C98" s="145" t="s">
        <v>98</v>
      </c>
      <c r="D98" s="146">
        <v>41578.134806973998</v>
      </c>
      <c r="E98" s="146">
        <v>59.82</v>
      </c>
      <c r="F98" s="146">
        <v>53.381250000000001</v>
      </c>
      <c r="G98" s="146">
        <v>0</v>
      </c>
      <c r="H98" s="146">
        <v>6.4387500000000006</v>
      </c>
      <c r="I98" s="140">
        <v>1.4387369774453243E-3</v>
      </c>
      <c r="J98" s="140">
        <v>1.2838779384361956E-3</v>
      </c>
      <c r="K98" s="140">
        <v>1.5485903900912875E-4</v>
      </c>
      <c r="L98" s="140"/>
      <c r="V98" s="228"/>
    </row>
    <row r="99" spans="1:22">
      <c r="A99" s="132" t="s">
        <v>203</v>
      </c>
      <c r="B99" s="132" t="s">
        <v>50</v>
      </c>
      <c r="C99" s="145" t="s">
        <v>100</v>
      </c>
      <c r="D99" s="146">
        <v>41578.134806973998</v>
      </c>
      <c r="E99" s="146">
        <v>50.29</v>
      </c>
      <c r="F99" s="146">
        <v>40.58775</v>
      </c>
      <c r="G99" s="146">
        <v>0</v>
      </c>
      <c r="H99" s="146">
        <v>9.7022499999999994</v>
      </c>
      <c r="I99" s="140">
        <v>1.2095299664949073E-3</v>
      </c>
      <c r="J99" s="140">
        <v>9.761801530643006E-4</v>
      </c>
      <c r="K99" s="140">
        <v>2.3334981343060677E-4</v>
      </c>
      <c r="L99" s="140"/>
      <c r="V99" s="228"/>
    </row>
    <row r="100" spans="1:22">
      <c r="A100" s="132" t="s">
        <v>204</v>
      </c>
      <c r="B100" s="132" t="s">
        <v>50</v>
      </c>
      <c r="C100" s="145" t="s">
        <v>102</v>
      </c>
      <c r="D100" s="146">
        <v>41715.672245102003</v>
      </c>
      <c r="E100" s="146">
        <v>38.29</v>
      </c>
      <c r="F100" s="146">
        <v>24.211499999999997</v>
      </c>
      <c r="G100" s="146">
        <v>0</v>
      </c>
      <c r="H100" s="146">
        <v>14.078500000000002</v>
      </c>
      <c r="I100" s="140">
        <v>9.1788044970306758E-4</v>
      </c>
      <c r="J100" s="140">
        <v>5.8039337968100854E-4</v>
      </c>
      <c r="K100" s="140">
        <v>3.3748707002205898E-4</v>
      </c>
      <c r="L100" s="140"/>
      <c r="V100" s="228"/>
    </row>
    <row r="101" spans="1:22">
      <c r="A101" s="132" t="s">
        <v>205</v>
      </c>
      <c r="B101" s="132" t="s">
        <v>50</v>
      </c>
      <c r="C101" s="145" t="s">
        <v>104</v>
      </c>
      <c r="D101" s="146">
        <v>41881.199636233003</v>
      </c>
      <c r="E101" s="146">
        <v>14.21</v>
      </c>
      <c r="F101" s="146">
        <v>2.7287500000000016</v>
      </c>
      <c r="G101" s="146">
        <v>0</v>
      </c>
      <c r="H101" s="146">
        <v>0</v>
      </c>
      <c r="I101" s="140">
        <v>3.3929305090168419E-4</v>
      </c>
      <c r="J101" s="140">
        <v>6.5154532909779815E-5</v>
      </c>
      <c r="K101" s="140">
        <v>0</v>
      </c>
      <c r="L101" s="140"/>
      <c r="V101" s="228"/>
    </row>
    <row r="102" spans="1:22">
      <c r="A102" s="132" t="s">
        <v>206</v>
      </c>
      <c r="B102" s="132" t="s">
        <v>50</v>
      </c>
      <c r="C102" s="145" t="s">
        <v>106</v>
      </c>
      <c r="D102" s="146">
        <v>42010.7</v>
      </c>
      <c r="E102" s="146">
        <v>17.84</v>
      </c>
      <c r="F102" s="146">
        <v>2.0950000000000006</v>
      </c>
      <c r="G102" s="146">
        <v>0</v>
      </c>
      <c r="H102" s="146">
        <v>0</v>
      </c>
      <c r="I102" s="140">
        <v>4.2465371917154441E-4</v>
      </c>
      <c r="J102" s="140">
        <v>4.9868247851142704E-5</v>
      </c>
      <c r="K102" s="140">
        <v>0</v>
      </c>
      <c r="L102" s="140"/>
      <c r="V102" s="228"/>
    </row>
    <row r="103" spans="1:22">
      <c r="A103" s="132" t="s">
        <v>207</v>
      </c>
      <c r="B103" s="132" t="s">
        <v>50</v>
      </c>
      <c r="C103" s="145" t="s">
        <v>108</v>
      </c>
      <c r="D103" s="146">
        <v>42102.877915341996</v>
      </c>
      <c r="E103" s="146">
        <v>19.222999999999999</v>
      </c>
      <c r="F103" s="146">
        <v>9.5985000000000014</v>
      </c>
      <c r="G103" s="146">
        <v>0</v>
      </c>
      <c r="H103" s="146">
        <v>6.0019999999999998</v>
      </c>
      <c r="I103" s="140">
        <v>4.565721145868575E-4</v>
      </c>
      <c r="J103" s="140">
        <v>2.279772898019015E-4</v>
      </c>
      <c r="K103" s="140">
        <v>1.4255557570360083E-4</v>
      </c>
      <c r="L103" s="140"/>
      <c r="V103" s="228"/>
    </row>
    <row r="104" spans="1:22">
      <c r="A104" s="132" t="s">
        <v>208</v>
      </c>
      <c r="B104" s="132" t="s">
        <v>50</v>
      </c>
      <c r="C104" s="145" t="s">
        <v>110</v>
      </c>
      <c r="D104" s="146">
        <v>42198.05</v>
      </c>
      <c r="E104" s="146">
        <v>13.863</v>
      </c>
      <c r="F104" s="146">
        <v>4.6597499999999998</v>
      </c>
      <c r="G104" s="146">
        <v>0</v>
      </c>
      <c r="H104" s="146">
        <v>1.9730000000000001</v>
      </c>
      <c r="I104" s="140">
        <v>3.2852228953707572E-4</v>
      </c>
      <c r="J104" s="140">
        <v>1.1042571872396946E-4</v>
      </c>
      <c r="K104" s="140">
        <v>4.6755715015267292E-5</v>
      </c>
      <c r="L104" s="140"/>
      <c r="V104" s="228"/>
    </row>
    <row r="105" spans="1:22">
      <c r="A105" s="132" t="s">
        <v>209</v>
      </c>
      <c r="B105" s="132" t="s">
        <v>50</v>
      </c>
      <c r="C105" s="145" t="s">
        <v>112</v>
      </c>
      <c r="D105" s="146">
        <v>42382.02</v>
      </c>
      <c r="E105" s="146">
        <v>14.222000000000001</v>
      </c>
      <c r="F105" s="146">
        <v>1.3115000000000006</v>
      </c>
      <c r="G105" s="146">
        <v>0</v>
      </c>
      <c r="H105" s="146">
        <v>6.9910000000000005</v>
      </c>
      <c r="I105" s="140">
        <v>3.355668276311512E-4</v>
      </c>
      <c r="J105" s="140">
        <v>3.094472608903494E-5</v>
      </c>
      <c r="K105" s="140">
        <v>1.6495202446697917E-4</v>
      </c>
      <c r="L105" s="140"/>
      <c r="V105" s="228"/>
    </row>
    <row r="106" spans="1:22">
      <c r="A106" s="132" t="s">
        <v>210</v>
      </c>
      <c r="B106" s="132" t="s">
        <v>50</v>
      </c>
      <c r="C106" s="145" t="s">
        <v>114</v>
      </c>
      <c r="D106" s="146">
        <v>42538.33</v>
      </c>
      <c r="E106" s="146">
        <v>16.2</v>
      </c>
      <c r="F106" s="146">
        <v>13.901249999999999</v>
      </c>
      <c r="G106" s="146">
        <v>0</v>
      </c>
      <c r="H106" s="146">
        <v>0</v>
      </c>
      <c r="I106" s="140">
        <v>3.8083300402248982E-4</v>
      </c>
      <c r="J106" s="140">
        <v>3.2679350599800226E-4</v>
      </c>
      <c r="K106" s="140">
        <v>0</v>
      </c>
      <c r="L106" s="140"/>
      <c r="V106" s="228"/>
    </row>
    <row r="107" spans="1:22">
      <c r="A107" s="132" t="s">
        <v>211</v>
      </c>
      <c r="B107" s="132" t="s">
        <v>50</v>
      </c>
      <c r="C107" s="145" t="s">
        <v>116</v>
      </c>
      <c r="D107" s="146">
        <v>42736.748795795997</v>
      </c>
      <c r="E107" s="146">
        <v>23.2</v>
      </c>
      <c r="F107" s="146">
        <v>12.8125</v>
      </c>
      <c r="G107" s="146">
        <v>0</v>
      </c>
      <c r="H107" s="146">
        <v>0</v>
      </c>
      <c r="I107" s="140">
        <v>5.4285832810665698E-4</v>
      </c>
      <c r="J107" s="140">
        <v>2.998005314166613E-4</v>
      </c>
      <c r="K107" s="140">
        <v>0</v>
      </c>
      <c r="L107" s="140"/>
      <c r="V107" s="228"/>
    </row>
    <row r="108" spans="1:22">
      <c r="A108" s="132" t="s">
        <v>212</v>
      </c>
      <c r="B108" s="132" t="s">
        <v>50</v>
      </c>
      <c r="C108" s="145" t="s">
        <v>72</v>
      </c>
      <c r="D108" s="146">
        <v>42877.120000000003</v>
      </c>
      <c r="E108" s="146">
        <v>39.200000000000003</v>
      </c>
      <c r="F108" s="146">
        <v>3.8064999999999998</v>
      </c>
      <c r="G108" s="146">
        <v>0</v>
      </c>
      <c r="H108" s="146">
        <v>0</v>
      </c>
      <c r="I108" s="140">
        <v>9.1424050869088225E-4</v>
      </c>
      <c r="J108" s="140">
        <v>8.87769514370368E-5</v>
      </c>
      <c r="K108" s="140">
        <v>0</v>
      </c>
      <c r="L108" s="140"/>
      <c r="V108" s="228"/>
    </row>
    <row r="109" spans="1:22">
      <c r="A109" s="132" t="s">
        <v>213</v>
      </c>
      <c r="B109" s="132" t="s">
        <v>50</v>
      </c>
      <c r="C109" s="145" t="s">
        <v>74</v>
      </c>
      <c r="D109" s="146">
        <v>43032.265664758001</v>
      </c>
      <c r="E109" s="146">
        <v>21</v>
      </c>
      <c r="F109" s="146">
        <v>10</v>
      </c>
      <c r="G109" s="146">
        <v>0</v>
      </c>
      <c r="H109" s="146">
        <v>11</v>
      </c>
      <c r="I109" s="140">
        <v>4.8800591081120566E-4</v>
      </c>
      <c r="J109" s="140">
        <v>2.3238376705295508E-4</v>
      </c>
      <c r="K109" s="140">
        <v>2.5562214375825058E-4</v>
      </c>
      <c r="L109" s="140"/>
      <c r="V109" s="228"/>
    </row>
    <row r="110" spans="1:22">
      <c r="A110" s="132" t="s">
        <v>214</v>
      </c>
      <c r="B110" s="132" t="s">
        <v>50</v>
      </c>
      <c r="C110" s="145" t="s">
        <v>75</v>
      </c>
      <c r="D110" s="146">
        <v>43168.94</v>
      </c>
      <c r="E110" s="146">
        <v>56.267500000000474</v>
      </c>
      <c r="F110" s="146">
        <v>37.667500000000473</v>
      </c>
      <c r="G110" s="146">
        <v>0</v>
      </c>
      <c r="H110" s="146">
        <v>18.600000000000001</v>
      </c>
      <c r="I110" s="140">
        <v>1.3034255647694957E-3</v>
      </c>
      <c r="J110" s="140">
        <v>8.7256022501364344E-4</v>
      </c>
      <c r="K110" s="140">
        <v>4.3086533975585225E-4</v>
      </c>
      <c r="L110" s="140"/>
      <c r="V110" s="228"/>
    </row>
    <row r="111" spans="1:22">
      <c r="A111" s="132" t="s">
        <v>215</v>
      </c>
      <c r="B111" s="132" t="s">
        <v>50</v>
      </c>
      <c r="C111" s="145" t="s">
        <v>76</v>
      </c>
      <c r="D111" s="146">
        <v>43314.720000000001</v>
      </c>
      <c r="E111" s="146">
        <v>134.36675255513566</v>
      </c>
      <c r="F111" s="146">
        <v>39.347586706047963</v>
      </c>
      <c r="G111" s="146">
        <v>0</v>
      </c>
      <c r="H111" s="146">
        <v>95.019165849087699</v>
      </c>
      <c r="I111" s="140">
        <v>3.1021036856554922E-3</v>
      </c>
      <c r="J111" s="140">
        <v>9.0841142932582644E-4</v>
      </c>
      <c r="K111" s="140">
        <v>2.1936922563296655E-3</v>
      </c>
      <c r="L111" s="140"/>
      <c r="V111" s="228"/>
    </row>
    <row r="112" spans="1:22">
      <c r="A112" s="132" t="s">
        <v>216</v>
      </c>
      <c r="B112" s="132" t="s">
        <v>50</v>
      </c>
      <c r="C112" s="145" t="s">
        <v>77</v>
      </c>
      <c r="D112" s="146">
        <v>43510.53</v>
      </c>
      <c r="E112" s="146">
        <v>203.03082057605167</v>
      </c>
      <c r="F112" s="146">
        <v>44.684095598639502</v>
      </c>
      <c r="G112" s="146">
        <v>0</v>
      </c>
      <c r="H112" s="146">
        <v>158.34672497741215</v>
      </c>
      <c r="I112" s="140">
        <v>4.666245632403275E-3</v>
      </c>
      <c r="J112" s="140">
        <v>1.0269719904271335E-3</v>
      </c>
      <c r="K112" s="140">
        <v>3.6392736419761412E-3</v>
      </c>
      <c r="L112" s="140"/>
      <c r="V112" s="228"/>
    </row>
    <row r="113" spans="1:22">
      <c r="A113" s="132" t="s">
        <v>217</v>
      </c>
      <c r="B113" s="132" t="s">
        <v>50</v>
      </c>
      <c r="C113" s="145" t="s">
        <v>78</v>
      </c>
      <c r="D113" s="146">
        <v>43735.16</v>
      </c>
      <c r="E113" s="146">
        <v>186.85332804769268</v>
      </c>
      <c r="F113" s="146">
        <v>43.42679559842523</v>
      </c>
      <c r="G113" s="146">
        <v>0</v>
      </c>
      <c r="H113" s="146">
        <v>143.42653244926746</v>
      </c>
      <c r="I113" s="140">
        <v>4.2723824046303404E-3</v>
      </c>
      <c r="J113" s="140">
        <v>9.9294927921665839E-4</v>
      </c>
      <c r="K113" s="140">
        <v>3.279433125413682E-3</v>
      </c>
      <c r="L113" s="140"/>
      <c r="V113" s="228"/>
    </row>
    <row r="114" spans="1:22">
      <c r="A114" s="132" t="s">
        <v>218</v>
      </c>
      <c r="B114" s="132" t="s">
        <v>50</v>
      </c>
      <c r="C114" s="145" t="s">
        <v>79</v>
      </c>
      <c r="D114" s="146">
        <v>43937.08</v>
      </c>
      <c r="E114" s="146">
        <v>179.12791384455801</v>
      </c>
      <c r="F114" s="146">
        <v>44.525840873473456</v>
      </c>
      <c r="G114" s="146">
        <v>0</v>
      </c>
      <c r="H114" s="146">
        <v>134.60207297108454</v>
      </c>
      <c r="I114" s="140">
        <v>4.0769189451041812E-3</v>
      </c>
      <c r="J114" s="140">
        <v>1.0134000910728127E-3</v>
      </c>
      <c r="K114" s="140">
        <v>3.0635188540313681E-3</v>
      </c>
      <c r="L114" s="140"/>
      <c r="V114" s="228"/>
    </row>
    <row r="115" spans="1:22">
      <c r="A115" s="132" t="s">
        <v>219</v>
      </c>
      <c r="B115" s="132" t="s">
        <v>50</v>
      </c>
      <c r="C115" s="145" t="s">
        <v>80</v>
      </c>
      <c r="D115" s="146">
        <v>44136.65</v>
      </c>
      <c r="E115" s="146">
        <v>224.44271635098198</v>
      </c>
      <c r="F115" s="146">
        <v>48.047666094605077</v>
      </c>
      <c r="G115" s="146">
        <v>0</v>
      </c>
      <c r="H115" s="146">
        <v>176.39505025637692</v>
      </c>
      <c r="I115" s="140">
        <v>5.0851778816693605E-3</v>
      </c>
      <c r="J115" s="140">
        <v>1.088611530204605E-3</v>
      </c>
      <c r="K115" s="140">
        <v>3.9965663514647557E-3</v>
      </c>
      <c r="L115" s="140"/>
      <c r="V115" s="228"/>
    </row>
    <row r="116" spans="1:22">
      <c r="A116" s="132" t="s">
        <v>220</v>
      </c>
      <c r="B116" s="132" t="s">
        <v>39</v>
      </c>
      <c r="C116" s="145" t="s">
        <v>96</v>
      </c>
      <c r="D116" s="146">
        <v>3263.7</v>
      </c>
      <c r="E116" s="146">
        <v>23.2</v>
      </c>
      <c r="F116" s="146">
        <v>23.2</v>
      </c>
      <c r="G116" s="146">
        <v>0</v>
      </c>
      <c r="H116" s="146">
        <v>0</v>
      </c>
      <c r="I116" s="140">
        <v>7.1084964917118611E-3</v>
      </c>
      <c r="J116" s="140">
        <v>7.1084964917118611E-3</v>
      </c>
      <c r="K116" s="140">
        <v>0</v>
      </c>
      <c r="L116" s="140"/>
      <c r="V116" s="228"/>
    </row>
    <row r="117" spans="1:22">
      <c r="A117" s="132" t="s">
        <v>221</v>
      </c>
      <c r="B117" s="132" t="s">
        <v>39</v>
      </c>
      <c r="C117" s="145" t="s">
        <v>98</v>
      </c>
      <c r="D117" s="146">
        <v>3270.5</v>
      </c>
      <c r="E117" s="146">
        <v>18.399999999999999</v>
      </c>
      <c r="F117" s="146">
        <v>18.399999999999999</v>
      </c>
      <c r="G117" s="146">
        <v>0</v>
      </c>
      <c r="H117" s="146">
        <v>0</v>
      </c>
      <c r="I117" s="140">
        <v>5.6260510625286645E-3</v>
      </c>
      <c r="J117" s="140">
        <v>5.6260510625286645E-3</v>
      </c>
      <c r="K117" s="140">
        <v>0</v>
      </c>
      <c r="L117" s="140"/>
      <c r="V117" s="228"/>
    </row>
    <row r="118" spans="1:22">
      <c r="A118" s="132" t="s">
        <v>222</v>
      </c>
      <c r="B118" s="132" t="s">
        <v>39</v>
      </c>
      <c r="C118" s="145" t="s">
        <v>100</v>
      </c>
      <c r="D118" s="146">
        <v>3280.1</v>
      </c>
      <c r="E118" s="146">
        <v>24.1</v>
      </c>
      <c r="F118" s="146">
        <v>24.1</v>
      </c>
      <c r="G118" s="146">
        <v>0</v>
      </c>
      <c r="H118" s="146">
        <v>0</v>
      </c>
      <c r="I118" s="140">
        <v>7.3473369714337983E-3</v>
      </c>
      <c r="J118" s="140">
        <v>7.3473369714337983E-3</v>
      </c>
      <c r="K118" s="140">
        <v>0</v>
      </c>
      <c r="L118" s="140"/>
      <c r="V118" s="228"/>
    </row>
    <row r="119" spans="1:22">
      <c r="A119" s="132" t="s">
        <v>223</v>
      </c>
      <c r="B119" s="132" t="s">
        <v>39</v>
      </c>
      <c r="C119" s="145" t="s">
        <v>102</v>
      </c>
      <c r="D119" s="146">
        <v>3291.8</v>
      </c>
      <c r="E119" s="146">
        <v>14.5</v>
      </c>
      <c r="F119" s="146">
        <v>14.5</v>
      </c>
      <c r="G119" s="146">
        <v>0</v>
      </c>
      <c r="H119" s="146">
        <v>0</v>
      </c>
      <c r="I119" s="140">
        <v>4.4048848654231728E-3</v>
      </c>
      <c r="J119" s="140">
        <v>4.4048848654231728E-3</v>
      </c>
      <c r="K119" s="140">
        <v>0</v>
      </c>
      <c r="L119" s="140"/>
      <c r="V119" s="228"/>
    </row>
    <row r="120" spans="1:22">
      <c r="A120" s="132" t="s">
        <v>224</v>
      </c>
      <c r="B120" s="132" t="s">
        <v>39</v>
      </c>
      <c r="C120" s="145" t="s">
        <v>104</v>
      </c>
      <c r="D120" s="146">
        <v>3306.8</v>
      </c>
      <c r="E120" s="146">
        <v>10.8</v>
      </c>
      <c r="F120" s="146">
        <v>10.8</v>
      </c>
      <c r="G120" s="146">
        <v>0</v>
      </c>
      <c r="H120" s="146">
        <v>0</v>
      </c>
      <c r="I120" s="140">
        <v>3.2659973388169832E-3</v>
      </c>
      <c r="J120" s="140">
        <v>3.2659973388169832E-3</v>
      </c>
      <c r="K120" s="140">
        <v>0</v>
      </c>
      <c r="L120" s="140"/>
      <c r="V120" s="228"/>
    </row>
    <row r="121" spans="1:22">
      <c r="A121" s="132" t="s">
        <v>225</v>
      </c>
      <c r="B121" s="132" t="s">
        <v>39</v>
      </c>
      <c r="C121" s="145" t="s">
        <v>106</v>
      </c>
      <c r="D121" s="146">
        <v>3324</v>
      </c>
      <c r="E121" s="146">
        <v>20.9</v>
      </c>
      <c r="F121" s="146">
        <v>20.9</v>
      </c>
      <c r="G121" s="146">
        <v>0</v>
      </c>
      <c r="H121" s="146">
        <v>0</v>
      </c>
      <c r="I121" s="140">
        <v>6.2876052948255112E-3</v>
      </c>
      <c r="J121" s="140">
        <v>6.2876052948255112E-3</v>
      </c>
      <c r="K121" s="140">
        <v>0</v>
      </c>
      <c r="L121" s="140"/>
      <c r="V121" s="228"/>
    </row>
    <row r="122" spans="1:22">
      <c r="A122" s="132" t="s">
        <v>226</v>
      </c>
      <c r="B122" s="132" t="s">
        <v>39</v>
      </c>
      <c r="C122" s="145" t="s">
        <v>108</v>
      </c>
      <c r="D122" s="146">
        <v>3336.5</v>
      </c>
      <c r="E122" s="146">
        <v>22</v>
      </c>
      <c r="F122" s="146">
        <v>22</v>
      </c>
      <c r="G122" s="146">
        <v>0</v>
      </c>
      <c r="H122" s="146">
        <v>0</v>
      </c>
      <c r="I122" s="140">
        <v>6.5937359508466955E-3</v>
      </c>
      <c r="J122" s="140">
        <v>6.5937359508466955E-3</v>
      </c>
      <c r="K122" s="140">
        <v>0</v>
      </c>
      <c r="L122" s="140"/>
      <c r="V122" s="228"/>
    </row>
    <row r="123" spans="1:22">
      <c r="A123" s="132" t="s">
        <v>227</v>
      </c>
      <c r="B123" s="132" t="s">
        <v>39</v>
      </c>
      <c r="C123" s="145" t="s">
        <v>110</v>
      </c>
      <c r="D123" s="146">
        <v>3348.6</v>
      </c>
      <c r="E123" s="146">
        <v>21.9</v>
      </c>
      <c r="F123" s="146">
        <v>21.9</v>
      </c>
      <c r="G123" s="146">
        <v>0</v>
      </c>
      <c r="H123" s="146">
        <v>0</v>
      </c>
      <c r="I123" s="140">
        <v>6.5400465866332193E-3</v>
      </c>
      <c r="J123" s="140">
        <v>6.5400465866332193E-3</v>
      </c>
      <c r="K123" s="140">
        <v>0</v>
      </c>
      <c r="L123" s="140"/>
      <c r="V123" s="228"/>
    </row>
    <row r="124" spans="1:22">
      <c r="A124" s="132" t="s">
        <v>228</v>
      </c>
      <c r="B124" s="132" t="s">
        <v>39</v>
      </c>
      <c r="C124" s="145" t="s">
        <v>112</v>
      </c>
      <c r="D124" s="146">
        <v>3358.6</v>
      </c>
      <c r="E124" s="146">
        <v>15</v>
      </c>
      <c r="F124" s="146">
        <v>15</v>
      </c>
      <c r="G124" s="146">
        <v>0</v>
      </c>
      <c r="H124" s="146">
        <v>0</v>
      </c>
      <c r="I124" s="140">
        <v>4.4661466087060082E-3</v>
      </c>
      <c r="J124" s="140">
        <v>4.4661466087060082E-3</v>
      </c>
      <c r="K124" s="140">
        <v>0</v>
      </c>
      <c r="L124" s="140"/>
      <c r="V124" s="228"/>
    </row>
    <row r="125" spans="1:22">
      <c r="A125" s="132" t="s">
        <v>229</v>
      </c>
      <c r="B125" s="132" t="s">
        <v>39</v>
      </c>
      <c r="C125" s="145" t="s">
        <v>114</v>
      </c>
      <c r="D125" s="146">
        <v>3369.6</v>
      </c>
      <c r="E125" s="146">
        <v>8.5</v>
      </c>
      <c r="F125" s="146">
        <v>8.5</v>
      </c>
      <c r="G125" s="146">
        <v>0</v>
      </c>
      <c r="H125" s="146">
        <v>0</v>
      </c>
      <c r="I125" s="140">
        <v>2.5225546058879394E-3</v>
      </c>
      <c r="J125" s="140">
        <v>2.5225546058879394E-3</v>
      </c>
      <c r="K125" s="140">
        <v>0</v>
      </c>
      <c r="L125" s="140"/>
      <c r="V125" s="228"/>
    </row>
    <row r="126" spans="1:22">
      <c r="A126" s="132" t="s">
        <v>230</v>
      </c>
      <c r="B126" s="132" t="s">
        <v>39</v>
      </c>
      <c r="C126" s="145" t="s">
        <v>116</v>
      </c>
      <c r="D126" s="146">
        <v>3378.8</v>
      </c>
      <c r="E126" s="146">
        <v>16.7</v>
      </c>
      <c r="F126" s="146">
        <v>16.7</v>
      </c>
      <c r="G126" s="146">
        <v>0</v>
      </c>
      <c r="H126" s="146">
        <v>0</v>
      </c>
      <c r="I126" s="140">
        <v>4.9425831656209297E-3</v>
      </c>
      <c r="J126" s="140">
        <v>4.9425831656209297E-3</v>
      </c>
      <c r="K126" s="140">
        <v>0</v>
      </c>
      <c r="L126" s="140"/>
      <c r="V126" s="228"/>
    </row>
    <row r="127" spans="1:22">
      <c r="A127" s="132" t="s">
        <v>231</v>
      </c>
      <c r="B127" s="132" t="s">
        <v>39</v>
      </c>
      <c r="C127" s="145" t="s">
        <v>72</v>
      </c>
      <c r="D127" s="146">
        <v>3386.5</v>
      </c>
      <c r="E127" s="146">
        <v>11.3</v>
      </c>
      <c r="F127" s="146">
        <v>11.3</v>
      </c>
      <c r="G127" s="146">
        <v>0</v>
      </c>
      <c r="H127" s="146">
        <v>0</v>
      </c>
      <c r="I127" s="140">
        <v>3.3367783847630299E-3</v>
      </c>
      <c r="J127" s="140">
        <v>3.3367783847630299E-3</v>
      </c>
      <c r="K127" s="140">
        <v>0</v>
      </c>
      <c r="L127" s="140"/>
      <c r="V127" s="228"/>
    </row>
    <row r="128" spans="1:22">
      <c r="A128" s="132" t="s">
        <v>232</v>
      </c>
      <c r="B128" s="132" t="s">
        <v>39</v>
      </c>
      <c r="C128" s="145" t="s">
        <v>74</v>
      </c>
      <c r="D128" s="146">
        <v>3409</v>
      </c>
      <c r="E128" s="146">
        <v>10.7</v>
      </c>
      <c r="F128" s="146">
        <v>10.7</v>
      </c>
      <c r="G128" s="146">
        <v>0</v>
      </c>
      <c r="H128" s="146">
        <v>0</v>
      </c>
      <c r="I128" s="140">
        <v>3.1387503666764445E-3</v>
      </c>
      <c r="J128" s="140">
        <v>3.1387503666764445E-3</v>
      </c>
      <c r="K128" s="140">
        <v>0</v>
      </c>
      <c r="L128" s="140"/>
      <c r="V128" s="228"/>
    </row>
    <row r="129" spans="1:22">
      <c r="A129" s="132" t="s">
        <v>233</v>
      </c>
      <c r="B129" s="132" t="s">
        <v>39</v>
      </c>
      <c r="C129" s="145" t="s">
        <v>75</v>
      </c>
      <c r="D129" s="146">
        <v>3402.5</v>
      </c>
      <c r="E129" s="146">
        <v>12.5</v>
      </c>
      <c r="F129" s="146">
        <v>12.5</v>
      </c>
      <c r="G129" s="146">
        <v>0</v>
      </c>
      <c r="H129" s="146">
        <v>0</v>
      </c>
      <c r="I129" s="140">
        <v>3.6737692872887582E-3</v>
      </c>
      <c r="J129" s="140">
        <v>3.6737692872887582E-3</v>
      </c>
      <c r="K129" s="140">
        <v>0</v>
      </c>
      <c r="L129" s="140"/>
      <c r="V129" s="228"/>
    </row>
    <row r="130" spans="1:22">
      <c r="A130" s="132" t="s">
        <v>234</v>
      </c>
      <c r="B130" s="132" t="s">
        <v>39</v>
      </c>
      <c r="C130" s="145" t="s">
        <v>76</v>
      </c>
      <c r="D130" s="146">
        <v>3411.5</v>
      </c>
      <c r="E130" s="146">
        <v>8.1999999999999993</v>
      </c>
      <c r="F130" s="146">
        <v>8.1999999999999993</v>
      </c>
      <c r="G130" s="146">
        <v>0</v>
      </c>
      <c r="H130" s="146">
        <v>0</v>
      </c>
      <c r="I130" s="140">
        <v>2.4036347647662317E-3</v>
      </c>
      <c r="J130" s="140">
        <v>2.4036347647662317E-3</v>
      </c>
      <c r="K130" s="140">
        <v>0</v>
      </c>
      <c r="L130" s="140"/>
      <c r="V130" s="228"/>
    </row>
    <row r="131" spans="1:22">
      <c r="A131" s="132" t="s">
        <v>235</v>
      </c>
      <c r="B131" s="132" t="s">
        <v>39</v>
      </c>
      <c r="C131" s="145" t="s">
        <v>77</v>
      </c>
      <c r="D131" s="146">
        <v>3423.5</v>
      </c>
      <c r="E131" s="146">
        <v>8.1999999999999993</v>
      </c>
      <c r="F131" s="146">
        <v>8.1999999999999993</v>
      </c>
      <c r="G131" s="146">
        <v>0</v>
      </c>
      <c r="H131" s="146">
        <v>0</v>
      </c>
      <c r="I131" s="140">
        <v>2.3952095808383233E-3</v>
      </c>
      <c r="J131" s="140">
        <v>2.3952095808383233E-3</v>
      </c>
      <c r="K131" s="140">
        <v>0</v>
      </c>
      <c r="L131" s="140"/>
      <c r="V131" s="228"/>
    </row>
    <row r="132" spans="1:22">
      <c r="A132" s="132" t="s">
        <v>236</v>
      </c>
      <c r="B132" s="132" t="s">
        <v>39</v>
      </c>
      <c r="C132" s="145" t="s">
        <v>78</v>
      </c>
      <c r="D132" s="146">
        <v>3434.5</v>
      </c>
      <c r="E132" s="146">
        <v>8.1999999999999993</v>
      </c>
      <c r="F132" s="146">
        <v>8.1999999999999993</v>
      </c>
      <c r="G132" s="146">
        <v>0</v>
      </c>
      <c r="H132" s="146">
        <v>0</v>
      </c>
      <c r="I132" s="140">
        <v>2.3875382151696024E-3</v>
      </c>
      <c r="J132" s="140">
        <v>2.3875382151696024E-3</v>
      </c>
      <c r="K132" s="140">
        <v>0</v>
      </c>
      <c r="L132" s="140"/>
      <c r="V132" s="228"/>
    </row>
    <row r="133" spans="1:22">
      <c r="A133" s="132" t="s">
        <v>237</v>
      </c>
      <c r="B133" s="132" t="s">
        <v>39</v>
      </c>
      <c r="C133" s="145" t="s">
        <v>79</v>
      </c>
      <c r="D133" s="146">
        <v>3445.5</v>
      </c>
      <c r="E133" s="146">
        <v>8.1999999999999993</v>
      </c>
      <c r="F133" s="146">
        <v>8.1999999999999993</v>
      </c>
      <c r="G133" s="146">
        <v>0</v>
      </c>
      <c r="H133" s="146">
        <v>0</v>
      </c>
      <c r="I133" s="140">
        <v>2.3799158322449568E-3</v>
      </c>
      <c r="J133" s="140">
        <v>2.3799158322449568E-3</v>
      </c>
      <c r="K133" s="140">
        <v>0</v>
      </c>
      <c r="L133" s="140"/>
      <c r="V133" s="228"/>
    </row>
    <row r="134" spans="1:22">
      <c r="A134" s="132" t="s">
        <v>238</v>
      </c>
      <c r="B134" s="132" t="s">
        <v>39</v>
      </c>
      <c r="C134" s="145" t="s">
        <v>80</v>
      </c>
      <c r="D134" s="146">
        <v>3455.5</v>
      </c>
      <c r="E134" s="146">
        <v>8.1999999999999993</v>
      </c>
      <c r="F134" s="146">
        <v>8.1999999999999993</v>
      </c>
      <c r="G134" s="146">
        <v>0</v>
      </c>
      <c r="H134" s="146">
        <v>0</v>
      </c>
      <c r="I134" s="140">
        <v>2.3730285052814353E-3</v>
      </c>
      <c r="J134" s="140">
        <v>2.3730285052814353E-3</v>
      </c>
      <c r="K134" s="140">
        <v>0</v>
      </c>
      <c r="L134" s="140"/>
      <c r="V134" s="228"/>
    </row>
    <row r="135" spans="1:22">
      <c r="A135" s="132" t="s">
        <v>239</v>
      </c>
      <c r="B135" s="132" t="s">
        <v>41</v>
      </c>
      <c r="C135" s="145" t="s">
        <v>96</v>
      </c>
      <c r="D135" s="146">
        <v>3436.83</v>
      </c>
      <c r="E135" s="146">
        <v>14.271000000000001</v>
      </c>
      <c r="F135" s="146">
        <v>14.271000000000001</v>
      </c>
      <c r="G135" s="146">
        <v>0</v>
      </c>
      <c r="H135" s="146">
        <v>0</v>
      </c>
      <c r="I135" s="140">
        <v>4.152372971604648E-3</v>
      </c>
      <c r="J135" s="140">
        <v>4.152372971604648E-3</v>
      </c>
      <c r="K135" s="140">
        <v>0</v>
      </c>
      <c r="L135" s="140"/>
      <c r="V135" s="228"/>
    </row>
    <row r="136" spans="1:22">
      <c r="A136" s="132" t="s">
        <v>240</v>
      </c>
      <c r="B136" s="132" t="s">
        <v>41</v>
      </c>
      <c r="C136" s="145" t="s">
        <v>98</v>
      </c>
      <c r="D136" s="146">
        <v>3445.1509376296362</v>
      </c>
      <c r="E136" s="146">
        <v>12.31086</v>
      </c>
      <c r="F136" s="146">
        <v>12.31086</v>
      </c>
      <c r="G136" s="146">
        <v>0</v>
      </c>
      <c r="H136" s="146">
        <v>0</v>
      </c>
      <c r="I136" s="140">
        <v>3.5733877043048305E-3</v>
      </c>
      <c r="J136" s="140">
        <v>3.5733877043048305E-3</v>
      </c>
      <c r="K136" s="140">
        <v>0</v>
      </c>
      <c r="L136" s="140"/>
      <c r="V136" s="228"/>
    </row>
    <row r="137" spans="1:22">
      <c r="A137" s="132" t="s">
        <v>241</v>
      </c>
      <c r="B137" s="132" t="s">
        <v>41</v>
      </c>
      <c r="C137" s="145" t="s">
        <v>100</v>
      </c>
      <c r="D137" s="146">
        <v>3446.83</v>
      </c>
      <c r="E137" s="146">
        <v>21.68</v>
      </c>
      <c r="F137" s="146">
        <v>21.68</v>
      </c>
      <c r="G137" s="146">
        <v>0</v>
      </c>
      <c r="H137" s="146">
        <v>0</v>
      </c>
      <c r="I137" s="140">
        <v>6.2898373287919628E-3</v>
      </c>
      <c r="J137" s="140">
        <v>6.2898373287919628E-3</v>
      </c>
      <c r="K137" s="140">
        <v>0</v>
      </c>
      <c r="L137" s="140"/>
      <c r="V137" s="228"/>
    </row>
    <row r="138" spans="1:22">
      <c r="A138" s="132" t="s">
        <v>242</v>
      </c>
      <c r="B138" s="132" t="s">
        <v>41</v>
      </c>
      <c r="C138" s="145" t="s">
        <v>102</v>
      </c>
      <c r="D138" s="146">
        <v>3458.58</v>
      </c>
      <c r="E138" s="146">
        <v>43.67</v>
      </c>
      <c r="F138" s="146">
        <v>43.67</v>
      </c>
      <c r="G138" s="146">
        <v>0</v>
      </c>
      <c r="H138" s="146">
        <v>0</v>
      </c>
      <c r="I138" s="140">
        <v>1.262656928566059E-2</v>
      </c>
      <c r="J138" s="140">
        <v>1.262656928566059E-2</v>
      </c>
      <c r="K138" s="140">
        <v>0</v>
      </c>
      <c r="L138" s="140"/>
      <c r="V138" s="228"/>
    </row>
    <row r="139" spans="1:22">
      <c r="A139" s="132" t="s">
        <v>243</v>
      </c>
      <c r="B139" s="132" t="s">
        <v>41</v>
      </c>
      <c r="C139" s="145" t="s">
        <v>104</v>
      </c>
      <c r="D139" s="146">
        <v>3465.6258662878899</v>
      </c>
      <c r="E139" s="146">
        <v>22.18</v>
      </c>
      <c r="F139" s="146">
        <v>22.18</v>
      </c>
      <c r="G139" s="146">
        <v>0</v>
      </c>
      <c r="H139" s="146">
        <v>0</v>
      </c>
      <c r="I139" s="140">
        <v>6.3999984002189765E-3</v>
      </c>
      <c r="J139" s="140">
        <v>6.3999984002189765E-3</v>
      </c>
      <c r="K139" s="140">
        <v>0</v>
      </c>
      <c r="L139" s="140"/>
      <c r="V139" s="228"/>
    </row>
    <row r="140" spans="1:22">
      <c r="A140" s="132" t="s">
        <v>244</v>
      </c>
      <c r="B140" s="132" t="s">
        <v>41</v>
      </c>
      <c r="C140" s="145" t="s">
        <v>106</v>
      </c>
      <c r="D140" s="146">
        <v>3484.2994232234901</v>
      </c>
      <c r="E140" s="146">
        <v>11.5</v>
      </c>
      <c r="F140" s="146">
        <v>11.5</v>
      </c>
      <c r="G140" s="146">
        <v>0</v>
      </c>
      <c r="H140" s="146">
        <v>0</v>
      </c>
      <c r="I140" s="140">
        <v>3.3005200194192283E-3</v>
      </c>
      <c r="J140" s="140">
        <v>3.3005200194192283E-3</v>
      </c>
      <c r="K140" s="140">
        <v>0</v>
      </c>
      <c r="L140" s="140"/>
      <c r="V140" s="228"/>
    </row>
    <row r="141" spans="1:22">
      <c r="A141" s="132" t="s">
        <v>245</v>
      </c>
      <c r="B141" s="132" t="s">
        <v>41</v>
      </c>
      <c r="C141" s="145" t="s">
        <v>108</v>
      </c>
      <c r="D141" s="146">
        <v>3474.6894232234899</v>
      </c>
      <c r="E141" s="146">
        <v>15.6</v>
      </c>
      <c r="F141" s="146">
        <v>15.6</v>
      </c>
      <c r="G141" s="146">
        <v>0</v>
      </c>
      <c r="H141" s="146">
        <v>0</v>
      </c>
      <c r="I141" s="140">
        <v>4.4896098902352504E-3</v>
      </c>
      <c r="J141" s="140">
        <v>4.4896098902352504E-3</v>
      </c>
      <c r="K141" s="140">
        <v>0</v>
      </c>
      <c r="L141" s="140"/>
      <c r="V141" s="228"/>
    </row>
    <row r="142" spans="1:22">
      <c r="A142" s="132" t="s">
        <v>246</v>
      </c>
      <c r="B142" s="132" t="s">
        <v>41</v>
      </c>
      <c r="C142" s="145" t="s">
        <v>110</v>
      </c>
      <c r="D142" s="146">
        <v>3481.0494232234896</v>
      </c>
      <c r="E142" s="146">
        <v>10.299999999999997</v>
      </c>
      <c r="F142" s="146">
        <v>10.299999999999997</v>
      </c>
      <c r="G142" s="146">
        <v>0</v>
      </c>
      <c r="H142" s="146">
        <v>0</v>
      </c>
      <c r="I142" s="140">
        <v>2.9588778404823924E-3</v>
      </c>
      <c r="J142" s="140">
        <v>2.9588778404823924E-3</v>
      </c>
      <c r="K142" s="140">
        <v>0</v>
      </c>
      <c r="L142" s="140"/>
      <c r="V142" s="228"/>
    </row>
    <row r="143" spans="1:22">
      <c r="A143" s="132" t="s">
        <v>247</v>
      </c>
      <c r="B143" s="132" t="s">
        <v>41</v>
      </c>
      <c r="C143" s="145" t="s">
        <v>112</v>
      </c>
      <c r="D143" s="146">
        <v>3499.7194232234897</v>
      </c>
      <c r="E143" s="146">
        <v>16.507839679634642</v>
      </c>
      <c r="F143" s="146">
        <v>16.507839679634642</v>
      </c>
      <c r="G143" s="146">
        <v>0</v>
      </c>
      <c r="H143" s="146">
        <v>0</v>
      </c>
      <c r="I143" s="140">
        <v>4.716903752367026E-3</v>
      </c>
      <c r="J143" s="140">
        <v>4.716903752367026E-3</v>
      </c>
      <c r="K143" s="140">
        <v>0</v>
      </c>
      <c r="L143" s="140"/>
      <c r="V143" s="228"/>
    </row>
    <row r="144" spans="1:22">
      <c r="A144" s="132" t="s">
        <v>248</v>
      </c>
      <c r="B144" s="132" t="s">
        <v>41</v>
      </c>
      <c r="C144" s="145" t="s">
        <v>114</v>
      </c>
      <c r="D144" s="146">
        <v>3519.4719037943069</v>
      </c>
      <c r="E144" s="146">
        <v>3.6212028908738301</v>
      </c>
      <c r="F144" s="146">
        <v>3.6212028908738301</v>
      </c>
      <c r="G144" s="146">
        <v>0</v>
      </c>
      <c r="H144" s="146">
        <v>0</v>
      </c>
      <c r="I144" s="140">
        <v>1.0289051851699251E-3</v>
      </c>
      <c r="J144" s="140">
        <v>1.0289051851699251E-3</v>
      </c>
      <c r="K144" s="140">
        <v>0</v>
      </c>
      <c r="L144" s="140"/>
      <c r="V144" s="228"/>
    </row>
    <row r="145" spans="1:22">
      <c r="A145" s="132" t="s">
        <v>249</v>
      </c>
      <c r="B145" s="132" t="s">
        <v>41</v>
      </c>
      <c r="C145" s="145" t="s">
        <v>116</v>
      </c>
      <c r="D145" s="146">
        <v>3524.2178371960154</v>
      </c>
      <c r="E145" s="146">
        <v>8.08</v>
      </c>
      <c r="F145" s="146">
        <v>8.08</v>
      </c>
      <c r="G145" s="146">
        <v>0</v>
      </c>
      <c r="H145" s="146">
        <v>0</v>
      </c>
      <c r="I145" s="140">
        <v>2.2927073107457843E-3</v>
      </c>
      <c r="J145" s="140">
        <v>2.2927073107457843E-3</v>
      </c>
      <c r="K145" s="140">
        <v>0</v>
      </c>
      <c r="L145" s="140"/>
      <c r="V145" s="228"/>
    </row>
    <row r="146" spans="1:22">
      <c r="A146" s="132" t="s">
        <v>250</v>
      </c>
      <c r="B146" s="132" t="s">
        <v>41</v>
      </c>
      <c r="C146" s="145" t="s">
        <v>72</v>
      </c>
      <c r="D146" s="146">
        <v>3521.7478371960151</v>
      </c>
      <c r="E146" s="146">
        <v>16.245374862514026</v>
      </c>
      <c r="F146" s="146">
        <v>16.245374862514026</v>
      </c>
      <c r="G146" s="146">
        <v>0</v>
      </c>
      <c r="H146" s="146">
        <v>0</v>
      </c>
      <c r="I146" s="140">
        <v>4.6128728158596538E-3</v>
      </c>
      <c r="J146" s="140">
        <v>4.6128728158596538E-3</v>
      </c>
      <c r="K146" s="140">
        <v>0</v>
      </c>
      <c r="L146" s="140"/>
      <c r="V146" s="228"/>
    </row>
    <row r="147" spans="1:22">
      <c r="A147" s="132" t="s">
        <v>251</v>
      </c>
      <c r="B147" s="132" t="s">
        <v>41</v>
      </c>
      <c r="C147" s="145" t="s">
        <v>74</v>
      </c>
      <c r="D147" s="146">
        <v>3526.8</v>
      </c>
      <c r="E147" s="146">
        <v>6.2</v>
      </c>
      <c r="F147" s="146">
        <v>6.2</v>
      </c>
      <c r="G147" s="146">
        <v>0</v>
      </c>
      <c r="H147" s="146">
        <v>0</v>
      </c>
      <c r="I147" s="140">
        <v>1.7579675626630373E-3</v>
      </c>
      <c r="J147" s="140">
        <v>1.7579675626630373E-3</v>
      </c>
      <c r="K147" s="140">
        <v>0</v>
      </c>
      <c r="L147" s="140"/>
      <c r="V147" s="228"/>
    </row>
    <row r="148" spans="1:22">
      <c r="A148" s="132" t="s">
        <v>252</v>
      </c>
      <c r="B148" s="132" t="s">
        <v>41</v>
      </c>
      <c r="C148" s="145" t="s">
        <v>75</v>
      </c>
      <c r="D148" s="146">
        <v>3538.5932808299999</v>
      </c>
      <c r="E148" s="146">
        <v>10.599670830000001</v>
      </c>
      <c r="F148" s="146">
        <v>10.599670830000001</v>
      </c>
      <c r="G148" s="146">
        <v>0</v>
      </c>
      <c r="H148" s="146">
        <v>0</v>
      </c>
      <c r="I148" s="140">
        <v>2.9954476224839776E-3</v>
      </c>
      <c r="J148" s="140">
        <v>2.9954476224839776E-3</v>
      </c>
      <c r="K148" s="140">
        <v>0</v>
      </c>
      <c r="L148" s="140"/>
      <c r="V148" s="228"/>
    </row>
    <row r="149" spans="1:22">
      <c r="A149" s="132" t="s">
        <v>253</v>
      </c>
      <c r="B149" s="132" t="s">
        <v>41</v>
      </c>
      <c r="C149" s="145" t="s">
        <v>76</v>
      </c>
      <c r="D149" s="146">
        <v>3543.97906067249</v>
      </c>
      <c r="E149" s="146">
        <v>10.615779842489999</v>
      </c>
      <c r="F149" s="146">
        <v>10.615779842489999</v>
      </c>
      <c r="G149" s="146">
        <v>0</v>
      </c>
      <c r="H149" s="146">
        <v>0</v>
      </c>
      <c r="I149" s="140">
        <v>2.9954409043476673E-3</v>
      </c>
      <c r="J149" s="140">
        <v>2.9954409043476673E-3</v>
      </c>
      <c r="K149" s="140">
        <v>0</v>
      </c>
      <c r="L149" s="140"/>
      <c r="V149" s="228"/>
    </row>
    <row r="150" spans="1:22">
      <c r="A150" s="132" t="s">
        <v>254</v>
      </c>
      <c r="B150" s="132" t="s">
        <v>41</v>
      </c>
      <c r="C150" s="145" t="s">
        <v>77</v>
      </c>
      <c r="D150" s="146">
        <v>3549.3809978545069</v>
      </c>
      <c r="E150" s="146">
        <v>10.63193718201747</v>
      </c>
      <c r="F150" s="146">
        <v>10.63193718201747</v>
      </c>
      <c r="G150" s="146">
        <v>0</v>
      </c>
      <c r="H150" s="146">
        <v>0</v>
      </c>
      <c r="I150" s="140">
        <v>2.9954341865367942E-3</v>
      </c>
      <c r="J150" s="140">
        <v>2.9954341865367942E-3</v>
      </c>
      <c r="K150" s="140">
        <v>0</v>
      </c>
      <c r="L150" s="140"/>
      <c r="V150" s="228"/>
    </row>
    <row r="151" spans="1:22">
      <c r="A151" s="132" t="s">
        <v>255</v>
      </c>
      <c r="B151" s="132" t="s">
        <v>41</v>
      </c>
      <c r="C151" s="145" t="s">
        <v>78</v>
      </c>
      <c r="D151" s="146">
        <v>3554.7991408480711</v>
      </c>
      <c r="E151" s="146">
        <v>10.648142993563519</v>
      </c>
      <c r="F151" s="146">
        <v>10.648142993563519</v>
      </c>
      <c r="G151" s="146">
        <v>0</v>
      </c>
      <c r="H151" s="146">
        <v>0</v>
      </c>
      <c r="I151" s="140">
        <v>2.9954274690814691E-3</v>
      </c>
      <c r="J151" s="140">
        <v>2.9954274690814691E-3</v>
      </c>
      <c r="K151" s="140">
        <v>0</v>
      </c>
      <c r="L151" s="140"/>
      <c r="V151" s="228"/>
    </row>
    <row r="152" spans="1:22">
      <c r="A152" s="132" t="s">
        <v>256</v>
      </c>
      <c r="B152" s="132" t="s">
        <v>41</v>
      </c>
      <c r="C152" s="145" t="s">
        <v>79</v>
      </c>
      <c r="D152" s="146">
        <v>3560.2335382706151</v>
      </c>
      <c r="E152" s="146">
        <v>10.66439742254421</v>
      </c>
      <c r="F152" s="146">
        <v>10.66439742254421</v>
      </c>
      <c r="G152" s="146">
        <v>0</v>
      </c>
      <c r="H152" s="146">
        <v>0</v>
      </c>
      <c r="I152" s="140">
        <v>2.9954207520118035E-3</v>
      </c>
      <c r="J152" s="140">
        <v>2.9954207520118035E-3</v>
      </c>
      <c r="K152" s="140">
        <v>0</v>
      </c>
      <c r="L152" s="140"/>
      <c r="V152" s="228"/>
    </row>
    <row r="153" spans="1:22">
      <c r="A153" s="132" t="s">
        <v>257</v>
      </c>
      <c r="B153" s="132" t="s">
        <v>41</v>
      </c>
      <c r="C153" s="145" t="s">
        <v>80</v>
      </c>
      <c r="D153" s="146">
        <v>3565.684238885427</v>
      </c>
      <c r="E153" s="146">
        <v>10.680700614811849</v>
      </c>
      <c r="F153" s="146">
        <v>10.680700614811849</v>
      </c>
      <c r="G153" s="146">
        <v>0</v>
      </c>
      <c r="H153" s="146">
        <v>0</v>
      </c>
      <c r="I153" s="140">
        <v>2.9954140353578972E-3</v>
      </c>
      <c r="J153" s="140">
        <v>2.9954140353578972E-3</v>
      </c>
      <c r="K153" s="140">
        <v>0</v>
      </c>
      <c r="L153" s="140"/>
      <c r="V153" s="228"/>
    </row>
    <row r="154" spans="1:22">
      <c r="A154" s="132" t="s">
        <v>258</v>
      </c>
      <c r="B154" s="132" t="s">
        <v>42</v>
      </c>
      <c r="C154" s="145" t="s">
        <v>96</v>
      </c>
      <c r="D154" s="146">
        <v>14229.2</v>
      </c>
      <c r="E154" s="146">
        <v>62</v>
      </c>
      <c r="F154" s="146">
        <v>56.49</v>
      </c>
      <c r="G154" s="146">
        <v>0</v>
      </c>
      <c r="H154" s="146">
        <v>3.08</v>
      </c>
      <c r="I154" s="140">
        <v>4.3572372304837934E-3</v>
      </c>
      <c r="J154" s="140">
        <v>3.9700053411295079E-3</v>
      </c>
      <c r="K154" s="140">
        <v>2.1645630112725943E-4</v>
      </c>
      <c r="L154" s="140"/>
      <c r="V154" s="228"/>
    </row>
    <row r="155" spans="1:22">
      <c r="A155" s="132" t="s">
        <v>259</v>
      </c>
      <c r="B155" s="132" t="s">
        <v>42</v>
      </c>
      <c r="C155" s="145" t="s">
        <v>98</v>
      </c>
      <c r="D155" s="146">
        <v>14395.9</v>
      </c>
      <c r="E155" s="146">
        <v>64.3</v>
      </c>
      <c r="F155" s="146">
        <v>60.62</v>
      </c>
      <c r="G155" s="146">
        <v>0</v>
      </c>
      <c r="H155" s="146">
        <v>1.24</v>
      </c>
      <c r="I155" s="140">
        <v>4.4665495036781307E-3</v>
      </c>
      <c r="J155" s="140">
        <v>4.2109211650539387E-3</v>
      </c>
      <c r="K155" s="140">
        <v>8.6135635840760212E-5</v>
      </c>
      <c r="L155" s="140"/>
      <c r="V155" s="228"/>
    </row>
    <row r="156" spans="1:22">
      <c r="A156" s="132" t="s">
        <v>260</v>
      </c>
      <c r="B156" s="132" t="s">
        <v>42</v>
      </c>
      <c r="C156" s="145" t="s">
        <v>100</v>
      </c>
      <c r="D156" s="146">
        <v>14437.5</v>
      </c>
      <c r="E156" s="146">
        <v>41.1</v>
      </c>
      <c r="F156" s="146">
        <v>37.630000000000003</v>
      </c>
      <c r="G156" s="146">
        <v>0</v>
      </c>
      <c r="H156" s="146">
        <v>0.84</v>
      </c>
      <c r="I156" s="140">
        <v>2.8467532467532468E-3</v>
      </c>
      <c r="J156" s="140">
        <v>2.6064069264069268E-3</v>
      </c>
      <c r="K156" s="140">
        <v>5.8181818181818179E-5</v>
      </c>
      <c r="L156" s="140"/>
      <c r="V156" s="228"/>
    </row>
    <row r="157" spans="1:22">
      <c r="A157" s="132" t="s">
        <v>261</v>
      </c>
      <c r="B157" s="132" t="s">
        <v>42</v>
      </c>
      <c r="C157" s="145" t="s">
        <v>102</v>
      </c>
      <c r="D157" s="146">
        <v>14482.1</v>
      </c>
      <c r="E157" s="146">
        <v>44.9</v>
      </c>
      <c r="F157" s="146">
        <v>40.96</v>
      </c>
      <c r="G157" s="146">
        <v>0</v>
      </c>
      <c r="H157" s="146">
        <v>2.52</v>
      </c>
      <c r="I157" s="140">
        <v>3.1003790886680797E-3</v>
      </c>
      <c r="J157" s="140">
        <v>2.8283190973684754E-3</v>
      </c>
      <c r="K157" s="140">
        <v>1.7400791321700582E-4</v>
      </c>
      <c r="L157" s="140"/>
      <c r="V157" s="228"/>
    </row>
    <row r="158" spans="1:22">
      <c r="A158" s="132" t="s">
        <v>262</v>
      </c>
      <c r="B158" s="132" t="s">
        <v>42</v>
      </c>
      <c r="C158" s="145" t="s">
        <v>104</v>
      </c>
      <c r="D158" s="146">
        <v>14499.5</v>
      </c>
      <c r="E158" s="146">
        <v>25.78</v>
      </c>
      <c r="F158" s="146">
        <v>20.64</v>
      </c>
      <c r="G158" s="146">
        <v>0</v>
      </c>
      <c r="H158" s="146">
        <v>3.53</v>
      </c>
      <c r="I158" s="140">
        <v>1.7779923445636057E-3</v>
      </c>
      <c r="J158" s="140">
        <v>1.4234973619779994E-3</v>
      </c>
      <c r="K158" s="140">
        <v>2.4345667091968688E-4</v>
      </c>
      <c r="L158" s="140"/>
      <c r="V158" s="228"/>
    </row>
    <row r="159" spans="1:22">
      <c r="A159" s="132" t="s">
        <v>263</v>
      </c>
      <c r="B159" s="132" t="s">
        <v>42</v>
      </c>
      <c r="C159" s="145" t="s">
        <v>106</v>
      </c>
      <c r="D159" s="146">
        <v>14557.1</v>
      </c>
      <c r="E159" s="146">
        <v>13.94</v>
      </c>
      <c r="F159" s="146">
        <v>12.56</v>
      </c>
      <c r="G159" s="146">
        <v>0</v>
      </c>
      <c r="H159" s="146">
        <v>0.06</v>
      </c>
      <c r="I159" s="140">
        <v>9.5760831484292884E-4</v>
      </c>
      <c r="J159" s="140">
        <v>8.6280921337354287E-4</v>
      </c>
      <c r="K159" s="140">
        <v>4.1217000638863511E-6</v>
      </c>
      <c r="L159" s="140"/>
      <c r="V159" s="228"/>
    </row>
    <row r="160" spans="1:22">
      <c r="A160" s="132" t="s">
        <v>264</v>
      </c>
      <c r="B160" s="132" t="s">
        <v>42</v>
      </c>
      <c r="C160" s="145" t="s">
        <v>108</v>
      </c>
      <c r="D160" s="146">
        <v>14620.7</v>
      </c>
      <c r="E160" s="146">
        <v>19.66</v>
      </c>
      <c r="F160" s="146">
        <v>16.560000000000002</v>
      </c>
      <c r="G160" s="146">
        <v>0</v>
      </c>
      <c r="H160" s="146">
        <v>0.77</v>
      </c>
      <c r="I160" s="140">
        <v>1.3446688599041085E-3</v>
      </c>
      <c r="J160" s="140">
        <v>1.132640708037235E-3</v>
      </c>
      <c r="K160" s="140">
        <v>5.266505707661056E-5</v>
      </c>
      <c r="L160" s="140"/>
      <c r="V160" s="228"/>
    </row>
    <row r="161" spans="1:22">
      <c r="A161" s="132" t="s">
        <v>265</v>
      </c>
      <c r="B161" s="132" t="s">
        <v>42</v>
      </c>
      <c r="C161" s="145" t="s">
        <v>110</v>
      </c>
      <c r="D161" s="146">
        <v>14652.4</v>
      </c>
      <c r="E161" s="146">
        <v>31.2</v>
      </c>
      <c r="F161" s="146">
        <v>28.57</v>
      </c>
      <c r="G161" s="146">
        <v>0</v>
      </c>
      <c r="H161" s="146">
        <v>0.7</v>
      </c>
      <c r="I161" s="140">
        <v>2.129343998252846E-3</v>
      </c>
      <c r="J161" s="140">
        <v>1.9498512189129427E-3</v>
      </c>
      <c r="K161" s="140">
        <v>4.777374355054462E-5</v>
      </c>
      <c r="L161" s="140"/>
      <c r="V161" s="228"/>
    </row>
    <row r="162" spans="1:22">
      <c r="A162" s="132" t="s">
        <v>266</v>
      </c>
      <c r="B162" s="132" t="s">
        <v>42</v>
      </c>
      <c r="C162" s="145" t="s">
        <v>112</v>
      </c>
      <c r="D162" s="146">
        <v>14752.8</v>
      </c>
      <c r="E162" s="146">
        <v>25.38</v>
      </c>
      <c r="F162" s="146">
        <v>19.239999999999998</v>
      </c>
      <c r="G162" s="146">
        <v>0</v>
      </c>
      <c r="H162" s="146">
        <v>1.92</v>
      </c>
      <c r="I162" s="140">
        <v>1.7203513909224012E-3</v>
      </c>
      <c r="J162" s="140">
        <v>1.3041592104549645E-3</v>
      </c>
      <c r="K162" s="140">
        <v>1.301447860745079E-4</v>
      </c>
      <c r="L162" s="140"/>
      <c r="V162" s="228"/>
    </row>
    <row r="163" spans="1:22">
      <c r="A163" s="132" t="s">
        <v>267</v>
      </c>
      <c r="B163" s="132" t="s">
        <v>42</v>
      </c>
      <c r="C163" s="145" t="s">
        <v>114</v>
      </c>
      <c r="D163" s="146">
        <v>14842.6</v>
      </c>
      <c r="E163" s="146">
        <v>22.03</v>
      </c>
      <c r="F163" s="146">
        <v>16.75</v>
      </c>
      <c r="G163" s="146">
        <v>0</v>
      </c>
      <c r="H163" s="146">
        <v>1.56</v>
      </c>
      <c r="I163" s="140">
        <v>1.4842413054316629E-3</v>
      </c>
      <c r="J163" s="140">
        <v>1.1285084823413687E-3</v>
      </c>
      <c r="K163" s="140">
        <v>1.0510287954940509E-4</v>
      </c>
      <c r="L163" s="140"/>
      <c r="V163" s="228"/>
    </row>
    <row r="164" spans="1:22">
      <c r="A164" s="132" t="s">
        <v>268</v>
      </c>
      <c r="B164" s="132" t="s">
        <v>42</v>
      </c>
      <c r="C164" s="145" t="s">
        <v>116</v>
      </c>
      <c r="D164" s="146">
        <v>14929</v>
      </c>
      <c r="E164" s="146">
        <v>8.74</v>
      </c>
      <c r="F164" s="146">
        <v>6.4599999999999991</v>
      </c>
      <c r="G164" s="146">
        <v>0</v>
      </c>
      <c r="H164" s="146">
        <v>0.71</v>
      </c>
      <c r="I164" s="140">
        <v>5.8543773862951309E-4</v>
      </c>
      <c r="J164" s="140">
        <v>4.3271485029137914E-4</v>
      </c>
      <c r="K164" s="140">
        <v>4.7558443298278518E-5</v>
      </c>
      <c r="L164" s="140"/>
      <c r="V164" s="228"/>
    </row>
    <row r="165" spans="1:22">
      <c r="A165" s="132" t="s">
        <v>269</v>
      </c>
      <c r="B165" s="132" t="s">
        <v>42</v>
      </c>
      <c r="C165" s="145" t="s">
        <v>72</v>
      </c>
      <c r="D165" s="146">
        <v>15045.5</v>
      </c>
      <c r="E165" s="146">
        <v>12.6</v>
      </c>
      <c r="F165" s="146">
        <v>10.139999999999999</v>
      </c>
      <c r="G165" s="146">
        <v>0</v>
      </c>
      <c r="H165" s="146">
        <v>1.43</v>
      </c>
      <c r="I165" s="140">
        <v>8.3745970555980191E-4</v>
      </c>
      <c r="J165" s="140">
        <v>6.7395566780765006E-4</v>
      </c>
      <c r="K165" s="140">
        <v>9.5045030075437836E-5</v>
      </c>
      <c r="L165" s="140"/>
      <c r="V165" s="228"/>
    </row>
    <row r="166" spans="1:22">
      <c r="A166" s="132" t="s">
        <v>270</v>
      </c>
      <c r="B166" s="132" t="s">
        <v>42</v>
      </c>
      <c r="C166" s="145" t="s">
        <v>74</v>
      </c>
      <c r="D166" s="146">
        <v>15098.518876292001</v>
      </c>
      <c r="E166" s="146">
        <v>9</v>
      </c>
      <c r="F166" s="146">
        <v>8.66</v>
      </c>
      <c r="G166" s="146">
        <v>0</v>
      </c>
      <c r="H166" s="146">
        <v>0.34</v>
      </c>
      <c r="I166" s="140">
        <v>5.9608495864663796E-4</v>
      </c>
      <c r="J166" s="140">
        <v>5.7356619354220946E-4</v>
      </c>
      <c r="K166" s="140">
        <v>2.2518765104428547E-5</v>
      </c>
      <c r="L166" s="140"/>
      <c r="V166" s="228"/>
    </row>
    <row r="167" spans="1:22">
      <c r="A167" s="132" t="s">
        <v>271</v>
      </c>
      <c r="B167" s="132" t="s">
        <v>42</v>
      </c>
      <c r="C167" s="145" t="s">
        <v>75</v>
      </c>
      <c r="D167" s="146">
        <v>15185.4578</v>
      </c>
      <c r="E167" s="146">
        <v>33.5</v>
      </c>
      <c r="F167" s="146">
        <v>26.91</v>
      </c>
      <c r="G167" s="146">
        <v>0</v>
      </c>
      <c r="H167" s="146">
        <v>2.87</v>
      </c>
      <c r="I167" s="140">
        <v>2.2060579563166018E-3</v>
      </c>
      <c r="J167" s="140">
        <v>1.7720901374471568E-3</v>
      </c>
      <c r="K167" s="140">
        <v>1.8899660700384021E-4</v>
      </c>
      <c r="L167" s="140"/>
      <c r="V167" s="228"/>
    </row>
    <row r="168" spans="1:22">
      <c r="A168" s="132" t="s">
        <v>272</v>
      </c>
      <c r="B168" s="132" t="s">
        <v>42</v>
      </c>
      <c r="C168" s="145" t="s">
        <v>76</v>
      </c>
      <c r="D168" s="146">
        <v>15249.5578</v>
      </c>
      <c r="E168" s="146">
        <v>63.7</v>
      </c>
      <c r="F168" s="146">
        <v>28.5</v>
      </c>
      <c r="G168" s="146">
        <v>0</v>
      </c>
      <c r="H168" s="146">
        <v>31.4</v>
      </c>
      <c r="I168" s="140">
        <v>4.1771703045710611E-3</v>
      </c>
      <c r="J168" s="140">
        <v>1.8689066511817149E-3</v>
      </c>
      <c r="K168" s="140">
        <v>2.0590760998984506E-3</v>
      </c>
      <c r="L168" s="140"/>
      <c r="V168" s="228"/>
    </row>
    <row r="169" spans="1:22">
      <c r="A169" s="132" t="s">
        <v>273</v>
      </c>
      <c r="B169" s="132" t="s">
        <v>42</v>
      </c>
      <c r="C169" s="145" t="s">
        <v>77</v>
      </c>
      <c r="D169" s="146">
        <v>15314.4578</v>
      </c>
      <c r="E169" s="146">
        <v>63.69</v>
      </c>
      <c r="F169" s="146">
        <v>28.5</v>
      </c>
      <c r="G169" s="146">
        <v>0</v>
      </c>
      <c r="H169" s="146">
        <v>31.4</v>
      </c>
      <c r="I169" s="140">
        <v>4.1588152079403027E-3</v>
      </c>
      <c r="J169" s="140">
        <v>1.8609865508917983E-3</v>
      </c>
      <c r="K169" s="140">
        <v>2.0503500946667534E-3</v>
      </c>
      <c r="L169" s="140"/>
      <c r="V169" s="228"/>
    </row>
    <row r="170" spans="1:22">
      <c r="A170" s="132" t="s">
        <v>274</v>
      </c>
      <c r="B170" s="132" t="s">
        <v>42</v>
      </c>
      <c r="C170" s="145" t="s">
        <v>78</v>
      </c>
      <c r="D170" s="146">
        <v>15381.229394782766</v>
      </c>
      <c r="E170" s="146">
        <v>63.84</v>
      </c>
      <c r="F170" s="146">
        <v>28.5</v>
      </c>
      <c r="G170" s="146">
        <v>0</v>
      </c>
      <c r="H170" s="146">
        <v>31.4</v>
      </c>
      <c r="I170" s="140">
        <v>4.1505134837696526E-3</v>
      </c>
      <c r="J170" s="140">
        <v>1.8529078052543092E-3</v>
      </c>
      <c r="K170" s="140">
        <v>2.0414493012275545E-3</v>
      </c>
      <c r="L170" s="140"/>
      <c r="V170" s="228"/>
    </row>
    <row r="171" spans="1:22">
      <c r="A171" s="132" t="s">
        <v>275</v>
      </c>
      <c r="B171" s="132" t="s">
        <v>42</v>
      </c>
      <c r="C171" s="145" t="s">
        <v>79</v>
      </c>
      <c r="D171" s="146">
        <v>15475.574850167721</v>
      </c>
      <c r="E171" s="146">
        <v>63.89</v>
      </c>
      <c r="F171" s="146">
        <v>28.5</v>
      </c>
      <c r="G171" s="146">
        <v>0</v>
      </c>
      <c r="H171" s="146">
        <v>31.4</v>
      </c>
      <c r="I171" s="140">
        <v>4.1284411479750351E-3</v>
      </c>
      <c r="J171" s="140">
        <v>1.8416117188494051E-3</v>
      </c>
      <c r="K171" s="140">
        <v>2.0290037884867127E-3</v>
      </c>
      <c r="L171" s="140"/>
      <c r="V171" s="228"/>
    </row>
    <row r="172" spans="1:22">
      <c r="A172" s="132" t="s">
        <v>276</v>
      </c>
      <c r="B172" s="132" t="s">
        <v>42</v>
      </c>
      <c r="C172" s="145" t="s">
        <v>80</v>
      </c>
      <c r="D172" s="146">
        <v>15604.074850167721</v>
      </c>
      <c r="E172" s="146">
        <v>63.96</v>
      </c>
      <c r="F172" s="146">
        <v>28.5</v>
      </c>
      <c r="G172" s="146">
        <v>0</v>
      </c>
      <c r="H172" s="146">
        <v>31.4</v>
      </c>
      <c r="I172" s="140">
        <v>4.0989293254583767E-3</v>
      </c>
      <c r="J172" s="140">
        <v>1.8264459939894269E-3</v>
      </c>
      <c r="K172" s="140">
        <v>2.0122948846058946E-3</v>
      </c>
      <c r="L172" s="140"/>
      <c r="V172" s="228"/>
    </row>
    <row r="173" spans="1:22">
      <c r="A173" s="132" t="s">
        <v>277</v>
      </c>
      <c r="B173" s="132" t="s">
        <v>43</v>
      </c>
      <c r="C173" s="145" t="s">
        <v>96</v>
      </c>
      <c r="D173" s="146">
        <v>13715.290000000005</v>
      </c>
      <c r="E173" s="146">
        <v>80.56</v>
      </c>
      <c r="F173" s="146">
        <v>80.56</v>
      </c>
      <c r="G173" s="146">
        <v>0</v>
      </c>
      <c r="H173" s="146">
        <v>0</v>
      </c>
      <c r="I173" s="140">
        <v>5.8737365378347794E-3</v>
      </c>
      <c r="J173" s="140">
        <v>5.8737365378347794E-3</v>
      </c>
      <c r="K173" s="140">
        <v>0</v>
      </c>
      <c r="L173" s="140"/>
      <c r="V173" s="228"/>
    </row>
    <row r="174" spans="1:22">
      <c r="A174" s="132" t="s">
        <v>278</v>
      </c>
      <c r="B174" s="132" t="s">
        <v>43</v>
      </c>
      <c r="C174" s="145" t="s">
        <v>98</v>
      </c>
      <c r="D174" s="146">
        <v>13735.070000000002</v>
      </c>
      <c r="E174" s="146">
        <v>71.069999999999993</v>
      </c>
      <c r="F174" s="146">
        <v>71.069999999999993</v>
      </c>
      <c r="G174" s="146">
        <v>0</v>
      </c>
      <c r="H174" s="146">
        <v>0</v>
      </c>
      <c r="I174" s="140">
        <v>5.1743456713362205E-3</v>
      </c>
      <c r="J174" s="140">
        <v>5.1743456713362205E-3</v>
      </c>
      <c r="K174" s="140">
        <v>0</v>
      </c>
      <c r="L174" s="140"/>
      <c r="V174" s="228"/>
    </row>
    <row r="175" spans="1:22">
      <c r="A175" s="132" t="s">
        <v>279</v>
      </c>
      <c r="B175" s="132" t="s">
        <v>43</v>
      </c>
      <c r="C175" s="145" t="s">
        <v>100</v>
      </c>
      <c r="D175" s="146">
        <v>13753.18</v>
      </c>
      <c r="E175" s="146">
        <v>27.75</v>
      </c>
      <c r="F175" s="146">
        <v>27.75</v>
      </c>
      <c r="G175" s="146">
        <v>0</v>
      </c>
      <c r="H175" s="146">
        <v>0</v>
      </c>
      <c r="I175" s="140">
        <v>2.0177151756902768E-3</v>
      </c>
      <c r="J175" s="140">
        <v>2.0177151756902768E-3</v>
      </c>
      <c r="K175" s="140">
        <v>0</v>
      </c>
      <c r="L175" s="140"/>
      <c r="V175" s="228"/>
    </row>
    <row r="176" spans="1:22">
      <c r="A176" s="132" t="s">
        <v>280</v>
      </c>
      <c r="B176" s="132" t="s">
        <v>43</v>
      </c>
      <c r="C176" s="145" t="s">
        <v>102</v>
      </c>
      <c r="D176" s="146">
        <v>13792.820000000002</v>
      </c>
      <c r="E176" s="146">
        <v>12.53</v>
      </c>
      <c r="F176" s="146">
        <v>12.53</v>
      </c>
      <c r="G176" s="146">
        <v>0</v>
      </c>
      <c r="H176" s="146">
        <v>0</v>
      </c>
      <c r="I176" s="140">
        <v>9.0844366851738792E-4</v>
      </c>
      <c r="J176" s="140">
        <v>9.0844366851738792E-4</v>
      </c>
      <c r="K176" s="140">
        <v>0</v>
      </c>
      <c r="L176" s="140"/>
      <c r="V176" s="228"/>
    </row>
    <row r="177" spans="1:22">
      <c r="A177" s="132" t="s">
        <v>281</v>
      </c>
      <c r="B177" s="132" t="s">
        <v>43</v>
      </c>
      <c r="C177" s="145" t="s">
        <v>104</v>
      </c>
      <c r="D177" s="146">
        <v>13837.42</v>
      </c>
      <c r="E177" s="146">
        <v>3.05</v>
      </c>
      <c r="F177" s="146">
        <v>3.05</v>
      </c>
      <c r="G177" s="146">
        <v>0</v>
      </c>
      <c r="H177" s="146">
        <v>0</v>
      </c>
      <c r="I177" s="140">
        <v>2.2041681180451269E-4</v>
      </c>
      <c r="J177" s="140">
        <v>2.2041681180451269E-4</v>
      </c>
      <c r="K177" s="140">
        <v>0</v>
      </c>
      <c r="L177" s="140"/>
      <c r="V177" s="228"/>
    </row>
    <row r="178" spans="1:22">
      <c r="A178" s="132" t="s">
        <v>282</v>
      </c>
      <c r="B178" s="132" t="s">
        <v>43</v>
      </c>
      <c r="C178" s="145" t="s">
        <v>106</v>
      </c>
      <c r="D178" s="146">
        <v>13870.3045</v>
      </c>
      <c r="E178" s="146">
        <v>23.21</v>
      </c>
      <c r="F178" s="146">
        <v>23.21</v>
      </c>
      <c r="G178" s="146">
        <v>0</v>
      </c>
      <c r="H178" s="146">
        <v>0</v>
      </c>
      <c r="I178" s="140">
        <v>1.6733590816265065E-3</v>
      </c>
      <c r="J178" s="140">
        <v>1.6733590816265065E-3</v>
      </c>
      <c r="K178" s="140">
        <v>0</v>
      </c>
      <c r="L178" s="140"/>
      <c r="V178" s="228"/>
    </row>
    <row r="179" spans="1:22">
      <c r="A179" s="132" t="s">
        <v>283</v>
      </c>
      <c r="B179" s="132" t="s">
        <v>43</v>
      </c>
      <c r="C179" s="145" t="s">
        <v>108</v>
      </c>
      <c r="D179" s="146">
        <v>13905.119999999999</v>
      </c>
      <c r="E179" s="146">
        <v>32.130000000000003</v>
      </c>
      <c r="F179" s="146">
        <v>32.130000000000003</v>
      </c>
      <c r="G179" s="146">
        <v>0</v>
      </c>
      <c r="H179" s="146">
        <v>0</v>
      </c>
      <c r="I179" s="140">
        <v>2.3106596706824541E-3</v>
      </c>
      <c r="J179" s="140">
        <v>2.3106596706824541E-3</v>
      </c>
      <c r="K179" s="140">
        <v>0</v>
      </c>
      <c r="L179" s="140"/>
      <c r="V179" s="228"/>
    </row>
    <row r="180" spans="1:22">
      <c r="A180" s="132" t="s">
        <v>284</v>
      </c>
      <c r="B180" s="132" t="s">
        <v>43</v>
      </c>
      <c r="C180" s="145" t="s">
        <v>110</v>
      </c>
      <c r="D180" s="146">
        <v>13929.485099999998</v>
      </c>
      <c r="E180" s="146">
        <v>11.08</v>
      </c>
      <c r="F180" s="146">
        <v>11.08</v>
      </c>
      <c r="G180" s="146">
        <v>0</v>
      </c>
      <c r="H180" s="146">
        <v>0</v>
      </c>
      <c r="I180" s="140">
        <v>7.9543500139858019E-4</v>
      </c>
      <c r="J180" s="140">
        <v>7.9543500139858019E-4</v>
      </c>
      <c r="K180" s="140">
        <v>0</v>
      </c>
      <c r="L180" s="140"/>
      <c r="V180" s="228"/>
    </row>
    <row r="181" spans="1:22">
      <c r="A181" s="132" t="s">
        <v>285</v>
      </c>
      <c r="B181" s="132" t="s">
        <v>43</v>
      </c>
      <c r="C181" s="145" t="s">
        <v>112</v>
      </c>
      <c r="D181" s="146">
        <v>13959.3</v>
      </c>
      <c r="E181" s="146">
        <v>0</v>
      </c>
      <c r="F181" s="146">
        <v>0</v>
      </c>
      <c r="G181" s="146">
        <v>0</v>
      </c>
      <c r="H181" s="146">
        <v>0</v>
      </c>
      <c r="I181" s="140">
        <v>0</v>
      </c>
      <c r="J181" s="140">
        <v>0</v>
      </c>
      <c r="K181" s="140">
        <v>0</v>
      </c>
      <c r="L181" s="140"/>
      <c r="V181" s="228"/>
    </row>
    <row r="182" spans="1:22">
      <c r="A182" s="132" t="s">
        <v>286</v>
      </c>
      <c r="B182" s="132" t="s">
        <v>43</v>
      </c>
      <c r="C182" s="145" t="s">
        <v>114</v>
      </c>
      <c r="D182" s="146">
        <v>13972.5</v>
      </c>
      <c r="E182" s="146">
        <v>0</v>
      </c>
      <c r="F182" s="146">
        <v>0</v>
      </c>
      <c r="G182" s="146">
        <v>0</v>
      </c>
      <c r="H182" s="146">
        <v>0</v>
      </c>
      <c r="I182" s="140">
        <v>0</v>
      </c>
      <c r="J182" s="140">
        <v>0</v>
      </c>
      <c r="K182" s="140">
        <v>0</v>
      </c>
      <c r="L182" s="140"/>
      <c r="V182" s="228"/>
    </row>
    <row r="183" spans="1:22">
      <c r="A183" s="132" t="s">
        <v>287</v>
      </c>
      <c r="B183" s="132" t="s">
        <v>43</v>
      </c>
      <c r="C183" s="145" t="s">
        <v>116</v>
      </c>
      <c r="D183" s="146">
        <v>13865.742700000001</v>
      </c>
      <c r="E183" s="146">
        <v>0</v>
      </c>
      <c r="F183" s="146">
        <v>0</v>
      </c>
      <c r="G183" s="146">
        <v>0</v>
      </c>
      <c r="H183" s="146">
        <v>0</v>
      </c>
      <c r="I183" s="140">
        <v>0</v>
      </c>
      <c r="J183" s="140">
        <v>0</v>
      </c>
      <c r="K183" s="140">
        <v>0</v>
      </c>
      <c r="L183" s="140"/>
      <c r="V183" s="228"/>
    </row>
    <row r="184" spans="1:22">
      <c r="A184" s="132" t="s">
        <v>288</v>
      </c>
      <c r="B184" s="132" t="s">
        <v>43</v>
      </c>
      <c r="C184" s="145" t="s">
        <v>72</v>
      </c>
      <c r="D184" s="146">
        <v>13919</v>
      </c>
      <c r="E184" s="146">
        <v>4.4000000000000004</v>
      </c>
      <c r="F184" s="146">
        <v>4.4000000000000004</v>
      </c>
      <c r="G184" s="146">
        <v>0</v>
      </c>
      <c r="H184" s="146">
        <v>0</v>
      </c>
      <c r="I184" s="140">
        <v>3.1611466340972775E-4</v>
      </c>
      <c r="J184" s="140">
        <v>3.1611466340972775E-4</v>
      </c>
      <c r="K184" s="140">
        <v>0</v>
      </c>
      <c r="L184" s="140"/>
      <c r="V184" s="228"/>
    </row>
    <row r="185" spans="1:22">
      <c r="A185" s="132" t="s">
        <v>289</v>
      </c>
      <c r="B185" s="132" t="s">
        <v>43</v>
      </c>
      <c r="C185" s="145" t="s">
        <v>74</v>
      </c>
      <c r="D185" s="146">
        <v>13972.6</v>
      </c>
      <c r="E185" s="146">
        <v>14.5</v>
      </c>
      <c r="F185" s="146">
        <v>14.34</v>
      </c>
      <c r="G185" s="146">
        <v>0</v>
      </c>
      <c r="H185" s="146">
        <v>0.16</v>
      </c>
      <c r="I185" s="140">
        <v>1.0377453015186866E-3</v>
      </c>
      <c r="J185" s="140">
        <v>1.026294318881239E-3</v>
      </c>
      <c r="K185" s="140">
        <v>1.1450982637447575E-5</v>
      </c>
      <c r="L185" s="140"/>
      <c r="V185" s="228"/>
    </row>
    <row r="186" spans="1:22">
      <c r="A186" s="132" t="s">
        <v>290</v>
      </c>
      <c r="B186" s="132" t="s">
        <v>43</v>
      </c>
      <c r="C186" s="145" t="s">
        <v>75</v>
      </c>
      <c r="D186" s="146">
        <v>14052.8</v>
      </c>
      <c r="E186" s="146">
        <v>10.1</v>
      </c>
      <c r="F186" s="146">
        <v>10.1</v>
      </c>
      <c r="G186" s="146">
        <v>0</v>
      </c>
      <c r="H186" s="146">
        <v>0</v>
      </c>
      <c r="I186" s="140">
        <v>7.1871797791187519E-4</v>
      </c>
      <c r="J186" s="140">
        <v>7.1871797791187519E-4</v>
      </c>
      <c r="K186" s="140">
        <v>0</v>
      </c>
      <c r="L186" s="140"/>
      <c r="V186" s="228"/>
    </row>
    <row r="187" spans="1:22">
      <c r="A187" s="132" t="s">
        <v>291</v>
      </c>
      <c r="B187" s="132" t="s">
        <v>43</v>
      </c>
      <c r="C187" s="145" t="s">
        <v>76</v>
      </c>
      <c r="D187" s="146">
        <v>14121.9</v>
      </c>
      <c r="E187" s="146">
        <v>51.3</v>
      </c>
      <c r="F187" s="146">
        <v>31.299999999999997</v>
      </c>
      <c r="G187" s="146">
        <v>0</v>
      </c>
      <c r="H187" s="146">
        <v>20</v>
      </c>
      <c r="I187" s="140">
        <v>3.6326556624816774E-3</v>
      </c>
      <c r="J187" s="140">
        <v>2.216415638122349E-3</v>
      </c>
      <c r="K187" s="140">
        <v>1.4162400243593284E-3</v>
      </c>
      <c r="L187" s="140"/>
      <c r="V187" s="228"/>
    </row>
    <row r="188" spans="1:22">
      <c r="A188" s="132" t="s">
        <v>292</v>
      </c>
      <c r="B188" s="132" t="s">
        <v>43</v>
      </c>
      <c r="C188" s="145" t="s">
        <v>77</v>
      </c>
      <c r="D188" s="146">
        <v>14190.7</v>
      </c>
      <c r="E188" s="146">
        <v>68.8</v>
      </c>
      <c r="F188" s="146">
        <v>28.799999999999997</v>
      </c>
      <c r="G188" s="146">
        <v>0</v>
      </c>
      <c r="H188" s="146">
        <v>40</v>
      </c>
      <c r="I188" s="140">
        <v>4.8482456820311886E-3</v>
      </c>
      <c r="J188" s="140">
        <v>2.0294981924781721E-3</v>
      </c>
      <c r="K188" s="140">
        <v>2.818747489553017E-3</v>
      </c>
      <c r="L188" s="140"/>
      <c r="V188" s="228"/>
    </row>
    <row r="189" spans="1:22">
      <c r="A189" s="132" t="s">
        <v>293</v>
      </c>
      <c r="B189" s="132" t="s">
        <v>43</v>
      </c>
      <c r="C189" s="145" t="s">
        <v>78</v>
      </c>
      <c r="D189" s="146">
        <v>14313.4</v>
      </c>
      <c r="E189" s="146">
        <v>82.6</v>
      </c>
      <c r="F189" s="146">
        <v>22.599999999999994</v>
      </c>
      <c r="G189" s="146">
        <v>0</v>
      </c>
      <c r="H189" s="146">
        <v>60</v>
      </c>
      <c r="I189" s="140">
        <v>5.7708161582852432E-3</v>
      </c>
      <c r="J189" s="140">
        <v>1.5789400142523786E-3</v>
      </c>
      <c r="K189" s="140">
        <v>4.1918761440328644E-3</v>
      </c>
      <c r="L189" s="140"/>
      <c r="V189" s="228"/>
    </row>
    <row r="190" spans="1:22">
      <c r="A190" s="132" t="s">
        <v>294</v>
      </c>
      <c r="B190" s="132" t="s">
        <v>43</v>
      </c>
      <c r="C190" s="145" t="s">
        <v>79</v>
      </c>
      <c r="D190" s="146">
        <v>14382.2</v>
      </c>
      <c r="E190" s="146">
        <v>102.8</v>
      </c>
      <c r="F190" s="146">
        <v>22.799999999999997</v>
      </c>
      <c r="G190" s="146">
        <v>0</v>
      </c>
      <c r="H190" s="146">
        <v>80</v>
      </c>
      <c r="I190" s="140">
        <v>7.1477242702785385E-3</v>
      </c>
      <c r="J190" s="140">
        <v>1.585292931540376E-3</v>
      </c>
      <c r="K190" s="140">
        <v>5.5624313387381621E-3</v>
      </c>
      <c r="L190" s="140"/>
      <c r="V190" s="228"/>
    </row>
    <row r="191" spans="1:22">
      <c r="A191" s="132" t="s">
        <v>295</v>
      </c>
      <c r="B191" s="132" t="s">
        <v>43</v>
      </c>
      <c r="C191" s="145" t="s">
        <v>80</v>
      </c>
      <c r="D191" s="146">
        <v>14451</v>
      </c>
      <c r="E191" s="146">
        <v>116</v>
      </c>
      <c r="F191" s="146">
        <v>16</v>
      </c>
      <c r="G191" s="146">
        <v>0</v>
      </c>
      <c r="H191" s="146">
        <v>100</v>
      </c>
      <c r="I191" s="140">
        <v>8.0271261504394151E-3</v>
      </c>
      <c r="J191" s="140">
        <v>1.1071898138537125E-3</v>
      </c>
      <c r="K191" s="140">
        <v>6.9199363365857035E-3</v>
      </c>
      <c r="L191" s="140"/>
      <c r="V191" s="228"/>
    </row>
    <row r="192" spans="1:22">
      <c r="A192" s="132" t="s">
        <v>296</v>
      </c>
      <c r="B192" s="132" t="s">
        <v>85</v>
      </c>
      <c r="C192" s="145" t="s">
        <v>96</v>
      </c>
      <c r="D192" s="146">
        <v>8304.15</v>
      </c>
      <c r="E192" s="146">
        <v>72.5</v>
      </c>
      <c r="F192" s="146">
        <v>72.5</v>
      </c>
      <c r="G192" s="146">
        <v>0</v>
      </c>
      <c r="H192" s="146">
        <v>0</v>
      </c>
      <c r="I192" s="140">
        <v>8.7305744718002443E-3</v>
      </c>
      <c r="J192" s="140">
        <v>8.7305744718002443E-3</v>
      </c>
      <c r="K192" s="140">
        <v>0</v>
      </c>
      <c r="L192" s="140"/>
      <c r="V192" s="228"/>
    </row>
    <row r="193" spans="1:22">
      <c r="A193" s="132" t="s">
        <v>297</v>
      </c>
      <c r="B193" s="132" t="s">
        <v>85</v>
      </c>
      <c r="C193" s="145" t="s">
        <v>98</v>
      </c>
      <c r="D193" s="146">
        <v>8319.86</v>
      </c>
      <c r="E193" s="146">
        <v>75</v>
      </c>
      <c r="F193" s="146">
        <v>75</v>
      </c>
      <c r="G193" s="146">
        <v>0</v>
      </c>
      <c r="H193" s="146">
        <v>0</v>
      </c>
      <c r="I193" s="140">
        <v>9.01457476447921E-3</v>
      </c>
      <c r="J193" s="140">
        <v>9.01457476447921E-3</v>
      </c>
      <c r="K193" s="140">
        <v>0</v>
      </c>
      <c r="L193" s="140"/>
      <c r="V193" s="228"/>
    </row>
    <row r="194" spans="1:22">
      <c r="A194" s="132" t="s">
        <v>298</v>
      </c>
      <c r="B194" s="132" t="s">
        <v>85</v>
      </c>
      <c r="C194" s="145" t="s">
        <v>100</v>
      </c>
      <c r="D194" s="146">
        <v>8333.9500000000007</v>
      </c>
      <c r="E194" s="146">
        <v>66.512</v>
      </c>
      <c r="F194" s="146">
        <v>66.512</v>
      </c>
      <c r="G194" s="146">
        <v>0</v>
      </c>
      <c r="H194" s="146">
        <v>0</v>
      </c>
      <c r="I194" s="140">
        <v>7.9808494171431307E-3</v>
      </c>
      <c r="J194" s="140">
        <v>7.9808494171431307E-3</v>
      </c>
      <c r="K194" s="140">
        <v>0</v>
      </c>
      <c r="L194" s="140"/>
      <c r="V194" s="228"/>
    </row>
    <row r="195" spans="1:22">
      <c r="A195" s="132" t="s">
        <v>299</v>
      </c>
      <c r="B195" s="132" t="s">
        <v>85</v>
      </c>
      <c r="C195" s="145" t="s">
        <v>102</v>
      </c>
      <c r="D195" s="146">
        <v>8365.7900000000009</v>
      </c>
      <c r="E195" s="146">
        <v>41.723999999999997</v>
      </c>
      <c r="F195" s="146">
        <v>41.723999999999997</v>
      </c>
      <c r="G195" s="146">
        <v>0</v>
      </c>
      <c r="H195" s="146">
        <v>0</v>
      </c>
      <c r="I195" s="140">
        <v>4.9874548608081232E-3</v>
      </c>
      <c r="J195" s="140">
        <v>4.9874548608081232E-3</v>
      </c>
      <c r="K195" s="140">
        <v>0</v>
      </c>
      <c r="L195" s="140"/>
      <c r="V195" s="228"/>
    </row>
    <row r="196" spans="1:22">
      <c r="A196" s="132" t="s">
        <v>300</v>
      </c>
      <c r="B196" s="132" t="s">
        <v>85</v>
      </c>
      <c r="C196" s="145" t="s">
        <v>104</v>
      </c>
      <c r="D196" s="146">
        <v>8386.09</v>
      </c>
      <c r="E196" s="146">
        <v>35.512999999999998</v>
      </c>
      <c r="F196" s="146">
        <v>35.512999999999998</v>
      </c>
      <c r="G196" s="146">
        <v>0</v>
      </c>
      <c r="H196" s="146">
        <v>0</v>
      </c>
      <c r="I196" s="140">
        <v>4.2347506406442094E-3</v>
      </c>
      <c r="J196" s="140">
        <v>4.2347506406442094E-3</v>
      </c>
      <c r="K196" s="140">
        <v>0</v>
      </c>
      <c r="L196" s="140"/>
      <c r="V196" s="228"/>
    </row>
    <row r="197" spans="1:22">
      <c r="A197" s="132" t="s">
        <v>301</v>
      </c>
      <c r="B197" s="132" t="s">
        <v>85</v>
      </c>
      <c r="C197" s="145" t="s">
        <v>106</v>
      </c>
      <c r="D197" s="146">
        <v>8433.1</v>
      </c>
      <c r="E197" s="146">
        <v>40.841000000000001</v>
      </c>
      <c r="F197" s="146">
        <v>40.841000000000001</v>
      </c>
      <c r="G197" s="146">
        <v>0</v>
      </c>
      <c r="H197" s="146">
        <v>0</v>
      </c>
      <c r="I197" s="140">
        <v>4.8429403185068359E-3</v>
      </c>
      <c r="J197" s="140">
        <v>4.8429403185068359E-3</v>
      </c>
      <c r="K197" s="140">
        <v>0</v>
      </c>
      <c r="L197" s="140"/>
      <c r="V197" s="228"/>
    </row>
    <row r="198" spans="1:22">
      <c r="A198" s="132" t="s">
        <v>302</v>
      </c>
      <c r="B198" s="132" t="s">
        <v>85</v>
      </c>
      <c r="C198" s="145" t="s">
        <v>108</v>
      </c>
      <c r="D198" s="146">
        <v>8490.91</v>
      </c>
      <c r="E198" s="146">
        <v>57.25</v>
      </c>
      <c r="F198" s="146">
        <v>57.25</v>
      </c>
      <c r="G198" s="146">
        <v>0</v>
      </c>
      <c r="H198" s="146">
        <v>0</v>
      </c>
      <c r="I198" s="140">
        <v>6.7425046314234871E-3</v>
      </c>
      <c r="J198" s="140">
        <v>6.7425046314234871E-3</v>
      </c>
      <c r="K198" s="140">
        <v>0</v>
      </c>
      <c r="L198" s="140"/>
      <c r="V198" s="228"/>
    </row>
    <row r="199" spans="1:22">
      <c r="A199" s="132" t="s">
        <v>303</v>
      </c>
      <c r="B199" s="132" t="s">
        <v>85</v>
      </c>
      <c r="C199" s="145" t="s">
        <v>110</v>
      </c>
      <c r="D199" s="146">
        <v>8529.8700000000008</v>
      </c>
      <c r="E199" s="146">
        <v>39.380000000000003</v>
      </c>
      <c r="F199" s="146">
        <v>39.380000000000003</v>
      </c>
      <c r="G199" s="146">
        <v>0</v>
      </c>
      <c r="H199" s="146">
        <v>0</v>
      </c>
      <c r="I199" s="140">
        <v>4.6167174880742609E-3</v>
      </c>
      <c r="J199" s="140">
        <v>4.6167174880742609E-3</v>
      </c>
      <c r="K199" s="140">
        <v>0</v>
      </c>
      <c r="L199" s="140"/>
      <c r="V199" s="228"/>
    </row>
    <row r="200" spans="1:22">
      <c r="A200" s="132" t="s">
        <v>304</v>
      </c>
      <c r="B200" s="132" t="s">
        <v>85</v>
      </c>
      <c r="C200" s="145" t="s">
        <v>112</v>
      </c>
      <c r="D200" s="146">
        <v>8579.5</v>
      </c>
      <c r="E200" s="146">
        <v>26.7</v>
      </c>
      <c r="F200" s="146">
        <v>26.7</v>
      </c>
      <c r="G200" s="146">
        <v>0</v>
      </c>
      <c r="H200" s="146">
        <v>0</v>
      </c>
      <c r="I200" s="140">
        <v>3.1120694679177109E-3</v>
      </c>
      <c r="J200" s="140">
        <v>3.1120694679177109E-3</v>
      </c>
      <c r="K200" s="140">
        <v>0</v>
      </c>
      <c r="L200" s="140"/>
      <c r="V200" s="228"/>
    </row>
    <row r="201" spans="1:22">
      <c r="A201" s="132" t="s">
        <v>305</v>
      </c>
      <c r="B201" s="132" t="s">
        <v>85</v>
      </c>
      <c r="C201" s="145" t="s">
        <v>114</v>
      </c>
      <c r="D201" s="146">
        <v>8622.1</v>
      </c>
      <c r="E201" s="146">
        <v>33.1</v>
      </c>
      <c r="F201" s="146">
        <v>33.1</v>
      </c>
      <c r="G201" s="146">
        <v>0</v>
      </c>
      <c r="H201" s="146">
        <v>0</v>
      </c>
      <c r="I201" s="140">
        <v>3.8389719441899307E-3</v>
      </c>
      <c r="J201" s="140">
        <v>3.8389719441899307E-3</v>
      </c>
      <c r="K201" s="140">
        <v>0</v>
      </c>
      <c r="L201" s="140"/>
      <c r="V201" s="228"/>
    </row>
    <row r="202" spans="1:22">
      <c r="A202" s="132" t="s">
        <v>306</v>
      </c>
      <c r="B202" s="132" t="s">
        <v>85</v>
      </c>
      <c r="C202" s="145" t="s">
        <v>116</v>
      </c>
      <c r="D202" s="146">
        <v>8675.4</v>
      </c>
      <c r="E202" s="146">
        <v>24.5</v>
      </c>
      <c r="F202" s="146">
        <v>24.5</v>
      </c>
      <c r="G202" s="146">
        <v>0</v>
      </c>
      <c r="H202" s="146">
        <v>0</v>
      </c>
      <c r="I202" s="140">
        <v>2.8240772759757478E-3</v>
      </c>
      <c r="J202" s="140">
        <v>2.8240772759757478E-3</v>
      </c>
      <c r="K202" s="140">
        <v>0</v>
      </c>
      <c r="L202" s="140"/>
      <c r="V202" s="228"/>
    </row>
    <row r="203" spans="1:22">
      <c r="A203" s="132" t="s">
        <v>307</v>
      </c>
      <c r="B203" s="132" t="s">
        <v>85</v>
      </c>
      <c r="C203" s="145" t="s">
        <v>72</v>
      </c>
      <c r="D203" s="146">
        <v>8702.244999999999</v>
      </c>
      <c r="E203" s="146">
        <v>21.19</v>
      </c>
      <c r="F203" s="146">
        <v>21.19</v>
      </c>
      <c r="G203" s="146">
        <v>0</v>
      </c>
      <c r="H203" s="146">
        <v>0</v>
      </c>
      <c r="I203" s="140">
        <v>2.4350038409628786E-3</v>
      </c>
      <c r="J203" s="140">
        <v>2.4350038409628786E-3</v>
      </c>
      <c r="K203" s="140">
        <v>0</v>
      </c>
      <c r="L203" s="140"/>
      <c r="V203" s="228"/>
    </row>
    <row r="204" spans="1:22">
      <c r="A204" s="132" t="s">
        <v>308</v>
      </c>
      <c r="B204" s="132" t="s">
        <v>85</v>
      </c>
      <c r="C204" s="145" t="s">
        <v>74</v>
      </c>
      <c r="D204" s="146">
        <v>8747.753200000001</v>
      </c>
      <c r="E204" s="146">
        <v>7.7</v>
      </c>
      <c r="F204" s="146">
        <v>7.7</v>
      </c>
      <c r="G204" s="146">
        <v>0</v>
      </c>
      <c r="H204" s="146">
        <v>0</v>
      </c>
      <c r="I204" s="140">
        <v>8.8022602192297777E-4</v>
      </c>
      <c r="J204" s="140">
        <v>8.8022602192297777E-4</v>
      </c>
      <c r="K204" s="140">
        <v>0</v>
      </c>
      <c r="L204" s="140"/>
      <c r="V204" s="228"/>
    </row>
    <row r="205" spans="1:22">
      <c r="A205" s="132" t="s">
        <v>309</v>
      </c>
      <c r="B205" s="132" t="s">
        <v>85</v>
      </c>
      <c r="C205" s="145" t="s">
        <v>75</v>
      </c>
      <c r="D205" s="146">
        <v>8788.4449999999997</v>
      </c>
      <c r="E205" s="146">
        <v>19</v>
      </c>
      <c r="F205" s="146">
        <v>19</v>
      </c>
      <c r="G205" s="146">
        <v>0</v>
      </c>
      <c r="H205" s="146">
        <v>0</v>
      </c>
      <c r="I205" s="140">
        <v>2.1619296701521147E-3</v>
      </c>
      <c r="J205" s="140">
        <v>2.1619296701521147E-3</v>
      </c>
      <c r="K205" s="140">
        <v>0</v>
      </c>
      <c r="L205" s="140"/>
      <c r="V205" s="228"/>
    </row>
    <row r="206" spans="1:22">
      <c r="A206" s="132" t="s">
        <v>310</v>
      </c>
      <c r="B206" s="132" t="s">
        <v>85</v>
      </c>
      <c r="C206" s="145" t="s">
        <v>76</v>
      </c>
      <c r="D206" s="146">
        <v>8831.5450000000001</v>
      </c>
      <c r="E206" s="146">
        <v>50</v>
      </c>
      <c r="F206" s="146">
        <v>50</v>
      </c>
      <c r="G206" s="146">
        <v>0</v>
      </c>
      <c r="H206" s="146">
        <v>0</v>
      </c>
      <c r="I206" s="140">
        <v>5.6615235499564345E-3</v>
      </c>
      <c r="J206" s="140">
        <v>5.6615235499564345E-3</v>
      </c>
      <c r="K206" s="140">
        <v>0</v>
      </c>
      <c r="L206" s="140"/>
      <c r="V206" s="228"/>
    </row>
    <row r="207" spans="1:22">
      <c r="A207" s="132" t="s">
        <v>311</v>
      </c>
      <c r="B207" s="132" t="s">
        <v>85</v>
      </c>
      <c r="C207" s="145" t="s">
        <v>77</v>
      </c>
      <c r="D207" s="146">
        <v>8874.6450000000004</v>
      </c>
      <c r="E207" s="146">
        <v>50</v>
      </c>
      <c r="F207" s="146">
        <v>50</v>
      </c>
      <c r="G207" s="146">
        <v>0</v>
      </c>
      <c r="H207" s="146">
        <v>0</v>
      </c>
      <c r="I207" s="140">
        <v>5.6340281780285295E-3</v>
      </c>
      <c r="J207" s="140">
        <v>5.6340281780285295E-3</v>
      </c>
      <c r="K207" s="140">
        <v>0</v>
      </c>
      <c r="L207" s="140"/>
      <c r="V207" s="228"/>
    </row>
    <row r="208" spans="1:22">
      <c r="A208" s="132" t="s">
        <v>312</v>
      </c>
      <c r="B208" s="132" t="s">
        <v>85</v>
      </c>
      <c r="C208" s="145" t="s">
        <v>78</v>
      </c>
      <c r="D208" s="146">
        <v>8917.7450000000008</v>
      </c>
      <c r="E208" s="146">
        <v>50</v>
      </c>
      <c r="F208" s="146">
        <v>50</v>
      </c>
      <c r="G208" s="146">
        <v>0</v>
      </c>
      <c r="H208" s="146">
        <v>0</v>
      </c>
      <c r="I208" s="140">
        <v>5.6067985796857834E-3</v>
      </c>
      <c r="J208" s="140">
        <v>5.6067985796857834E-3</v>
      </c>
      <c r="K208" s="140">
        <v>0</v>
      </c>
      <c r="L208" s="140"/>
      <c r="V208" s="228"/>
    </row>
    <row r="209" spans="1:22">
      <c r="A209" s="132" t="s">
        <v>313</v>
      </c>
      <c r="B209" s="132" t="s">
        <v>85</v>
      </c>
      <c r="C209" s="145" t="s">
        <v>79</v>
      </c>
      <c r="D209" s="146">
        <v>8960.8450000000012</v>
      </c>
      <c r="E209" s="146">
        <v>50</v>
      </c>
      <c r="F209" s="146">
        <v>50</v>
      </c>
      <c r="G209" s="146">
        <v>0</v>
      </c>
      <c r="H209" s="146">
        <v>0</v>
      </c>
      <c r="I209" s="140">
        <v>5.5798309199634622E-3</v>
      </c>
      <c r="J209" s="140">
        <v>5.5798309199634622E-3</v>
      </c>
      <c r="K209" s="140">
        <v>0</v>
      </c>
      <c r="L209" s="140"/>
      <c r="V209" s="228"/>
    </row>
    <row r="210" spans="1:22">
      <c r="A210" s="132" t="s">
        <v>314</v>
      </c>
      <c r="B210" s="132" t="s">
        <v>85</v>
      </c>
      <c r="C210" s="145" t="s">
        <v>80</v>
      </c>
      <c r="D210" s="146">
        <v>9003.9450000000015</v>
      </c>
      <c r="E210" s="146">
        <v>50</v>
      </c>
      <c r="F210" s="146">
        <v>50</v>
      </c>
      <c r="G210" s="146">
        <v>0</v>
      </c>
      <c r="H210" s="146">
        <v>0</v>
      </c>
      <c r="I210" s="140">
        <v>5.5531214373255268E-3</v>
      </c>
      <c r="J210" s="140">
        <v>5.5531214373255268E-3</v>
      </c>
      <c r="K210" s="140">
        <v>0</v>
      </c>
      <c r="L210" s="140"/>
      <c r="V210" s="228"/>
    </row>
    <row r="211" spans="1:22">
      <c r="A211" s="132" t="s">
        <v>315</v>
      </c>
      <c r="B211" s="132" t="s">
        <v>82</v>
      </c>
      <c r="C211" s="145" t="s">
        <v>96</v>
      </c>
      <c r="D211" s="146">
        <v>46472.078000000001</v>
      </c>
      <c r="E211" s="146">
        <v>372.5</v>
      </c>
      <c r="F211" s="146">
        <v>372.5</v>
      </c>
      <c r="G211" s="146">
        <v>0</v>
      </c>
      <c r="H211" s="146">
        <v>0</v>
      </c>
      <c r="I211" s="140">
        <v>8.015565819974738E-3</v>
      </c>
      <c r="J211" s="140">
        <v>8.015565819974738E-3</v>
      </c>
      <c r="K211" s="140">
        <v>0</v>
      </c>
      <c r="L211" s="140"/>
      <c r="V211" s="228"/>
    </row>
    <row r="212" spans="1:22">
      <c r="A212" s="132" t="s">
        <v>316</v>
      </c>
      <c r="B212" s="132" t="s">
        <v>82</v>
      </c>
      <c r="C212" s="145" t="s">
        <v>98</v>
      </c>
      <c r="D212" s="146">
        <v>46575.817000000003</v>
      </c>
      <c r="E212" s="146">
        <v>289.7</v>
      </c>
      <c r="F212" s="146">
        <v>289.7</v>
      </c>
      <c r="G212" s="146">
        <v>0</v>
      </c>
      <c r="H212" s="146">
        <v>0</v>
      </c>
      <c r="I212" s="140">
        <v>6.2199660394577725E-3</v>
      </c>
      <c r="J212" s="140">
        <v>6.2199660394577725E-3</v>
      </c>
      <c r="K212" s="140">
        <v>0</v>
      </c>
      <c r="L212" s="140"/>
      <c r="V212" s="228"/>
    </row>
    <row r="213" spans="1:22">
      <c r="A213" s="132" t="s">
        <v>317</v>
      </c>
      <c r="B213" s="132" t="s">
        <v>82</v>
      </c>
      <c r="C213" s="145" t="s">
        <v>100</v>
      </c>
      <c r="D213" s="146">
        <v>46656.856</v>
      </c>
      <c r="E213" s="146">
        <v>263.60000000000002</v>
      </c>
      <c r="F213" s="146">
        <v>263.60000000000002</v>
      </c>
      <c r="G213" s="146">
        <v>0</v>
      </c>
      <c r="H213" s="146">
        <v>0</v>
      </c>
      <c r="I213" s="140">
        <v>5.6497591693705209E-3</v>
      </c>
      <c r="J213" s="140">
        <v>5.6497591693705209E-3</v>
      </c>
      <c r="K213" s="140">
        <v>0</v>
      </c>
      <c r="L213" s="140"/>
      <c r="V213" s="228"/>
    </row>
    <row r="214" spans="1:22">
      <c r="A214" s="132" t="s">
        <v>318</v>
      </c>
      <c r="B214" s="132" t="s">
        <v>82</v>
      </c>
      <c r="C214" s="145" t="s">
        <v>102</v>
      </c>
      <c r="D214" s="146">
        <v>46726.642</v>
      </c>
      <c r="E214" s="146">
        <v>222.9</v>
      </c>
      <c r="F214" s="146">
        <v>222.9</v>
      </c>
      <c r="G214" s="146">
        <v>0</v>
      </c>
      <c r="H214" s="146">
        <v>0</v>
      </c>
      <c r="I214" s="140">
        <v>4.7702978527752972E-3</v>
      </c>
      <c r="J214" s="140">
        <v>4.7702978527752972E-3</v>
      </c>
      <c r="K214" s="140">
        <v>0</v>
      </c>
      <c r="L214" s="140"/>
      <c r="V214" s="228"/>
    </row>
    <row r="215" spans="1:22">
      <c r="A215" s="132" t="s">
        <v>319</v>
      </c>
      <c r="B215" s="132" t="s">
        <v>82</v>
      </c>
      <c r="C215" s="145" t="s">
        <v>104</v>
      </c>
      <c r="D215" s="146">
        <v>46907.273000000001</v>
      </c>
      <c r="E215" s="146">
        <v>188.3</v>
      </c>
      <c r="F215" s="146">
        <v>188.3</v>
      </c>
      <c r="G215" s="146">
        <v>0</v>
      </c>
      <c r="H215" s="146">
        <v>0</v>
      </c>
      <c r="I215" s="140">
        <v>4.0143028566167133E-3</v>
      </c>
      <c r="J215" s="140">
        <v>4.0143028566167133E-3</v>
      </c>
      <c r="K215" s="140">
        <v>0</v>
      </c>
      <c r="L215" s="140"/>
      <c r="V215" s="228"/>
    </row>
    <row r="216" spans="1:22">
      <c r="A216" s="132" t="s">
        <v>320</v>
      </c>
      <c r="B216" s="132" t="s">
        <v>82</v>
      </c>
      <c r="C216" s="145" t="s">
        <v>106</v>
      </c>
      <c r="D216" s="146">
        <v>47055.184000000001</v>
      </c>
      <c r="E216" s="146">
        <v>166.6</v>
      </c>
      <c r="F216" s="146">
        <v>166.6</v>
      </c>
      <c r="G216" s="146">
        <v>0</v>
      </c>
      <c r="H216" s="146">
        <v>0</v>
      </c>
      <c r="I216" s="140">
        <v>3.5405238241125567E-3</v>
      </c>
      <c r="J216" s="140">
        <v>3.5405238241125567E-3</v>
      </c>
      <c r="K216" s="140">
        <v>0</v>
      </c>
      <c r="L216" s="140"/>
      <c r="V216" s="228"/>
    </row>
    <row r="217" spans="1:22">
      <c r="A217" s="132" t="s">
        <v>321</v>
      </c>
      <c r="B217" s="132" t="s">
        <v>82</v>
      </c>
      <c r="C217" s="145" t="s">
        <v>108</v>
      </c>
      <c r="D217" s="146">
        <v>47151.4</v>
      </c>
      <c r="E217" s="146">
        <v>119.2</v>
      </c>
      <c r="F217" s="146">
        <v>119.2</v>
      </c>
      <c r="G217" s="146">
        <v>0</v>
      </c>
      <c r="H217" s="146">
        <v>0</v>
      </c>
      <c r="I217" s="140">
        <v>2.5280267393969214E-3</v>
      </c>
      <c r="J217" s="140">
        <v>2.5280267393969214E-3</v>
      </c>
      <c r="K217" s="140">
        <v>0</v>
      </c>
      <c r="L217" s="140"/>
      <c r="V217" s="228"/>
    </row>
    <row r="218" spans="1:22">
      <c r="A218" s="132" t="s">
        <v>322</v>
      </c>
      <c r="B218" s="132" t="s">
        <v>82</v>
      </c>
      <c r="C218" s="145" t="s">
        <v>110</v>
      </c>
      <c r="D218" s="146">
        <v>46814.915999999997</v>
      </c>
      <c r="E218" s="146">
        <v>232.286</v>
      </c>
      <c r="F218" s="146">
        <v>232.286</v>
      </c>
      <c r="G218" s="146">
        <v>0</v>
      </c>
      <c r="H218" s="146">
        <v>0</v>
      </c>
      <c r="I218" s="140">
        <v>4.9617946553615518E-3</v>
      </c>
      <c r="J218" s="140">
        <v>4.9617946553615518E-3</v>
      </c>
      <c r="K218" s="140">
        <v>0</v>
      </c>
      <c r="L218" s="140"/>
      <c r="V218" s="228"/>
    </row>
    <row r="219" spans="1:22">
      <c r="A219" s="132" t="s">
        <v>323</v>
      </c>
      <c r="B219" s="132" t="s">
        <v>82</v>
      </c>
      <c r="C219" s="145" t="s">
        <v>112</v>
      </c>
      <c r="D219" s="146">
        <v>47064.41</v>
      </c>
      <c r="E219" s="146">
        <v>279.60000000000002</v>
      </c>
      <c r="F219" s="146">
        <v>279.60000000000002</v>
      </c>
      <c r="G219" s="146">
        <v>0</v>
      </c>
      <c r="H219" s="146">
        <v>0</v>
      </c>
      <c r="I219" s="140">
        <v>5.9407947534028368E-3</v>
      </c>
      <c r="J219" s="140">
        <v>5.9407947534028368E-3</v>
      </c>
      <c r="K219" s="140">
        <v>0</v>
      </c>
      <c r="L219" s="140"/>
      <c r="V219" s="228"/>
    </row>
    <row r="220" spans="1:22">
      <c r="A220" s="132" t="s">
        <v>324</v>
      </c>
      <c r="B220" s="132" t="s">
        <v>82</v>
      </c>
      <c r="C220" s="145" t="s">
        <v>114</v>
      </c>
      <c r="D220" s="146">
        <v>47354</v>
      </c>
      <c r="E220" s="146">
        <v>43.76</v>
      </c>
      <c r="F220" s="146">
        <v>43.76</v>
      </c>
      <c r="G220" s="146">
        <v>0</v>
      </c>
      <c r="H220" s="146">
        <v>0</v>
      </c>
      <c r="I220" s="140">
        <v>9.2410356041728258E-4</v>
      </c>
      <c r="J220" s="140">
        <v>9.2410356041728258E-4</v>
      </c>
      <c r="K220" s="140">
        <v>0</v>
      </c>
      <c r="L220" s="140"/>
      <c r="V220" s="228"/>
    </row>
    <row r="221" spans="1:22">
      <c r="A221" s="132" t="s">
        <v>325</v>
      </c>
      <c r="B221" s="132" t="s">
        <v>82</v>
      </c>
      <c r="C221" s="145" t="s">
        <v>116</v>
      </c>
      <c r="D221" s="146">
        <v>47634.1</v>
      </c>
      <c r="E221" s="146">
        <v>70.3</v>
      </c>
      <c r="F221" s="146">
        <v>70.3</v>
      </c>
      <c r="G221" s="146">
        <v>0</v>
      </c>
      <c r="H221" s="146">
        <v>0</v>
      </c>
      <c r="I221" s="140">
        <v>1.4758334890341163E-3</v>
      </c>
      <c r="J221" s="140">
        <v>1.4758334890341163E-3</v>
      </c>
      <c r="K221" s="140">
        <v>0</v>
      </c>
      <c r="L221" s="140"/>
      <c r="V221" s="228"/>
    </row>
    <row r="222" spans="1:22">
      <c r="A222" s="132" t="s">
        <v>326</v>
      </c>
      <c r="B222" s="132" t="s">
        <v>82</v>
      </c>
      <c r="C222" s="145" t="s">
        <v>72</v>
      </c>
      <c r="D222" s="146">
        <v>47873.4</v>
      </c>
      <c r="E222" s="146">
        <v>93.3</v>
      </c>
      <c r="F222" s="146">
        <v>93.3</v>
      </c>
      <c r="G222" s="146">
        <v>0</v>
      </c>
      <c r="H222" s="146">
        <v>0</v>
      </c>
      <c r="I222" s="140">
        <v>1.9488901978969532E-3</v>
      </c>
      <c r="J222" s="140">
        <v>1.9488901978969532E-3</v>
      </c>
      <c r="K222" s="140">
        <v>0</v>
      </c>
      <c r="L222" s="140"/>
      <c r="V222" s="228"/>
    </row>
    <row r="223" spans="1:22">
      <c r="A223" s="132" t="s">
        <v>327</v>
      </c>
      <c r="B223" s="132" t="s">
        <v>82</v>
      </c>
      <c r="C223" s="145" t="s">
        <v>74</v>
      </c>
      <c r="D223" s="146">
        <v>48042.6</v>
      </c>
      <c r="E223" s="146">
        <v>91.5</v>
      </c>
      <c r="F223" s="146">
        <v>91.5</v>
      </c>
      <c r="G223" s="146">
        <v>0</v>
      </c>
      <c r="H223" s="146">
        <v>0</v>
      </c>
      <c r="I223" s="140">
        <v>1.9045597032633539E-3</v>
      </c>
      <c r="J223" s="140">
        <v>1.9045597032633539E-3</v>
      </c>
      <c r="K223" s="140">
        <v>0</v>
      </c>
      <c r="L223" s="140"/>
      <c r="V223" s="228"/>
    </row>
    <row r="224" spans="1:22">
      <c r="A224" s="132" t="s">
        <v>328</v>
      </c>
      <c r="B224" s="132" t="s">
        <v>82</v>
      </c>
      <c r="C224" s="145" t="s">
        <v>75</v>
      </c>
      <c r="D224" s="146">
        <v>48239.1</v>
      </c>
      <c r="E224" s="146">
        <v>129.1</v>
      </c>
      <c r="F224" s="146">
        <v>129.1</v>
      </c>
      <c r="G224" s="146">
        <v>0</v>
      </c>
      <c r="H224" s="146">
        <v>0</v>
      </c>
      <c r="I224" s="140">
        <v>2.6762522518040343E-3</v>
      </c>
      <c r="J224" s="140">
        <v>2.6762522518040343E-3</v>
      </c>
      <c r="K224" s="140">
        <v>0</v>
      </c>
      <c r="L224" s="140"/>
      <c r="V224" s="228"/>
    </row>
    <row r="225" spans="1:22">
      <c r="A225" s="132" t="s">
        <v>329</v>
      </c>
      <c r="B225" s="132" t="s">
        <v>82</v>
      </c>
      <c r="C225" s="145" t="s">
        <v>76</v>
      </c>
      <c r="D225" s="146">
        <v>48374.5</v>
      </c>
      <c r="E225" s="146">
        <v>279</v>
      </c>
      <c r="F225" s="146">
        <v>186</v>
      </c>
      <c r="G225" s="146">
        <v>0</v>
      </c>
      <c r="H225" s="146">
        <v>93</v>
      </c>
      <c r="I225" s="140">
        <v>5.7675014728834403E-3</v>
      </c>
      <c r="J225" s="140">
        <v>3.8450009819222938E-3</v>
      </c>
      <c r="K225" s="140">
        <v>1.9225004909611469E-3</v>
      </c>
      <c r="L225" s="140"/>
      <c r="V225" s="228"/>
    </row>
    <row r="226" spans="1:22">
      <c r="A226" s="132" t="s">
        <v>330</v>
      </c>
      <c r="B226" s="132" t="s">
        <v>82</v>
      </c>
      <c r="C226" s="145" t="s">
        <v>77</v>
      </c>
      <c r="D226" s="146">
        <v>48532.4</v>
      </c>
      <c r="E226" s="146">
        <v>279</v>
      </c>
      <c r="F226" s="146">
        <v>186</v>
      </c>
      <c r="G226" s="146">
        <v>0</v>
      </c>
      <c r="H226" s="146">
        <v>93</v>
      </c>
      <c r="I226" s="140">
        <v>5.7487369262595707E-3</v>
      </c>
      <c r="J226" s="140">
        <v>3.832491284173047E-3</v>
      </c>
      <c r="K226" s="140">
        <v>1.9162456420865235E-3</v>
      </c>
      <c r="L226" s="140"/>
      <c r="V226" s="228"/>
    </row>
    <row r="227" spans="1:22">
      <c r="A227" s="132" t="s">
        <v>331</v>
      </c>
      <c r="B227" s="132" t="s">
        <v>82</v>
      </c>
      <c r="C227" s="145" t="s">
        <v>78</v>
      </c>
      <c r="D227" s="146">
        <v>48684</v>
      </c>
      <c r="E227" s="146">
        <v>279</v>
      </c>
      <c r="F227" s="146">
        <v>186</v>
      </c>
      <c r="G227" s="146">
        <v>0</v>
      </c>
      <c r="H227" s="146">
        <v>93</v>
      </c>
      <c r="I227" s="140">
        <v>5.7308355928025632E-3</v>
      </c>
      <c r="J227" s="140">
        <v>3.8205570618683755E-3</v>
      </c>
      <c r="K227" s="140">
        <v>1.9102785309341877E-3</v>
      </c>
      <c r="L227" s="140"/>
      <c r="V227" s="228"/>
    </row>
    <row r="228" spans="1:22">
      <c r="A228" s="132" t="s">
        <v>332</v>
      </c>
      <c r="B228" s="132" t="s">
        <v>82</v>
      </c>
      <c r="C228" s="145" t="s">
        <v>79</v>
      </c>
      <c r="D228" s="146">
        <v>48839.5</v>
      </c>
      <c r="E228" s="146">
        <v>279</v>
      </c>
      <c r="F228" s="146">
        <v>186</v>
      </c>
      <c r="G228" s="146">
        <v>0</v>
      </c>
      <c r="H228" s="146">
        <v>93</v>
      </c>
      <c r="I228" s="140">
        <v>5.7125891952210812E-3</v>
      </c>
      <c r="J228" s="140">
        <v>3.8083927968140543E-3</v>
      </c>
      <c r="K228" s="140">
        <v>1.9041963984070271E-3</v>
      </c>
      <c r="L228" s="140"/>
      <c r="V228" s="228"/>
    </row>
    <row r="229" spans="1:22">
      <c r="A229" s="132" t="s">
        <v>333</v>
      </c>
      <c r="B229" s="132" t="s">
        <v>82</v>
      </c>
      <c r="C229" s="145" t="s">
        <v>80</v>
      </c>
      <c r="D229" s="146">
        <v>48998.7</v>
      </c>
      <c r="E229" s="146">
        <v>279</v>
      </c>
      <c r="F229" s="146">
        <v>186</v>
      </c>
      <c r="G229" s="146">
        <v>0</v>
      </c>
      <c r="H229" s="146">
        <v>93</v>
      </c>
      <c r="I229" s="140">
        <v>5.6940286170857595E-3</v>
      </c>
      <c r="J229" s="140">
        <v>3.796019078057173E-3</v>
      </c>
      <c r="K229" s="140">
        <v>1.8980095390285865E-3</v>
      </c>
      <c r="L229" s="140"/>
      <c r="V229" s="228"/>
    </row>
    <row r="230" spans="1:22">
      <c r="A230" s="132" t="s">
        <v>334</v>
      </c>
      <c r="B230" s="132" t="s">
        <v>83</v>
      </c>
      <c r="C230" s="145" t="s">
        <v>96</v>
      </c>
      <c r="D230" s="146">
        <v>17952.099999999999</v>
      </c>
      <c r="E230" s="146">
        <v>44.9</v>
      </c>
      <c r="F230" s="146">
        <v>44.9</v>
      </c>
      <c r="G230" s="146">
        <v>0</v>
      </c>
      <c r="H230" s="146">
        <v>0</v>
      </c>
      <c r="I230" s="140">
        <v>2.5011001498431939E-3</v>
      </c>
      <c r="J230" s="140">
        <v>2.5011001498431939E-3</v>
      </c>
      <c r="K230" s="140">
        <v>0</v>
      </c>
      <c r="L230" s="140"/>
      <c r="V230" s="228"/>
    </row>
    <row r="231" spans="1:22">
      <c r="A231" s="132" t="s">
        <v>335</v>
      </c>
      <c r="B231" s="132" t="s">
        <v>83</v>
      </c>
      <c r="C231" s="145" t="s">
        <v>98</v>
      </c>
      <c r="D231" s="146">
        <v>17997.900000000001</v>
      </c>
      <c r="E231" s="146">
        <v>30.797000000000001</v>
      </c>
      <c r="F231" s="146">
        <v>30.797000000000001</v>
      </c>
      <c r="G231" s="146">
        <v>0</v>
      </c>
      <c r="H231" s="146">
        <v>0</v>
      </c>
      <c r="I231" s="140">
        <v>1.7111440779202017E-3</v>
      </c>
      <c r="J231" s="140">
        <v>1.7111440779202017E-3</v>
      </c>
      <c r="K231" s="140">
        <v>0</v>
      </c>
      <c r="L231" s="140"/>
      <c r="V231" s="228"/>
    </row>
    <row r="232" spans="1:22">
      <c r="A232" s="132" t="s">
        <v>336</v>
      </c>
      <c r="B232" s="132" t="s">
        <v>83</v>
      </c>
      <c r="C232" s="145" t="s">
        <v>100</v>
      </c>
      <c r="D232" s="146">
        <v>18024.2</v>
      </c>
      <c r="E232" s="146">
        <v>40.33</v>
      </c>
      <c r="F232" s="146">
        <v>40.33</v>
      </c>
      <c r="G232" s="146">
        <v>0</v>
      </c>
      <c r="H232" s="146">
        <v>0</v>
      </c>
      <c r="I232" s="140">
        <v>2.2375472975222199E-3</v>
      </c>
      <c r="J232" s="140">
        <v>2.2375472975222199E-3</v>
      </c>
      <c r="K232" s="140">
        <v>0</v>
      </c>
      <c r="L232" s="140"/>
      <c r="V232" s="228"/>
    </row>
    <row r="233" spans="1:22">
      <c r="A233" s="132" t="s">
        <v>337</v>
      </c>
      <c r="B233" s="132" t="s">
        <v>83</v>
      </c>
      <c r="C233" s="145" t="s">
        <v>102</v>
      </c>
      <c r="D233" s="146">
        <v>18082.900000000001</v>
      </c>
      <c r="E233" s="146">
        <v>39.522500000000001</v>
      </c>
      <c r="F233" s="146">
        <v>39.522500000000001</v>
      </c>
      <c r="G233" s="146">
        <v>0</v>
      </c>
      <c r="H233" s="146">
        <v>0</v>
      </c>
      <c r="I233" s="140">
        <v>2.1856284113720694E-3</v>
      </c>
      <c r="J233" s="140">
        <v>2.1856284113720694E-3</v>
      </c>
      <c r="K233" s="140">
        <v>0</v>
      </c>
      <c r="L233" s="140"/>
      <c r="V233" s="228"/>
    </row>
    <row r="234" spans="1:22">
      <c r="A234" s="132" t="s">
        <v>338</v>
      </c>
      <c r="B234" s="132" t="s">
        <v>83</v>
      </c>
      <c r="C234" s="145" t="s">
        <v>104</v>
      </c>
      <c r="D234" s="146">
        <v>18117.3</v>
      </c>
      <c r="E234" s="146">
        <v>9.8390000000000004</v>
      </c>
      <c r="F234" s="146">
        <v>9.8390000000000004</v>
      </c>
      <c r="G234" s="146">
        <v>0</v>
      </c>
      <c r="H234" s="146">
        <v>0</v>
      </c>
      <c r="I234" s="140">
        <v>5.4307209131603494E-4</v>
      </c>
      <c r="J234" s="140">
        <v>5.4307209131603494E-4</v>
      </c>
      <c r="K234" s="140">
        <v>0</v>
      </c>
      <c r="L234" s="140"/>
      <c r="V234" s="228"/>
    </row>
    <row r="235" spans="1:22">
      <c r="A235" s="132" t="s">
        <v>339</v>
      </c>
      <c r="B235" s="132" t="s">
        <v>83</v>
      </c>
      <c r="C235" s="145" t="s">
        <v>106</v>
      </c>
      <c r="D235" s="146">
        <v>18176.099999999999</v>
      </c>
      <c r="E235" s="146">
        <v>19.856000000000002</v>
      </c>
      <c r="F235" s="146">
        <v>19.856000000000002</v>
      </c>
      <c r="G235" s="146">
        <v>0</v>
      </c>
      <c r="H235" s="146">
        <v>0</v>
      </c>
      <c r="I235" s="140">
        <v>1.0924235672118883E-3</v>
      </c>
      <c r="J235" s="140">
        <v>1.0924235672118883E-3</v>
      </c>
      <c r="K235" s="140">
        <v>0</v>
      </c>
      <c r="L235" s="140"/>
      <c r="V235" s="228"/>
    </row>
    <row r="236" spans="1:22">
      <c r="A236" s="132" t="s">
        <v>340</v>
      </c>
      <c r="B236" s="132" t="s">
        <v>83</v>
      </c>
      <c r="C236" s="145" t="s">
        <v>108</v>
      </c>
      <c r="D236" s="146">
        <v>18233</v>
      </c>
      <c r="E236" s="146">
        <v>5.5</v>
      </c>
      <c r="F236" s="146">
        <v>5.5</v>
      </c>
      <c r="G236" s="146">
        <v>0</v>
      </c>
      <c r="H236" s="146">
        <v>0</v>
      </c>
      <c r="I236" s="140">
        <v>3.0165085284922943E-4</v>
      </c>
      <c r="J236" s="140">
        <v>3.0165085284922943E-4</v>
      </c>
      <c r="K236" s="140">
        <v>0</v>
      </c>
      <c r="L236" s="140"/>
      <c r="V236" s="228"/>
    </row>
    <row r="237" spans="1:22">
      <c r="A237" s="132" t="s">
        <v>341</v>
      </c>
      <c r="B237" s="132" t="s">
        <v>83</v>
      </c>
      <c r="C237" s="145" t="s">
        <v>110</v>
      </c>
      <c r="D237" s="146">
        <v>18300.34</v>
      </c>
      <c r="E237" s="146">
        <v>7</v>
      </c>
      <c r="F237" s="146">
        <v>7</v>
      </c>
      <c r="G237" s="146">
        <v>0</v>
      </c>
      <c r="H237" s="146">
        <v>0</v>
      </c>
      <c r="I237" s="140">
        <v>3.825065545230307E-4</v>
      </c>
      <c r="J237" s="140">
        <v>3.825065545230307E-4</v>
      </c>
      <c r="K237" s="140">
        <v>0</v>
      </c>
      <c r="L237" s="140"/>
      <c r="V237" s="228"/>
    </row>
    <row r="238" spans="1:22">
      <c r="A238" s="132" t="s">
        <v>342</v>
      </c>
      <c r="B238" s="132" t="s">
        <v>83</v>
      </c>
      <c r="C238" s="145" t="s">
        <v>112</v>
      </c>
      <c r="D238" s="146">
        <v>18369.64</v>
      </c>
      <c r="E238" s="146">
        <v>9.3000000000000007</v>
      </c>
      <c r="F238" s="146">
        <v>9.3000000000000007</v>
      </c>
      <c r="G238" s="146">
        <v>0</v>
      </c>
      <c r="H238" s="146">
        <v>0</v>
      </c>
      <c r="I238" s="140">
        <v>5.0627012832042445E-4</v>
      </c>
      <c r="J238" s="140">
        <v>5.0627012832042445E-4</v>
      </c>
      <c r="K238" s="140">
        <v>0</v>
      </c>
      <c r="L238" s="140"/>
      <c r="V238" s="228"/>
    </row>
    <row r="239" spans="1:22">
      <c r="A239" s="132" t="s">
        <v>343</v>
      </c>
      <c r="B239" s="132" t="s">
        <v>83</v>
      </c>
      <c r="C239" s="145" t="s">
        <v>114</v>
      </c>
      <c r="D239" s="146">
        <v>18432.71</v>
      </c>
      <c r="E239" s="146">
        <v>7.9</v>
      </c>
      <c r="F239" s="146">
        <v>7.9</v>
      </c>
      <c r="G239" s="146">
        <v>0</v>
      </c>
      <c r="H239" s="146">
        <v>0</v>
      </c>
      <c r="I239" s="140">
        <v>4.2858592144074314E-4</v>
      </c>
      <c r="J239" s="140">
        <v>4.2858592144074314E-4</v>
      </c>
      <c r="K239" s="140">
        <v>0</v>
      </c>
      <c r="L239" s="140"/>
      <c r="V239" s="228"/>
    </row>
    <row r="240" spans="1:22">
      <c r="A240" s="132" t="s">
        <v>344</v>
      </c>
      <c r="B240" s="132" t="s">
        <v>83</v>
      </c>
      <c r="C240" s="145" t="s">
        <v>116</v>
      </c>
      <c r="D240" s="146">
        <v>18490.099999999999</v>
      </c>
      <c r="E240" s="146">
        <v>16.7</v>
      </c>
      <c r="F240" s="146">
        <v>16.7</v>
      </c>
      <c r="G240" s="146">
        <v>0</v>
      </c>
      <c r="H240" s="146">
        <v>0</v>
      </c>
      <c r="I240" s="140">
        <v>9.0318602928053399E-4</v>
      </c>
      <c r="J240" s="140">
        <v>9.0318602928053399E-4</v>
      </c>
      <c r="K240" s="140">
        <v>0</v>
      </c>
      <c r="L240" s="140"/>
      <c r="V240" s="228"/>
    </row>
    <row r="241" spans="1:22">
      <c r="A241" s="132" t="s">
        <v>345</v>
      </c>
      <c r="B241" s="132" t="s">
        <v>83</v>
      </c>
      <c r="C241" s="145" t="s">
        <v>72</v>
      </c>
      <c r="D241" s="146">
        <v>18545.900000000001</v>
      </c>
      <c r="E241" s="146">
        <v>10.1</v>
      </c>
      <c r="F241" s="146">
        <v>10.1</v>
      </c>
      <c r="G241" s="146">
        <v>0</v>
      </c>
      <c r="H241" s="146">
        <v>0</v>
      </c>
      <c r="I241" s="140">
        <v>5.4459476218463379E-4</v>
      </c>
      <c r="J241" s="140">
        <v>5.4459476218463379E-4</v>
      </c>
      <c r="K241" s="140">
        <v>0</v>
      </c>
      <c r="L241" s="140"/>
      <c r="V241" s="228"/>
    </row>
    <row r="242" spans="1:22">
      <c r="A242" s="132" t="s">
        <v>346</v>
      </c>
      <c r="B242" s="132" t="s">
        <v>83</v>
      </c>
      <c r="C242" s="145" t="s">
        <v>74</v>
      </c>
      <c r="D242" s="146">
        <v>18583.400000000001</v>
      </c>
      <c r="E242" s="146">
        <v>10.37</v>
      </c>
      <c r="F242" s="146">
        <v>10.37</v>
      </c>
      <c r="G242" s="146">
        <v>0</v>
      </c>
      <c r="H242" s="146">
        <v>0</v>
      </c>
      <c r="I242" s="140">
        <v>5.5802490394653282E-4</v>
      </c>
      <c r="J242" s="140">
        <v>5.5802490394653282E-4</v>
      </c>
      <c r="K242" s="140">
        <v>0</v>
      </c>
      <c r="L242" s="140"/>
      <c r="V242" s="228"/>
    </row>
    <row r="243" spans="1:22">
      <c r="A243" s="132" t="s">
        <v>347</v>
      </c>
      <c r="B243" s="132" t="s">
        <v>83</v>
      </c>
      <c r="C243" s="145" t="s">
        <v>75</v>
      </c>
      <c r="D243" s="146">
        <v>18633.5</v>
      </c>
      <c r="E243" s="146">
        <v>10.1</v>
      </c>
      <c r="F243" s="146">
        <v>10.1</v>
      </c>
      <c r="G243" s="146">
        <v>0</v>
      </c>
      <c r="H243" s="146">
        <v>0</v>
      </c>
      <c r="I243" s="140">
        <v>5.4203450774143347E-4</v>
      </c>
      <c r="J243" s="140">
        <v>5.4203450774143347E-4</v>
      </c>
      <c r="K243" s="140">
        <v>0</v>
      </c>
      <c r="L243" s="140"/>
      <c r="V243" s="228"/>
    </row>
    <row r="244" spans="1:22">
      <c r="A244" s="132" t="s">
        <v>348</v>
      </c>
      <c r="B244" s="132" t="s">
        <v>83</v>
      </c>
      <c r="C244" s="145" t="s">
        <v>76</v>
      </c>
      <c r="D244" s="146">
        <v>18673.099999999999</v>
      </c>
      <c r="E244" s="146">
        <v>36</v>
      </c>
      <c r="F244" s="146">
        <v>10.1</v>
      </c>
      <c r="G244" s="146">
        <v>0</v>
      </c>
      <c r="H244" s="146">
        <v>25.900000000000002</v>
      </c>
      <c r="I244" s="140">
        <v>1.9279069891983656E-3</v>
      </c>
      <c r="J244" s="140">
        <v>5.408850164139859E-4</v>
      </c>
      <c r="K244" s="140">
        <v>1.38702197278438E-3</v>
      </c>
      <c r="L244" s="140"/>
      <c r="V244" s="228"/>
    </row>
    <row r="245" spans="1:22">
      <c r="A245" s="132" t="s">
        <v>349</v>
      </c>
      <c r="B245" s="132" t="s">
        <v>83</v>
      </c>
      <c r="C245" s="145" t="s">
        <v>77</v>
      </c>
      <c r="D245" s="146">
        <v>18708</v>
      </c>
      <c r="E245" s="146">
        <v>36</v>
      </c>
      <c r="F245" s="146">
        <v>10.1</v>
      </c>
      <c r="G245" s="146">
        <v>0</v>
      </c>
      <c r="H245" s="146">
        <v>25.900000000000002</v>
      </c>
      <c r="I245" s="140">
        <v>1.9243104554201411E-3</v>
      </c>
      <c r="J245" s="140">
        <v>5.3987598888176184E-4</v>
      </c>
      <c r="K245" s="140">
        <v>1.3844344665383795E-3</v>
      </c>
      <c r="L245" s="140"/>
      <c r="V245" s="228"/>
    </row>
    <row r="246" spans="1:22">
      <c r="A246" s="132" t="s">
        <v>350</v>
      </c>
      <c r="B246" s="132" t="s">
        <v>83</v>
      </c>
      <c r="C246" s="145" t="s">
        <v>78</v>
      </c>
      <c r="D246" s="146">
        <v>18759.3</v>
      </c>
      <c r="E246" s="146">
        <v>36</v>
      </c>
      <c r="F246" s="146">
        <v>10.1</v>
      </c>
      <c r="G246" s="146">
        <v>0</v>
      </c>
      <c r="H246" s="146">
        <v>25.900000000000002</v>
      </c>
      <c r="I246" s="140">
        <v>1.9190481521165503E-3</v>
      </c>
      <c r="J246" s="140">
        <v>5.3839962045492101E-4</v>
      </c>
      <c r="K246" s="140">
        <v>1.3806485316616294E-3</v>
      </c>
      <c r="L246" s="140"/>
      <c r="V246" s="228"/>
    </row>
    <row r="247" spans="1:22">
      <c r="A247" s="132" t="s">
        <v>351</v>
      </c>
      <c r="B247" s="132" t="s">
        <v>83</v>
      </c>
      <c r="C247" s="145" t="s">
        <v>79</v>
      </c>
      <c r="D247" s="146">
        <v>18809.400000000001</v>
      </c>
      <c r="E247" s="146">
        <v>36</v>
      </c>
      <c r="F247" s="146">
        <v>10.1</v>
      </c>
      <c r="G247" s="146">
        <v>0</v>
      </c>
      <c r="H247" s="146">
        <v>25.900000000000002</v>
      </c>
      <c r="I247" s="140">
        <v>1.913936648696928E-3</v>
      </c>
      <c r="J247" s="140">
        <v>5.3696555977330478E-4</v>
      </c>
      <c r="K247" s="140">
        <v>1.3769710889236233E-3</v>
      </c>
      <c r="L247" s="140"/>
      <c r="V247" s="228"/>
    </row>
    <row r="248" spans="1:22">
      <c r="A248" s="132" t="s">
        <v>352</v>
      </c>
      <c r="B248" s="132" t="s">
        <v>83</v>
      </c>
      <c r="C248" s="145" t="s">
        <v>80</v>
      </c>
      <c r="D248" s="146">
        <v>18854.5</v>
      </c>
      <c r="E248" s="146">
        <v>36</v>
      </c>
      <c r="F248" s="146">
        <v>10.1</v>
      </c>
      <c r="G248" s="146">
        <v>0</v>
      </c>
      <c r="H248" s="146">
        <v>25.900000000000002</v>
      </c>
      <c r="I248" s="140">
        <v>1.9093585085788538E-3</v>
      </c>
      <c r="J248" s="140">
        <v>5.3568113712906731E-4</v>
      </c>
      <c r="K248" s="140">
        <v>1.3736773714497867E-3</v>
      </c>
      <c r="L248" s="140"/>
      <c r="V248" s="228"/>
    </row>
    <row r="249" spans="1:22">
      <c r="A249" s="132" t="s">
        <v>353</v>
      </c>
      <c r="B249" s="132" t="s">
        <v>48</v>
      </c>
      <c r="C249" s="145" t="s">
        <v>96</v>
      </c>
      <c r="D249" s="146">
        <v>31167.200000000001</v>
      </c>
      <c r="E249" s="146">
        <v>201.57400000000007</v>
      </c>
      <c r="F249" s="146">
        <v>84.661080000000013</v>
      </c>
      <c r="G249" s="146">
        <v>0</v>
      </c>
      <c r="H249" s="146">
        <v>116.91292000000004</v>
      </c>
      <c r="I249" s="140">
        <v>6.4675042993916701E-3</v>
      </c>
      <c r="J249" s="140">
        <v>2.7163518057445012E-3</v>
      </c>
      <c r="K249" s="140">
        <v>3.7511524936471689E-3</v>
      </c>
      <c r="L249" s="140"/>
      <c r="V249" s="228"/>
    </row>
    <row r="250" spans="1:22">
      <c r="A250" s="132" t="s">
        <v>354</v>
      </c>
      <c r="B250" s="132" t="s">
        <v>48</v>
      </c>
      <c r="C250" s="145" t="s">
        <v>98</v>
      </c>
      <c r="D250" s="146">
        <v>31186.94</v>
      </c>
      <c r="E250" s="146">
        <v>90.938999999999993</v>
      </c>
      <c r="F250" s="146">
        <v>36.375599999999999</v>
      </c>
      <c r="G250" s="146">
        <v>0</v>
      </c>
      <c r="H250" s="146">
        <v>54.563399999999994</v>
      </c>
      <c r="I250" s="140">
        <v>2.9159321177390277E-3</v>
      </c>
      <c r="J250" s="140">
        <v>1.1663728470956113E-3</v>
      </c>
      <c r="K250" s="140">
        <v>1.7495592706434167E-3</v>
      </c>
      <c r="L250" s="140"/>
      <c r="V250" s="228"/>
    </row>
    <row r="251" spans="1:22">
      <c r="A251" s="132" t="s">
        <v>355</v>
      </c>
      <c r="B251" s="132" t="s">
        <v>48</v>
      </c>
      <c r="C251" s="145" t="s">
        <v>100</v>
      </c>
      <c r="D251" s="146">
        <v>31114.7</v>
      </c>
      <c r="E251" s="146">
        <v>22.509999999999998</v>
      </c>
      <c r="F251" s="146">
        <v>7.8784999999999989</v>
      </c>
      <c r="G251" s="146">
        <v>0</v>
      </c>
      <c r="H251" s="146">
        <v>14.631499999999999</v>
      </c>
      <c r="I251" s="140">
        <v>7.2345225890013394E-4</v>
      </c>
      <c r="J251" s="140">
        <v>2.5320829061504688E-4</v>
      </c>
      <c r="K251" s="140">
        <v>4.7024396828508706E-4</v>
      </c>
      <c r="L251" s="140"/>
      <c r="V251" s="228"/>
    </row>
    <row r="252" spans="1:22">
      <c r="A252" s="132" t="s">
        <v>356</v>
      </c>
      <c r="B252" s="132" t="s">
        <v>48</v>
      </c>
      <c r="C252" s="145" t="s">
        <v>102</v>
      </c>
      <c r="D252" s="146">
        <v>31147.7</v>
      </c>
      <c r="E252" s="146">
        <v>12.48</v>
      </c>
      <c r="F252" s="146">
        <v>6.7392000000000003</v>
      </c>
      <c r="G252" s="146">
        <v>0</v>
      </c>
      <c r="H252" s="146">
        <v>5.7408000000000001</v>
      </c>
      <c r="I252" s="140">
        <v>4.0067163867637097E-4</v>
      </c>
      <c r="J252" s="140">
        <v>2.1636268488524032E-4</v>
      </c>
      <c r="K252" s="140">
        <v>1.8430895379113065E-4</v>
      </c>
      <c r="L252" s="140"/>
      <c r="V252" s="228"/>
    </row>
    <row r="253" spans="1:22">
      <c r="A253" s="132" t="s">
        <v>357</v>
      </c>
      <c r="B253" s="132" t="s">
        <v>48</v>
      </c>
      <c r="C253" s="145" t="s">
        <v>104</v>
      </c>
      <c r="D253" s="146">
        <v>31266.548180000002</v>
      </c>
      <c r="E253" s="146">
        <v>49.34</v>
      </c>
      <c r="F253" s="146">
        <v>17.268999999999998</v>
      </c>
      <c r="G253" s="146">
        <v>0</v>
      </c>
      <c r="H253" s="146">
        <v>32.071000000000005</v>
      </c>
      <c r="I253" s="140">
        <v>1.5780443596124527E-3</v>
      </c>
      <c r="J253" s="140">
        <v>5.5231552586435841E-4</v>
      </c>
      <c r="K253" s="140">
        <v>1.0257288337480945E-3</v>
      </c>
      <c r="L253" s="140"/>
      <c r="V253" s="228"/>
    </row>
    <row r="254" spans="1:22">
      <c r="A254" s="132" t="s">
        <v>358</v>
      </c>
      <c r="B254" s="132" t="s">
        <v>48</v>
      </c>
      <c r="C254" s="145" t="s">
        <v>106</v>
      </c>
      <c r="D254" s="146">
        <v>31373.73044403247</v>
      </c>
      <c r="E254" s="146">
        <v>36.65</v>
      </c>
      <c r="F254" s="146">
        <v>36.65</v>
      </c>
      <c r="G254" s="146">
        <v>0</v>
      </c>
      <c r="H254" s="146">
        <v>0</v>
      </c>
      <c r="I254" s="140">
        <v>1.168174758987614E-3</v>
      </c>
      <c r="J254" s="140">
        <v>1.168174758987614E-3</v>
      </c>
      <c r="K254" s="140">
        <v>0</v>
      </c>
      <c r="L254" s="140"/>
      <c r="V254" s="228"/>
    </row>
    <row r="255" spans="1:22">
      <c r="A255" s="132" t="s">
        <v>359</v>
      </c>
      <c r="B255" s="132" t="s">
        <v>48</v>
      </c>
      <c r="C255" s="145" t="s">
        <v>108</v>
      </c>
      <c r="D255" s="146">
        <v>31460.585989876778</v>
      </c>
      <c r="E255" s="146">
        <v>126.19</v>
      </c>
      <c r="F255" s="146">
        <v>124.9281</v>
      </c>
      <c r="G255" s="146">
        <v>0</v>
      </c>
      <c r="H255" s="146">
        <v>1.2619000000000011</v>
      </c>
      <c r="I255" s="140">
        <v>4.0110505265415191E-3</v>
      </c>
      <c r="J255" s="140">
        <v>3.9709400212761042E-3</v>
      </c>
      <c r="K255" s="140">
        <v>4.0110505265415228E-5</v>
      </c>
      <c r="L255" s="140"/>
      <c r="V255" s="228"/>
    </row>
    <row r="256" spans="1:22">
      <c r="A256" s="132" t="s">
        <v>360</v>
      </c>
      <c r="B256" s="132" t="s">
        <v>48</v>
      </c>
      <c r="C256" s="145" t="s">
        <v>110</v>
      </c>
      <c r="D256" s="146">
        <v>31549.996711006039</v>
      </c>
      <c r="E256" s="146">
        <v>152.86000000000001</v>
      </c>
      <c r="F256" s="146">
        <v>151.3314</v>
      </c>
      <c r="G256" s="146">
        <v>0</v>
      </c>
      <c r="H256" s="146">
        <v>1.5286000000000015</v>
      </c>
      <c r="I256" s="140">
        <v>4.8450084290080344E-3</v>
      </c>
      <c r="J256" s="140">
        <v>4.7965583447179532E-3</v>
      </c>
      <c r="K256" s="140">
        <v>4.8450084290080387E-5</v>
      </c>
      <c r="L256" s="140"/>
      <c r="V256" s="228"/>
    </row>
    <row r="257" spans="1:22">
      <c r="A257" s="132" t="s">
        <v>361</v>
      </c>
      <c r="B257" s="132" t="s">
        <v>48</v>
      </c>
      <c r="C257" s="145" t="s">
        <v>112</v>
      </c>
      <c r="D257" s="146">
        <v>31618.554170816446</v>
      </c>
      <c r="E257" s="146">
        <v>151.45600000000002</v>
      </c>
      <c r="F257" s="146">
        <v>59.067840000000011</v>
      </c>
      <c r="G257" s="146">
        <v>0</v>
      </c>
      <c r="H257" s="146">
        <v>92.388160000000013</v>
      </c>
      <c r="I257" s="140">
        <v>4.7900988508763672E-3</v>
      </c>
      <c r="J257" s="140">
        <v>1.8681385518417833E-3</v>
      </c>
      <c r="K257" s="140">
        <v>2.9219602990345839E-3</v>
      </c>
      <c r="L257" s="140"/>
      <c r="V257" s="228"/>
    </row>
    <row r="258" spans="1:22">
      <c r="A258" s="132" t="s">
        <v>362</v>
      </c>
      <c r="B258" s="132" t="s">
        <v>48</v>
      </c>
      <c r="C258" s="145" t="s">
        <v>114</v>
      </c>
      <c r="D258" s="146">
        <v>31750.047090286982</v>
      </c>
      <c r="E258" s="146">
        <v>28.800000000000004</v>
      </c>
      <c r="F258" s="146">
        <v>28.224000000000004</v>
      </c>
      <c r="G258" s="146">
        <v>0</v>
      </c>
      <c r="H258" s="146">
        <v>0.57600000000000062</v>
      </c>
      <c r="I258" s="140">
        <v>9.0708526882187022E-4</v>
      </c>
      <c r="J258" s="140">
        <v>8.8894356344543278E-4</v>
      </c>
      <c r="K258" s="140">
        <v>1.814170537643742E-5</v>
      </c>
      <c r="L258" s="140"/>
      <c r="V258" s="228"/>
    </row>
    <row r="259" spans="1:22">
      <c r="A259" s="132" t="s">
        <v>363</v>
      </c>
      <c r="B259" s="132" t="s">
        <v>48</v>
      </c>
      <c r="C259" s="145" t="s">
        <v>116</v>
      </c>
      <c r="D259" s="146">
        <v>31830.799999999999</v>
      </c>
      <c r="E259" s="146">
        <v>49.7</v>
      </c>
      <c r="F259" s="146">
        <v>49.7</v>
      </c>
      <c r="G259" s="146">
        <v>0</v>
      </c>
      <c r="H259" s="146">
        <v>0</v>
      </c>
      <c r="I259" s="140">
        <v>1.5613808009852094E-3</v>
      </c>
      <c r="J259" s="140">
        <v>1.5613808009852094E-3</v>
      </c>
      <c r="K259" s="140">
        <v>0</v>
      </c>
      <c r="L259" s="140"/>
      <c r="V259" s="228"/>
    </row>
    <row r="260" spans="1:22">
      <c r="A260" s="132" t="s">
        <v>364</v>
      </c>
      <c r="B260" s="132" t="s">
        <v>48</v>
      </c>
      <c r="C260" s="145" t="s">
        <v>72</v>
      </c>
      <c r="D260" s="146">
        <v>31926.7</v>
      </c>
      <c r="E260" s="146">
        <v>59.720000000000006</v>
      </c>
      <c r="F260" s="146">
        <v>42.8215</v>
      </c>
      <c r="G260" s="146">
        <v>0</v>
      </c>
      <c r="H260" s="146">
        <v>16.898500000000006</v>
      </c>
      <c r="I260" s="140">
        <v>1.8705346935323727E-3</v>
      </c>
      <c r="J260" s="140">
        <v>1.3412441624095193E-3</v>
      </c>
      <c r="K260" s="140">
        <v>5.2929053112285346E-4</v>
      </c>
      <c r="L260" s="140"/>
      <c r="V260" s="228"/>
    </row>
    <row r="261" spans="1:22">
      <c r="A261" s="132" t="s">
        <v>365</v>
      </c>
      <c r="B261" s="132" t="s">
        <v>48</v>
      </c>
      <c r="C261" s="145" t="s">
        <v>74</v>
      </c>
      <c r="D261" s="146">
        <v>32010.1</v>
      </c>
      <c r="E261" s="146">
        <v>78.099999999999994</v>
      </c>
      <c r="F261" s="146">
        <v>25.1</v>
      </c>
      <c r="G261" s="146">
        <v>0</v>
      </c>
      <c r="H261" s="146">
        <v>53</v>
      </c>
      <c r="I261" s="140">
        <v>2.4398549207906256E-3</v>
      </c>
      <c r="J261" s="140">
        <v>7.8412750975473378E-4</v>
      </c>
      <c r="K261" s="140">
        <v>1.6557274110358918E-3</v>
      </c>
      <c r="L261" s="140"/>
      <c r="V261" s="228"/>
    </row>
    <row r="262" spans="1:22">
      <c r="A262" s="132" t="s">
        <v>366</v>
      </c>
      <c r="B262" s="132" t="s">
        <v>48</v>
      </c>
      <c r="C262" s="145" t="s">
        <v>75</v>
      </c>
      <c r="D262" s="146">
        <v>32083.1</v>
      </c>
      <c r="E262" s="146">
        <v>77.655711175176393</v>
      </c>
      <c r="F262" s="146">
        <v>48.28471117517639</v>
      </c>
      <c r="G262" s="146">
        <v>0</v>
      </c>
      <c r="H262" s="146">
        <v>29.370999999999999</v>
      </c>
      <c r="I262" s="140">
        <v>2.4204553542262561E-3</v>
      </c>
      <c r="J262" s="140">
        <v>1.5049889560290743E-3</v>
      </c>
      <c r="K262" s="140">
        <v>9.154663981971817E-4</v>
      </c>
      <c r="L262" s="140"/>
      <c r="V262" s="228"/>
    </row>
    <row r="263" spans="1:22">
      <c r="A263" s="132" t="s">
        <v>367</v>
      </c>
      <c r="B263" s="132" t="s">
        <v>48</v>
      </c>
      <c r="C263" s="145" t="s">
        <v>76</v>
      </c>
      <c r="D263" s="146">
        <v>32175</v>
      </c>
      <c r="E263" s="146">
        <v>55</v>
      </c>
      <c r="F263" s="146">
        <v>54.888488459013416</v>
      </c>
      <c r="G263" s="146">
        <v>0</v>
      </c>
      <c r="H263" s="146">
        <v>0.11151154098658367</v>
      </c>
      <c r="I263" s="140">
        <v>1.7094017094017094E-3</v>
      </c>
      <c r="J263" s="140">
        <v>1.7059359272420642E-3</v>
      </c>
      <c r="K263" s="140">
        <v>3.46578215964518E-6</v>
      </c>
      <c r="L263" s="140"/>
      <c r="V263" s="228"/>
    </row>
    <row r="264" spans="1:22">
      <c r="A264" s="132" t="s">
        <v>368</v>
      </c>
      <c r="B264" s="132" t="s">
        <v>48</v>
      </c>
      <c r="C264" s="145" t="s">
        <v>77</v>
      </c>
      <c r="D264" s="146">
        <v>32267.200000000001</v>
      </c>
      <c r="E264" s="146">
        <v>80</v>
      </c>
      <c r="F264" s="146">
        <v>54.888488459013416</v>
      </c>
      <c r="G264" s="146">
        <v>0</v>
      </c>
      <c r="H264" s="146">
        <v>25.111511540986584</v>
      </c>
      <c r="I264" s="140">
        <v>2.479297862845242E-3</v>
      </c>
      <c r="J264" s="140">
        <v>1.7010614016404713E-3</v>
      </c>
      <c r="K264" s="140">
        <v>7.7823646120477085E-4</v>
      </c>
      <c r="L264" s="140"/>
      <c r="V264" s="228"/>
    </row>
    <row r="265" spans="1:22">
      <c r="A265" s="132" t="s">
        <v>369</v>
      </c>
      <c r="B265" s="132" t="s">
        <v>48</v>
      </c>
      <c r="C265" s="145" t="s">
        <v>78</v>
      </c>
      <c r="D265" s="146">
        <v>32346</v>
      </c>
      <c r="E265" s="146">
        <v>95</v>
      </c>
      <c r="F265" s="146">
        <v>54.888488459013416</v>
      </c>
      <c r="G265" s="146">
        <v>0</v>
      </c>
      <c r="H265" s="146">
        <v>40.111511540986584</v>
      </c>
      <c r="I265" s="140">
        <v>2.9369937550238049E-3</v>
      </c>
      <c r="J265" s="140">
        <v>1.696917345545459E-3</v>
      </c>
      <c r="K265" s="140">
        <v>1.2400764094783461E-3</v>
      </c>
      <c r="L265" s="140"/>
      <c r="V265" s="228"/>
    </row>
    <row r="266" spans="1:22">
      <c r="A266" s="132" t="s">
        <v>370</v>
      </c>
      <c r="B266" s="132" t="s">
        <v>48</v>
      </c>
      <c r="C266" s="145" t="s">
        <v>79</v>
      </c>
      <c r="D266" s="146">
        <v>32420.5</v>
      </c>
      <c r="E266" s="146">
        <v>115</v>
      </c>
      <c r="F266" s="146">
        <v>54.888488459013416</v>
      </c>
      <c r="G266" s="146">
        <v>0</v>
      </c>
      <c r="H266" s="146">
        <v>60.111511540986584</v>
      </c>
      <c r="I266" s="140">
        <v>3.5471383846640242E-3</v>
      </c>
      <c r="J266" s="140">
        <v>1.6930179503404765E-3</v>
      </c>
      <c r="K266" s="140">
        <v>1.8541204343235479E-3</v>
      </c>
      <c r="L266" s="140"/>
      <c r="V266" s="228"/>
    </row>
    <row r="267" spans="1:22">
      <c r="A267" s="132" t="s">
        <v>371</v>
      </c>
      <c r="B267" s="132" t="s">
        <v>48</v>
      </c>
      <c r="C267" s="145" t="s">
        <v>80</v>
      </c>
      <c r="D267" s="146">
        <v>32488.7</v>
      </c>
      <c r="E267" s="146">
        <v>155</v>
      </c>
      <c r="F267" s="146">
        <v>54.888488459013416</v>
      </c>
      <c r="G267" s="146">
        <v>0</v>
      </c>
      <c r="H267" s="146">
        <v>100.11151154098658</v>
      </c>
      <c r="I267" s="140">
        <v>4.7708895708353984E-3</v>
      </c>
      <c r="J267" s="140">
        <v>1.6894639816001692E-3</v>
      </c>
      <c r="K267" s="140">
        <v>3.0814255892352288E-3</v>
      </c>
      <c r="L267" s="140"/>
      <c r="V267" s="228"/>
    </row>
    <row r="268" spans="1:22">
      <c r="A268" s="132" t="s">
        <v>372</v>
      </c>
      <c r="B268" s="132" t="s">
        <v>51</v>
      </c>
      <c r="C268" s="145" t="s">
        <v>96</v>
      </c>
      <c r="D268" s="146">
        <v>27400.799999999999</v>
      </c>
      <c r="E268" s="146">
        <v>192.79999999999998</v>
      </c>
      <c r="F268" s="146">
        <v>187.7</v>
      </c>
      <c r="G268" s="146">
        <v>0</v>
      </c>
      <c r="H268" s="146">
        <v>5.0999999999999996</v>
      </c>
      <c r="I268" s="140">
        <v>7.0362909112142704E-3</v>
      </c>
      <c r="J268" s="140">
        <v>6.8501649586873376E-3</v>
      </c>
      <c r="K268" s="140">
        <v>1.8612595252693351E-4</v>
      </c>
      <c r="L268" s="140"/>
      <c r="V268" s="228"/>
    </row>
    <row r="269" spans="1:22">
      <c r="A269" s="132" t="s">
        <v>373</v>
      </c>
      <c r="B269" s="132" t="s">
        <v>51</v>
      </c>
      <c r="C269" s="145" t="s">
        <v>98</v>
      </c>
      <c r="D269" s="146">
        <v>27225.7</v>
      </c>
      <c r="E269" s="146">
        <v>171.9</v>
      </c>
      <c r="F269" s="146">
        <v>159.5</v>
      </c>
      <c r="G269" s="146">
        <v>0</v>
      </c>
      <c r="H269" s="146">
        <v>12.4</v>
      </c>
      <c r="I269" s="140">
        <v>6.3138872462416024E-3</v>
      </c>
      <c r="J269" s="140">
        <v>5.858435228478974E-3</v>
      </c>
      <c r="K269" s="140">
        <v>4.5545201776262868E-4</v>
      </c>
      <c r="L269" s="140"/>
      <c r="V269" s="228"/>
    </row>
    <row r="270" spans="1:22">
      <c r="A270" s="132" t="s">
        <v>374</v>
      </c>
      <c r="B270" s="132" t="s">
        <v>51</v>
      </c>
      <c r="C270" s="145" t="s">
        <v>100</v>
      </c>
      <c r="D270" s="146">
        <v>27218.7</v>
      </c>
      <c r="E270" s="146">
        <v>128.1</v>
      </c>
      <c r="F270" s="146">
        <v>118</v>
      </c>
      <c r="G270" s="146">
        <v>0</v>
      </c>
      <c r="H270" s="146">
        <v>10.1</v>
      </c>
      <c r="I270" s="140">
        <v>4.7063232263113222E-3</v>
      </c>
      <c r="J270" s="140">
        <v>4.3352548064382211E-3</v>
      </c>
      <c r="K270" s="140">
        <v>3.7106841987310195E-4</v>
      </c>
      <c r="L270" s="140"/>
      <c r="V270" s="228"/>
    </row>
    <row r="271" spans="1:22">
      <c r="A271" s="132" t="s">
        <v>375</v>
      </c>
      <c r="B271" s="132" t="s">
        <v>51</v>
      </c>
      <c r="C271" s="145" t="s">
        <v>102</v>
      </c>
      <c r="D271" s="146">
        <v>27275.3</v>
      </c>
      <c r="E271" s="146">
        <v>65.8</v>
      </c>
      <c r="F271" s="146">
        <v>51.7</v>
      </c>
      <c r="G271" s="146">
        <v>0</v>
      </c>
      <c r="H271" s="146">
        <v>14.1</v>
      </c>
      <c r="I271" s="140">
        <v>2.4124390932455373E-3</v>
      </c>
      <c r="J271" s="140">
        <v>1.8954878589786364E-3</v>
      </c>
      <c r="K271" s="140">
        <v>5.1695123426690078E-4</v>
      </c>
      <c r="L271" s="140"/>
      <c r="V271" s="228"/>
    </row>
    <row r="272" spans="1:22">
      <c r="A272" s="132" t="s">
        <v>376</v>
      </c>
      <c r="B272" s="132" t="s">
        <v>51</v>
      </c>
      <c r="C272" s="145" t="s">
        <v>104</v>
      </c>
      <c r="D272" s="146">
        <v>27359.8</v>
      </c>
      <c r="E272" s="146">
        <v>71.900000000000006</v>
      </c>
      <c r="F272" s="146">
        <v>29.1</v>
      </c>
      <c r="G272" s="146">
        <v>0</v>
      </c>
      <c r="H272" s="146">
        <v>42.8</v>
      </c>
      <c r="I272" s="140">
        <v>2.6279431867192015E-3</v>
      </c>
      <c r="J272" s="140">
        <v>1.0636042661130564E-3</v>
      </c>
      <c r="K272" s="140">
        <v>1.5643389206061447E-3</v>
      </c>
      <c r="L272" s="140"/>
      <c r="V272" s="228"/>
    </row>
    <row r="273" spans="1:22">
      <c r="A273" s="132" t="s">
        <v>377</v>
      </c>
      <c r="B273" s="132" t="s">
        <v>51</v>
      </c>
      <c r="C273" s="145" t="s">
        <v>106</v>
      </c>
      <c r="D273" s="146">
        <v>27563.599999999999</v>
      </c>
      <c r="E273" s="146">
        <v>112</v>
      </c>
      <c r="F273" s="146">
        <v>72</v>
      </c>
      <c r="G273" s="146">
        <v>0</v>
      </c>
      <c r="H273" s="146">
        <v>40</v>
      </c>
      <c r="I273" s="140">
        <v>4.0633298988521091E-3</v>
      </c>
      <c r="J273" s="140">
        <v>2.6121406492620705E-3</v>
      </c>
      <c r="K273" s="140">
        <v>1.451189249590039E-3</v>
      </c>
      <c r="L273" s="140"/>
      <c r="V273" s="228"/>
    </row>
    <row r="274" spans="1:22">
      <c r="A274" s="132" t="s">
        <v>378</v>
      </c>
      <c r="B274" s="132" t="s">
        <v>51</v>
      </c>
      <c r="C274" s="145" t="s">
        <v>108</v>
      </c>
      <c r="D274" s="146">
        <v>27597</v>
      </c>
      <c r="E274" s="146">
        <v>97</v>
      </c>
      <c r="F274" s="146">
        <v>38.299999999999997</v>
      </c>
      <c r="G274" s="146">
        <v>0</v>
      </c>
      <c r="H274" s="146">
        <v>58.7</v>
      </c>
      <c r="I274" s="140">
        <v>3.5148748052324526E-3</v>
      </c>
      <c r="J274" s="140">
        <v>1.3878320107258034E-3</v>
      </c>
      <c r="K274" s="140">
        <v>2.1270427945066493E-3</v>
      </c>
      <c r="L274" s="140"/>
      <c r="V274" s="228"/>
    </row>
    <row r="275" spans="1:22">
      <c r="A275" s="132" t="s">
        <v>379</v>
      </c>
      <c r="B275" s="132" t="s">
        <v>51</v>
      </c>
      <c r="C275" s="145" t="s">
        <v>110</v>
      </c>
      <c r="D275" s="146">
        <v>27644.400000000001</v>
      </c>
      <c r="E275" s="146">
        <v>49.2</v>
      </c>
      <c r="F275" s="146">
        <v>18.8</v>
      </c>
      <c r="G275" s="146">
        <v>0</v>
      </c>
      <c r="H275" s="146">
        <v>30.4</v>
      </c>
      <c r="I275" s="140">
        <v>1.7797456266006859E-3</v>
      </c>
      <c r="J275" s="140">
        <v>6.8006540203440836E-4</v>
      </c>
      <c r="K275" s="140">
        <v>1.0996802245662773E-3</v>
      </c>
      <c r="L275" s="140"/>
      <c r="V275" s="228"/>
    </row>
    <row r="276" spans="1:22">
      <c r="A276" s="132" t="s">
        <v>380</v>
      </c>
      <c r="B276" s="132" t="s">
        <v>51</v>
      </c>
      <c r="C276" s="145" t="s">
        <v>112</v>
      </c>
      <c r="D276" s="146">
        <v>27733.4</v>
      </c>
      <c r="E276" s="146">
        <v>60.7</v>
      </c>
      <c r="F276" s="146">
        <v>17.600000000000001</v>
      </c>
      <c r="G276" s="146">
        <v>0</v>
      </c>
      <c r="H276" s="146">
        <v>43.1</v>
      </c>
      <c r="I276" s="140">
        <v>2.1886966617868705E-3</v>
      </c>
      <c r="J276" s="140">
        <v>6.3461385910130021E-4</v>
      </c>
      <c r="K276" s="140">
        <v>1.5540828026855704E-3</v>
      </c>
      <c r="L276" s="140"/>
      <c r="V276" s="228"/>
    </row>
    <row r="277" spans="1:22">
      <c r="A277" s="132" t="s">
        <v>381</v>
      </c>
      <c r="B277" s="132" t="s">
        <v>51</v>
      </c>
      <c r="C277" s="145" t="s">
        <v>114</v>
      </c>
      <c r="D277" s="146">
        <v>27777.3</v>
      </c>
      <c r="E277" s="146">
        <v>43.4</v>
      </c>
      <c r="F277" s="146">
        <v>15.7</v>
      </c>
      <c r="G277" s="146">
        <v>0</v>
      </c>
      <c r="H277" s="146">
        <v>27.7</v>
      </c>
      <c r="I277" s="140">
        <v>1.5624268737422283E-3</v>
      </c>
      <c r="J277" s="140">
        <v>5.652097216072116E-4</v>
      </c>
      <c r="K277" s="140">
        <v>9.9721715213501672E-4</v>
      </c>
      <c r="L277" s="140"/>
      <c r="V277" s="228"/>
    </row>
    <row r="278" spans="1:22">
      <c r="A278" s="132" t="s">
        <v>382</v>
      </c>
      <c r="B278" s="132" t="s">
        <v>51</v>
      </c>
      <c r="C278" s="145" t="s">
        <v>116</v>
      </c>
      <c r="D278" s="146">
        <v>27832.400000000001</v>
      </c>
      <c r="E278" s="146">
        <v>24.200000000000003</v>
      </c>
      <c r="F278" s="146">
        <v>12.3</v>
      </c>
      <c r="G278" s="146">
        <v>0</v>
      </c>
      <c r="H278" s="146">
        <v>11.9</v>
      </c>
      <c r="I278" s="140">
        <v>8.6949023440306987E-4</v>
      </c>
      <c r="J278" s="140">
        <v>4.4193098690734539E-4</v>
      </c>
      <c r="K278" s="140">
        <v>4.2755924749572437E-4</v>
      </c>
      <c r="L278" s="140"/>
      <c r="V278" s="228"/>
    </row>
    <row r="279" spans="1:22">
      <c r="A279" s="132" t="s">
        <v>383</v>
      </c>
      <c r="B279" s="132" t="s">
        <v>51</v>
      </c>
      <c r="C279" s="145" t="s">
        <v>72</v>
      </c>
      <c r="D279" s="146">
        <v>27875.3</v>
      </c>
      <c r="E279" s="146">
        <v>28.4</v>
      </c>
      <c r="F279" s="146">
        <v>21</v>
      </c>
      <c r="G279" s="146">
        <v>0</v>
      </c>
      <c r="H279" s="146">
        <v>7.4</v>
      </c>
      <c r="I279" s="140">
        <v>1.0188231158050317E-3</v>
      </c>
      <c r="J279" s="140">
        <v>7.5335512084174876E-4</v>
      </c>
      <c r="K279" s="140">
        <v>2.654679949632829E-4</v>
      </c>
      <c r="L279" s="140"/>
      <c r="V279" s="228"/>
    </row>
    <row r="280" spans="1:22">
      <c r="A280" s="132" t="s">
        <v>384</v>
      </c>
      <c r="B280" s="132" t="s">
        <v>51</v>
      </c>
      <c r="C280" s="145" t="s">
        <v>74</v>
      </c>
      <c r="D280" s="146">
        <v>27910.2</v>
      </c>
      <c r="E280" s="146">
        <v>15.3</v>
      </c>
      <c r="F280" s="146">
        <v>10.4</v>
      </c>
      <c r="G280" s="146">
        <v>0</v>
      </c>
      <c r="H280" s="146">
        <v>4.9000000000000004</v>
      </c>
      <c r="I280" s="140">
        <v>5.4818668443794738E-4</v>
      </c>
      <c r="J280" s="140">
        <v>3.7262362863755904E-4</v>
      </c>
      <c r="K280" s="140">
        <v>1.755630558003884E-4</v>
      </c>
      <c r="L280" s="140"/>
      <c r="V280" s="228"/>
    </row>
    <row r="281" spans="1:22">
      <c r="A281" s="132" t="s">
        <v>385</v>
      </c>
      <c r="B281" s="132" t="s">
        <v>51</v>
      </c>
      <c r="C281" s="145" t="s">
        <v>75</v>
      </c>
      <c r="D281" s="146">
        <v>27979.599999999999</v>
      </c>
      <c r="E281" s="146">
        <v>25.5</v>
      </c>
      <c r="F281" s="146">
        <v>6.1</v>
      </c>
      <c r="G281" s="146">
        <v>0</v>
      </c>
      <c r="H281" s="146">
        <v>19.399999999999999</v>
      </c>
      <c r="I281" s="140">
        <v>9.1137828989692495E-4</v>
      </c>
      <c r="J281" s="140">
        <v>2.1801598307338204E-4</v>
      </c>
      <c r="K281" s="140">
        <v>6.933623068235428E-4</v>
      </c>
      <c r="L281" s="140"/>
      <c r="V281" s="228"/>
    </row>
    <row r="282" spans="1:22">
      <c r="A282" s="132" t="s">
        <v>386</v>
      </c>
      <c r="B282" s="132" t="s">
        <v>51</v>
      </c>
      <c r="C282" s="145" t="s">
        <v>76</v>
      </c>
      <c r="D282" s="146">
        <v>28037.7</v>
      </c>
      <c r="E282" s="146">
        <v>57.800000000000004</v>
      </c>
      <c r="F282" s="146">
        <v>2.6</v>
      </c>
      <c r="G282" s="146">
        <v>0</v>
      </c>
      <c r="H282" s="146">
        <v>55.2</v>
      </c>
      <c r="I282" s="140">
        <v>2.061510038269901E-3</v>
      </c>
      <c r="J282" s="140">
        <v>9.2732285458507654E-5</v>
      </c>
      <c r="K282" s="140">
        <v>1.9687777528113932E-3</v>
      </c>
      <c r="L282" s="140"/>
      <c r="V282" s="228"/>
    </row>
    <row r="283" spans="1:22">
      <c r="A283" s="132" t="s">
        <v>387</v>
      </c>
      <c r="B283" s="132" t="s">
        <v>51</v>
      </c>
      <c r="C283" s="145" t="s">
        <v>77</v>
      </c>
      <c r="D283" s="146">
        <v>28095.599999999999</v>
      </c>
      <c r="E283" s="146">
        <v>63.1</v>
      </c>
      <c r="F283" s="146">
        <v>7.9</v>
      </c>
      <c r="G283" s="146">
        <v>0</v>
      </c>
      <c r="H283" s="146">
        <v>55.2</v>
      </c>
      <c r="I283" s="140">
        <v>2.2459032731103803E-3</v>
      </c>
      <c r="J283" s="140">
        <v>2.8118281866199691E-4</v>
      </c>
      <c r="K283" s="140">
        <v>1.9647204544483835E-3</v>
      </c>
      <c r="L283" s="140"/>
      <c r="V283" s="228"/>
    </row>
    <row r="284" spans="1:22">
      <c r="A284" s="132" t="s">
        <v>388</v>
      </c>
      <c r="B284" s="132" t="s">
        <v>51</v>
      </c>
      <c r="C284" s="145" t="s">
        <v>78</v>
      </c>
      <c r="D284" s="146">
        <v>28167.7</v>
      </c>
      <c r="E284" s="146">
        <v>66</v>
      </c>
      <c r="F284" s="146">
        <v>10.8</v>
      </c>
      <c r="G284" s="146">
        <v>0</v>
      </c>
      <c r="H284" s="146">
        <v>55.2</v>
      </c>
      <c r="I284" s="140">
        <v>2.3431093060491269E-3</v>
      </c>
      <c r="J284" s="140">
        <v>3.8341788644440263E-4</v>
      </c>
      <c r="K284" s="140">
        <v>1.9596914196047246E-3</v>
      </c>
      <c r="L284" s="140"/>
      <c r="V284" s="228"/>
    </row>
    <row r="285" spans="1:22">
      <c r="A285" s="132" t="s">
        <v>389</v>
      </c>
      <c r="B285" s="132" t="s">
        <v>51</v>
      </c>
      <c r="C285" s="145" t="s">
        <v>79</v>
      </c>
      <c r="D285" s="146">
        <v>28230.7</v>
      </c>
      <c r="E285" s="146">
        <v>62.2</v>
      </c>
      <c r="F285" s="146">
        <v>7</v>
      </c>
      <c r="G285" s="146">
        <v>0</v>
      </c>
      <c r="H285" s="146">
        <v>55.2</v>
      </c>
      <c r="I285" s="140">
        <v>2.2032751578954825E-3</v>
      </c>
      <c r="J285" s="140">
        <v>2.4795701133871988E-4</v>
      </c>
      <c r="K285" s="140">
        <v>1.9553181465567625E-3</v>
      </c>
      <c r="L285" s="140"/>
      <c r="V285" s="228"/>
    </row>
    <row r="286" spans="1:22">
      <c r="A286" s="132" t="s">
        <v>390</v>
      </c>
      <c r="B286" s="132" t="s">
        <v>51</v>
      </c>
      <c r="C286" s="145" t="s">
        <v>80</v>
      </c>
      <c r="D286" s="146">
        <v>28297.1</v>
      </c>
      <c r="E286" s="146">
        <v>57.300000000000004</v>
      </c>
      <c r="F286" s="146">
        <v>2.1</v>
      </c>
      <c r="G286" s="146">
        <v>0</v>
      </c>
      <c r="H286" s="146">
        <v>55.2</v>
      </c>
      <c r="I286" s="140">
        <v>2.0249424852723428E-3</v>
      </c>
      <c r="J286" s="140">
        <v>7.4212551816263866E-5</v>
      </c>
      <c r="K286" s="140">
        <v>1.9507299334560787E-3</v>
      </c>
      <c r="L286" s="140"/>
      <c r="V286" s="228"/>
    </row>
    <row r="287" spans="1:22">
      <c r="A287" s="132" t="s">
        <v>391</v>
      </c>
      <c r="B287" s="132" t="s">
        <v>52</v>
      </c>
      <c r="C287" s="145" t="s">
        <v>96</v>
      </c>
      <c r="D287" s="146">
        <v>11559.2</v>
      </c>
      <c r="E287" s="146">
        <v>84.013099999999994</v>
      </c>
      <c r="F287" s="146">
        <v>81.38185</v>
      </c>
      <c r="G287" s="146">
        <v>0</v>
      </c>
      <c r="H287" s="146">
        <v>0.21299999999999999</v>
      </c>
      <c r="I287" s="140">
        <v>7.2680721849262917E-3</v>
      </c>
      <c r="J287" s="140">
        <v>7.040439649802754E-3</v>
      </c>
      <c r="K287" s="140">
        <v>1.8426880752993286E-5</v>
      </c>
      <c r="L287" s="140"/>
      <c r="V287" s="228"/>
    </row>
    <row r="288" spans="1:22">
      <c r="A288" s="132" t="s">
        <v>392</v>
      </c>
      <c r="B288" s="132" t="s">
        <v>52</v>
      </c>
      <c r="C288" s="145" t="s">
        <v>98</v>
      </c>
      <c r="D288" s="146">
        <v>11610.2</v>
      </c>
      <c r="E288" s="146">
        <v>69.571999999999989</v>
      </c>
      <c r="F288" s="146">
        <v>65.898510427419353</v>
      </c>
      <c r="G288" s="146">
        <v>0</v>
      </c>
      <c r="H288" s="146">
        <v>1.25523957258064</v>
      </c>
      <c r="I288" s="140">
        <v>5.9923171004806104E-3</v>
      </c>
      <c r="J288" s="140">
        <v>5.6759151803947696E-3</v>
      </c>
      <c r="K288" s="140">
        <v>1.0811524113112951E-4</v>
      </c>
      <c r="L288" s="140"/>
      <c r="V288" s="228"/>
    </row>
    <row r="289" spans="1:22">
      <c r="A289" s="132" t="s">
        <v>393</v>
      </c>
      <c r="B289" s="132" t="s">
        <v>52</v>
      </c>
      <c r="C289" s="145" t="s">
        <v>100</v>
      </c>
      <c r="D289" s="146">
        <v>11645.4</v>
      </c>
      <c r="E289" s="146">
        <v>79.596000000000004</v>
      </c>
      <c r="F289" s="146">
        <v>75.313854104615913</v>
      </c>
      <c r="G289" s="146">
        <v>0</v>
      </c>
      <c r="H289" s="146">
        <v>1.8638958953840961</v>
      </c>
      <c r="I289" s="140">
        <v>6.834973465917874E-3</v>
      </c>
      <c r="J289" s="140">
        <v>6.4672621038878797E-3</v>
      </c>
      <c r="K289" s="140">
        <v>1.6005426137222388E-4</v>
      </c>
      <c r="L289" s="140"/>
      <c r="V289" s="228"/>
    </row>
    <row r="290" spans="1:22">
      <c r="A290" s="132" t="s">
        <v>394</v>
      </c>
      <c r="B290" s="132" t="s">
        <v>52</v>
      </c>
      <c r="C290" s="145" t="s">
        <v>102</v>
      </c>
      <c r="D290" s="146">
        <v>11687.9</v>
      </c>
      <c r="E290" s="146">
        <v>52.457999999999998</v>
      </c>
      <c r="F290" s="146">
        <v>45.147873911581982</v>
      </c>
      <c r="G290" s="146">
        <v>0</v>
      </c>
      <c r="H290" s="146">
        <v>4.891876088418015</v>
      </c>
      <c r="I290" s="140">
        <v>4.4882314188177518E-3</v>
      </c>
      <c r="J290" s="140">
        <v>3.8627874906169615E-3</v>
      </c>
      <c r="K290" s="140">
        <v>4.1854191843000157E-4</v>
      </c>
      <c r="L290" s="140"/>
      <c r="V290" s="228"/>
    </row>
    <row r="291" spans="1:22">
      <c r="A291" s="132" t="s">
        <v>395</v>
      </c>
      <c r="B291" s="132" t="s">
        <v>52</v>
      </c>
      <c r="C291" s="145" t="s">
        <v>104</v>
      </c>
      <c r="D291" s="146">
        <v>11762</v>
      </c>
      <c r="E291" s="146">
        <v>46.329000000000001</v>
      </c>
      <c r="F291" s="146">
        <v>37.527999999999999</v>
      </c>
      <c r="G291" s="146">
        <v>0</v>
      </c>
      <c r="H291" s="146">
        <v>6.4450000000000003</v>
      </c>
      <c r="I291" s="140">
        <v>3.9388709403162725E-3</v>
      </c>
      <c r="J291" s="140">
        <v>3.190613841183472E-3</v>
      </c>
      <c r="K291" s="140">
        <v>5.4795102873660942E-4</v>
      </c>
      <c r="L291" s="140"/>
      <c r="V291" s="228"/>
    </row>
    <row r="292" spans="1:22">
      <c r="A292" s="132" t="s">
        <v>396</v>
      </c>
      <c r="B292" s="132" t="s">
        <v>52</v>
      </c>
      <c r="C292" s="145" t="s">
        <v>106</v>
      </c>
      <c r="D292" s="146">
        <v>11894.6</v>
      </c>
      <c r="E292" s="146">
        <v>47.707000000000008</v>
      </c>
      <c r="F292" s="146">
        <v>45.389000000000003</v>
      </c>
      <c r="G292" s="146">
        <v>0</v>
      </c>
      <c r="H292" s="146">
        <v>0.90400000000000003</v>
      </c>
      <c r="I292" s="140">
        <v>4.0108116288063494E-3</v>
      </c>
      <c r="J292" s="140">
        <v>3.8159332806483614E-3</v>
      </c>
      <c r="K292" s="140">
        <v>7.6000874346342036E-5</v>
      </c>
      <c r="L292" s="140"/>
      <c r="V292" s="228"/>
    </row>
    <row r="293" spans="1:22">
      <c r="A293" s="132" t="s">
        <v>397</v>
      </c>
      <c r="B293" s="132" t="s">
        <v>52</v>
      </c>
      <c r="C293" s="145" t="s">
        <v>108</v>
      </c>
      <c r="D293" s="146">
        <v>11935.02</v>
      </c>
      <c r="E293" s="146">
        <v>57.981000000000002</v>
      </c>
      <c r="F293" s="146">
        <v>48.937000000000005</v>
      </c>
      <c r="G293" s="146">
        <v>0</v>
      </c>
      <c r="H293" s="146">
        <v>5.5830000000000002</v>
      </c>
      <c r="I293" s="140">
        <v>4.8580563752720985E-3</v>
      </c>
      <c r="J293" s="140">
        <v>4.1002863841032525E-3</v>
      </c>
      <c r="K293" s="140">
        <v>4.6778304518970223E-4</v>
      </c>
      <c r="L293" s="140"/>
      <c r="V293" s="228"/>
    </row>
    <row r="294" spans="1:22">
      <c r="A294" s="132" t="s">
        <v>398</v>
      </c>
      <c r="B294" s="132" t="s">
        <v>52</v>
      </c>
      <c r="C294" s="145" t="s">
        <v>110</v>
      </c>
      <c r="D294" s="146">
        <v>11976.629000000001</v>
      </c>
      <c r="E294" s="146">
        <v>46.387999999999991</v>
      </c>
      <c r="F294" s="146">
        <v>42.004999999999995</v>
      </c>
      <c r="G294" s="146">
        <v>0</v>
      </c>
      <c r="H294" s="146">
        <v>1.7909999999999999</v>
      </c>
      <c r="I294" s="140">
        <v>3.8732100660377796E-3</v>
      </c>
      <c r="J294" s="140">
        <v>3.5072473230990118E-3</v>
      </c>
      <c r="K294" s="140">
        <v>1.4954124403452755E-4</v>
      </c>
      <c r="L294" s="140"/>
      <c r="V294" s="228"/>
    </row>
    <row r="295" spans="1:22">
      <c r="A295" s="132" t="s">
        <v>399</v>
      </c>
      <c r="B295" s="132" t="s">
        <v>52</v>
      </c>
      <c r="C295" s="145" t="s">
        <v>112</v>
      </c>
      <c r="D295" s="146">
        <v>12028.183999999999</v>
      </c>
      <c r="E295" s="146">
        <v>26.956999999999997</v>
      </c>
      <c r="F295" s="146">
        <v>25.788</v>
      </c>
      <c r="G295" s="146">
        <v>0</v>
      </c>
      <c r="H295" s="146">
        <v>0.112</v>
      </c>
      <c r="I295" s="140">
        <v>2.2411529454487893E-3</v>
      </c>
      <c r="J295" s="140">
        <v>2.1439645419458167E-3</v>
      </c>
      <c r="K295" s="140">
        <v>9.3114638086680427E-6</v>
      </c>
      <c r="L295" s="140"/>
      <c r="V295" s="228"/>
    </row>
    <row r="296" spans="1:22">
      <c r="A296" s="132" t="s">
        <v>400</v>
      </c>
      <c r="B296" s="132" t="s">
        <v>52</v>
      </c>
      <c r="C296" s="145" t="s">
        <v>114</v>
      </c>
      <c r="D296" s="146">
        <v>12054.5</v>
      </c>
      <c r="E296" s="146">
        <v>26.297999999999998</v>
      </c>
      <c r="F296" s="146">
        <v>22.933</v>
      </c>
      <c r="G296" s="146">
        <v>0</v>
      </c>
      <c r="H296" s="146">
        <v>0.68799999999999994</v>
      </c>
      <c r="I296" s="140">
        <v>2.1815919366211787E-3</v>
      </c>
      <c r="J296" s="140">
        <v>1.9024430710523042E-3</v>
      </c>
      <c r="K296" s="140">
        <v>5.7074121697291461E-5</v>
      </c>
      <c r="L296" s="140"/>
      <c r="V296" s="228"/>
    </row>
    <row r="297" spans="1:22">
      <c r="A297" s="132" t="s">
        <v>401</v>
      </c>
      <c r="B297" s="132" t="s">
        <v>52</v>
      </c>
      <c r="C297" s="145" t="s">
        <v>116</v>
      </c>
      <c r="D297" s="146">
        <v>12083.5</v>
      </c>
      <c r="E297" s="146">
        <v>28.550999999999998</v>
      </c>
      <c r="F297" s="146">
        <v>26.995999999999999</v>
      </c>
      <c r="G297" s="146">
        <v>0</v>
      </c>
      <c r="H297" s="146">
        <v>0</v>
      </c>
      <c r="I297" s="140">
        <v>2.3628087888442916E-3</v>
      </c>
      <c r="J297" s="140">
        <v>2.2341209086771214E-3</v>
      </c>
      <c r="K297" s="140">
        <v>0</v>
      </c>
      <c r="L297" s="140"/>
      <c r="V297" s="228"/>
    </row>
    <row r="298" spans="1:22">
      <c r="A298" s="132" t="s">
        <v>402</v>
      </c>
      <c r="B298" s="132" t="s">
        <v>52</v>
      </c>
      <c r="C298" s="145" t="s">
        <v>72</v>
      </c>
      <c r="D298" s="146">
        <v>12116.3</v>
      </c>
      <c r="E298" s="146">
        <v>25.935000000000002</v>
      </c>
      <c r="F298" s="146">
        <v>21.701000000000001</v>
      </c>
      <c r="G298" s="146">
        <v>0</v>
      </c>
      <c r="H298" s="146">
        <v>0</v>
      </c>
      <c r="I298" s="140">
        <v>2.140504939626784E-3</v>
      </c>
      <c r="J298" s="140">
        <v>1.7910583263867684E-3</v>
      </c>
      <c r="K298" s="140">
        <v>0</v>
      </c>
      <c r="L298" s="140"/>
      <c r="V298" s="228"/>
    </row>
    <row r="299" spans="1:22">
      <c r="A299" s="132" t="s">
        <v>403</v>
      </c>
      <c r="B299" s="132" t="s">
        <v>52</v>
      </c>
      <c r="C299" s="145" t="s">
        <v>74</v>
      </c>
      <c r="D299" s="146">
        <v>12148.9</v>
      </c>
      <c r="E299" s="146">
        <v>19.600000000000001</v>
      </c>
      <c r="F299" s="146">
        <v>19.600000000000001</v>
      </c>
      <c r="G299" s="146">
        <v>0</v>
      </c>
      <c r="H299" s="146">
        <v>0</v>
      </c>
      <c r="I299" s="140">
        <v>1.6133147857007632E-3</v>
      </c>
      <c r="J299" s="140">
        <v>1.6133147857007632E-3</v>
      </c>
      <c r="K299" s="140">
        <v>0</v>
      </c>
      <c r="L299" s="140"/>
      <c r="V299" s="228"/>
    </row>
    <row r="300" spans="1:22">
      <c r="A300" s="132" t="s">
        <v>404</v>
      </c>
      <c r="B300" s="132" t="s">
        <v>52</v>
      </c>
      <c r="C300" s="145" t="s">
        <v>75</v>
      </c>
      <c r="D300" s="146">
        <v>12176.3</v>
      </c>
      <c r="E300" s="146">
        <v>26.9</v>
      </c>
      <c r="F300" s="146">
        <v>24.268749999999997</v>
      </c>
      <c r="G300" s="146">
        <v>0</v>
      </c>
      <c r="H300" s="146">
        <v>0.21299999999999999</v>
      </c>
      <c r="I300" s="140">
        <v>2.2092096942420932E-3</v>
      </c>
      <c r="J300" s="140">
        <v>1.9931136716408102E-3</v>
      </c>
      <c r="K300" s="140">
        <v>1.7492998694184606E-5</v>
      </c>
      <c r="L300" s="140"/>
      <c r="V300" s="228"/>
    </row>
    <row r="301" spans="1:22">
      <c r="A301" s="132" t="s">
        <v>405</v>
      </c>
      <c r="B301" s="132" t="s">
        <v>52</v>
      </c>
      <c r="C301" s="145" t="s">
        <v>76</v>
      </c>
      <c r="D301" s="146">
        <v>12206.3</v>
      </c>
      <c r="E301" s="146">
        <v>49</v>
      </c>
      <c r="F301" s="146">
        <v>29.295119999999997</v>
      </c>
      <c r="G301" s="146">
        <v>17.073630000000001</v>
      </c>
      <c r="H301" s="146">
        <v>0.21299999999999999</v>
      </c>
      <c r="I301" s="140">
        <v>4.0143204738536655E-3</v>
      </c>
      <c r="J301" s="140">
        <v>2.3999999999999998E-3</v>
      </c>
      <c r="K301" s="140">
        <v>1.7450005325118995E-5</v>
      </c>
      <c r="L301" s="140"/>
      <c r="V301" s="228"/>
    </row>
    <row r="302" spans="1:22">
      <c r="A302" s="132" t="s">
        <v>406</v>
      </c>
      <c r="B302" s="132" t="s">
        <v>52</v>
      </c>
      <c r="C302" s="145" t="s">
        <v>77</v>
      </c>
      <c r="D302" s="146">
        <v>12236.3</v>
      </c>
      <c r="E302" s="146">
        <v>49</v>
      </c>
      <c r="F302" s="146">
        <v>29.367119999999996</v>
      </c>
      <c r="G302" s="146">
        <v>17.001630000000002</v>
      </c>
      <c r="H302" s="146">
        <v>0.21299999999999999</v>
      </c>
      <c r="I302" s="140">
        <v>4.004478477971282E-3</v>
      </c>
      <c r="J302" s="140">
        <v>2.3999999999999998E-3</v>
      </c>
      <c r="K302" s="140">
        <v>1.7407222771589452E-5</v>
      </c>
      <c r="L302" s="140"/>
      <c r="V302" s="228"/>
    </row>
    <row r="303" spans="1:22">
      <c r="A303" s="132" t="s">
        <v>407</v>
      </c>
      <c r="B303" s="132" t="s">
        <v>52</v>
      </c>
      <c r="C303" s="145" t="s">
        <v>78</v>
      </c>
      <c r="D303" s="146">
        <v>12266.3</v>
      </c>
      <c r="E303" s="146">
        <v>49</v>
      </c>
      <c r="F303" s="146">
        <v>29.439119999999996</v>
      </c>
      <c r="G303" s="146">
        <v>16.929630000000003</v>
      </c>
      <c r="H303" s="146">
        <v>0.21299999999999999</v>
      </c>
      <c r="I303" s="140">
        <v>3.9946846237251662E-3</v>
      </c>
      <c r="J303" s="140">
        <v>2.3999999999999998E-3</v>
      </c>
      <c r="K303" s="140">
        <v>1.7364649486805312E-5</v>
      </c>
      <c r="L303" s="140"/>
      <c r="V303" s="228"/>
    </row>
    <row r="304" spans="1:22">
      <c r="A304" s="132" t="s">
        <v>408</v>
      </c>
      <c r="B304" s="132" t="s">
        <v>52</v>
      </c>
      <c r="C304" s="145" t="s">
        <v>79</v>
      </c>
      <c r="D304" s="146">
        <v>12296.3</v>
      </c>
      <c r="E304" s="146">
        <v>49</v>
      </c>
      <c r="F304" s="146">
        <v>29.511119999999995</v>
      </c>
      <c r="G304" s="146">
        <v>16.857630000000004</v>
      </c>
      <c r="H304" s="146">
        <v>0.21299999999999999</v>
      </c>
      <c r="I304" s="140">
        <v>3.9849385587534467E-3</v>
      </c>
      <c r="J304" s="140">
        <v>2.3999999999999998E-3</v>
      </c>
      <c r="K304" s="140">
        <v>1.7322283939071102E-5</v>
      </c>
      <c r="L304" s="140"/>
      <c r="V304" s="228"/>
    </row>
    <row r="305" spans="1:22">
      <c r="A305" s="132" t="s">
        <v>409</v>
      </c>
      <c r="B305" s="132" t="s">
        <v>52</v>
      </c>
      <c r="C305" s="145" t="s">
        <v>80</v>
      </c>
      <c r="D305" s="146">
        <v>12326.3</v>
      </c>
      <c r="E305" s="146">
        <v>49</v>
      </c>
      <c r="F305" s="146">
        <v>29.583119999999997</v>
      </c>
      <c r="G305" s="146">
        <v>16.785630000000001</v>
      </c>
      <c r="H305" s="146">
        <v>0.21299999999999999</v>
      </c>
      <c r="I305" s="140">
        <v>3.9752399341245956E-3</v>
      </c>
      <c r="J305" s="140">
        <v>2.3999999999999998E-3</v>
      </c>
      <c r="K305" s="140">
        <v>1.7280124611602833E-5</v>
      </c>
      <c r="L305" s="140"/>
      <c r="V305" s="228"/>
    </row>
    <row r="306" spans="1:22">
      <c r="A306" s="132" t="s">
        <v>410</v>
      </c>
      <c r="B306" s="132" t="s">
        <v>53</v>
      </c>
      <c r="C306" s="145" t="s">
        <v>96</v>
      </c>
      <c r="D306" s="146">
        <v>31270.3</v>
      </c>
      <c r="E306" s="146">
        <v>161.59</v>
      </c>
      <c r="F306" s="146">
        <v>161.59</v>
      </c>
      <c r="G306" s="146">
        <v>0</v>
      </c>
      <c r="H306" s="146">
        <v>0</v>
      </c>
      <c r="I306" s="140">
        <v>5.1675231769442572E-3</v>
      </c>
      <c r="J306" s="140">
        <v>5.1675231769442572E-3</v>
      </c>
      <c r="K306" s="140">
        <v>0</v>
      </c>
      <c r="L306" s="140"/>
      <c r="V306" s="228"/>
    </row>
    <row r="307" spans="1:22">
      <c r="A307" s="132" t="s">
        <v>411</v>
      </c>
      <c r="B307" s="132" t="s">
        <v>53</v>
      </c>
      <c r="C307" s="145" t="s">
        <v>98</v>
      </c>
      <c r="D307" s="146">
        <v>31274.1</v>
      </c>
      <c r="E307" s="146">
        <v>91.02</v>
      </c>
      <c r="F307" s="146">
        <v>91.02</v>
      </c>
      <c r="G307" s="146">
        <v>0</v>
      </c>
      <c r="H307" s="146">
        <v>0</v>
      </c>
      <c r="I307" s="140">
        <v>2.9103955029880957E-3</v>
      </c>
      <c r="J307" s="140">
        <v>2.9103955029880957E-3</v>
      </c>
      <c r="K307" s="140">
        <v>0</v>
      </c>
      <c r="L307" s="140"/>
      <c r="V307" s="228"/>
    </row>
    <row r="308" spans="1:22">
      <c r="A308" s="132" t="s">
        <v>412</v>
      </c>
      <c r="B308" s="132" t="s">
        <v>53</v>
      </c>
      <c r="C308" s="145" t="s">
        <v>100</v>
      </c>
      <c r="D308" s="146">
        <v>31363.4</v>
      </c>
      <c r="E308" s="146">
        <v>75.3</v>
      </c>
      <c r="F308" s="146">
        <v>75.3</v>
      </c>
      <c r="G308" s="146">
        <v>0</v>
      </c>
      <c r="H308" s="146">
        <v>0</v>
      </c>
      <c r="I308" s="140">
        <v>2.4008876588635158E-3</v>
      </c>
      <c r="J308" s="140">
        <v>2.4008876588635158E-3</v>
      </c>
      <c r="K308" s="140">
        <v>0</v>
      </c>
      <c r="L308" s="140"/>
      <c r="V308" s="228"/>
    </row>
    <row r="309" spans="1:22">
      <c r="A309" s="132" t="s">
        <v>413</v>
      </c>
      <c r="B309" s="132" t="s">
        <v>53</v>
      </c>
      <c r="C309" s="145" t="s">
        <v>102</v>
      </c>
      <c r="D309" s="146">
        <v>31404.9</v>
      </c>
      <c r="E309" s="146">
        <v>6.2699999999999969</v>
      </c>
      <c r="F309" s="146">
        <v>6.2699999999999969</v>
      </c>
      <c r="G309" s="146">
        <v>0</v>
      </c>
      <c r="H309" s="146">
        <v>0</v>
      </c>
      <c r="I309" s="140">
        <v>1.9965037303096002E-4</v>
      </c>
      <c r="J309" s="140">
        <v>1.9965037303096002E-4</v>
      </c>
      <c r="K309" s="140">
        <v>0</v>
      </c>
      <c r="L309" s="140"/>
      <c r="V309" s="228"/>
    </row>
    <row r="310" spans="1:22">
      <c r="A310" s="132" t="s">
        <v>414</v>
      </c>
      <c r="B310" s="132" t="s">
        <v>53</v>
      </c>
      <c r="C310" s="145" t="s">
        <v>104</v>
      </c>
      <c r="D310" s="146">
        <v>31532</v>
      </c>
      <c r="E310" s="146">
        <v>29.2</v>
      </c>
      <c r="F310" s="146">
        <v>29.2</v>
      </c>
      <c r="G310" s="146">
        <v>0</v>
      </c>
      <c r="H310" s="146">
        <v>0</v>
      </c>
      <c r="I310" s="140">
        <v>9.2604338449828747E-4</v>
      </c>
      <c r="J310" s="140">
        <v>9.2604338449828747E-4</v>
      </c>
      <c r="K310" s="140">
        <v>0</v>
      </c>
      <c r="L310" s="140"/>
      <c r="V310" s="228"/>
    </row>
    <row r="311" spans="1:22">
      <c r="A311" s="132" t="s">
        <v>415</v>
      </c>
      <c r="B311" s="132" t="s">
        <v>53</v>
      </c>
      <c r="C311" s="145" t="s">
        <v>106</v>
      </c>
      <c r="D311" s="146">
        <v>31604.7</v>
      </c>
      <c r="E311" s="146">
        <v>43.641999999999996</v>
      </c>
      <c r="F311" s="146">
        <v>43.641999999999996</v>
      </c>
      <c r="G311" s="146">
        <v>0</v>
      </c>
      <c r="H311" s="146">
        <v>0</v>
      </c>
      <c r="I311" s="140">
        <v>1.3808705667195068E-3</v>
      </c>
      <c r="J311" s="140">
        <v>1.3808705667195068E-3</v>
      </c>
      <c r="K311" s="140">
        <v>0</v>
      </c>
      <c r="L311" s="140"/>
      <c r="V311" s="228"/>
    </row>
    <row r="312" spans="1:22">
      <c r="A312" s="132" t="s">
        <v>416</v>
      </c>
      <c r="B312" s="132" t="s">
        <v>53</v>
      </c>
      <c r="C312" s="145" t="s">
        <v>108</v>
      </c>
      <c r="D312" s="146">
        <v>31693.4</v>
      </c>
      <c r="E312" s="146">
        <v>25.78</v>
      </c>
      <c r="F312" s="146">
        <v>25.78</v>
      </c>
      <c r="G312" s="146">
        <v>0</v>
      </c>
      <c r="H312" s="146">
        <v>0</v>
      </c>
      <c r="I312" s="140">
        <v>8.1341856664163519E-4</v>
      </c>
      <c r="J312" s="140">
        <v>8.1341856664163519E-4</v>
      </c>
      <c r="K312" s="140">
        <v>0</v>
      </c>
      <c r="L312" s="140"/>
      <c r="V312" s="228"/>
    </row>
    <row r="313" spans="1:22">
      <c r="A313" s="132" t="s">
        <v>417</v>
      </c>
      <c r="B313" s="132" t="s">
        <v>53</v>
      </c>
      <c r="C313" s="145" t="s">
        <v>110</v>
      </c>
      <c r="D313" s="146">
        <v>31790.1</v>
      </c>
      <c r="E313" s="146">
        <v>4.76</v>
      </c>
      <c r="F313" s="146">
        <v>4.76</v>
      </c>
      <c r="G313" s="146">
        <v>0</v>
      </c>
      <c r="H313" s="146">
        <v>0</v>
      </c>
      <c r="I313" s="140">
        <v>1.4973214931692571E-4</v>
      </c>
      <c r="J313" s="140">
        <v>1.4973214931692571E-4</v>
      </c>
      <c r="K313" s="140">
        <v>0</v>
      </c>
      <c r="L313" s="140"/>
      <c r="V313" s="228"/>
    </row>
    <row r="314" spans="1:22">
      <c r="A314" s="132" t="s">
        <v>418</v>
      </c>
      <c r="B314" s="132" t="s">
        <v>53</v>
      </c>
      <c r="C314" s="145" t="s">
        <v>112</v>
      </c>
      <c r="D314" s="146">
        <v>31890.9</v>
      </c>
      <c r="E314" s="146">
        <v>19.3</v>
      </c>
      <c r="F314" s="146">
        <v>17.900000000000002</v>
      </c>
      <c r="G314" s="146">
        <v>0</v>
      </c>
      <c r="H314" s="146">
        <v>1.4</v>
      </c>
      <c r="I314" s="140">
        <v>6.0518831390772912E-4</v>
      </c>
      <c r="J314" s="140">
        <v>5.6128864346882657E-4</v>
      </c>
      <c r="K314" s="140">
        <v>4.3899670438902631E-5</v>
      </c>
      <c r="L314" s="140"/>
      <c r="V314" s="228"/>
    </row>
    <row r="315" spans="1:22">
      <c r="A315" s="132" t="s">
        <v>419</v>
      </c>
      <c r="B315" s="132" t="s">
        <v>53</v>
      </c>
      <c r="C315" s="145" t="s">
        <v>114</v>
      </c>
      <c r="D315" s="146">
        <v>32012.1</v>
      </c>
      <c r="E315" s="146">
        <v>30.6</v>
      </c>
      <c r="F315" s="146">
        <v>30.6</v>
      </c>
      <c r="G315" s="146">
        <v>0</v>
      </c>
      <c r="H315" s="146">
        <v>0</v>
      </c>
      <c r="I315" s="140">
        <v>9.5588855464027675E-4</v>
      </c>
      <c r="J315" s="140">
        <v>9.5588855464027675E-4</v>
      </c>
      <c r="K315" s="140">
        <v>0</v>
      </c>
      <c r="L315" s="140"/>
      <c r="V315" s="228"/>
    </row>
    <row r="316" spans="1:22">
      <c r="A316" s="132" t="s">
        <v>420</v>
      </c>
      <c r="B316" s="132" t="s">
        <v>53</v>
      </c>
      <c r="C316" s="145" t="s">
        <v>116</v>
      </c>
      <c r="D316" s="146">
        <v>32114.6</v>
      </c>
      <c r="E316" s="146">
        <v>8.3000000000000007</v>
      </c>
      <c r="F316" s="146">
        <v>8.3000000000000007</v>
      </c>
      <c r="G316" s="146">
        <v>0</v>
      </c>
      <c r="H316" s="146">
        <v>0</v>
      </c>
      <c r="I316" s="140">
        <v>2.584494279860251E-4</v>
      </c>
      <c r="J316" s="140">
        <v>2.584494279860251E-4</v>
      </c>
      <c r="K316" s="140">
        <v>0</v>
      </c>
      <c r="L316" s="140"/>
      <c r="V316" s="228"/>
    </row>
    <row r="317" spans="1:22">
      <c r="A317" s="132" t="s">
        <v>421</v>
      </c>
      <c r="B317" s="132" t="s">
        <v>53</v>
      </c>
      <c r="C317" s="145" t="s">
        <v>72</v>
      </c>
      <c r="D317" s="146">
        <v>32267.4</v>
      </c>
      <c r="E317" s="146">
        <v>18</v>
      </c>
      <c r="F317" s="146">
        <v>18</v>
      </c>
      <c r="G317" s="146">
        <v>0</v>
      </c>
      <c r="H317" s="146">
        <v>0</v>
      </c>
      <c r="I317" s="140">
        <v>5.5783856152029603E-4</v>
      </c>
      <c r="J317" s="140">
        <v>5.5783856152029603E-4</v>
      </c>
      <c r="K317" s="140">
        <v>0</v>
      </c>
      <c r="L317" s="140"/>
      <c r="V317" s="228"/>
    </row>
    <row r="318" spans="1:22">
      <c r="A318" s="132" t="s">
        <v>422</v>
      </c>
      <c r="B318" s="132" t="s">
        <v>53</v>
      </c>
      <c r="C318" s="145" t="s">
        <v>74</v>
      </c>
      <c r="D318" s="146">
        <v>32375.599999999999</v>
      </c>
      <c r="E318" s="146">
        <v>12.215999999999999</v>
      </c>
      <c r="F318" s="146">
        <v>10.718</v>
      </c>
      <c r="G318" s="146">
        <v>0</v>
      </c>
      <c r="H318" s="146">
        <v>1.498</v>
      </c>
      <c r="I318" s="140">
        <v>3.7732119250299609E-4</v>
      </c>
      <c r="J318" s="140">
        <v>3.3105177973535626E-4</v>
      </c>
      <c r="K318" s="140">
        <v>4.6269412767639832E-5</v>
      </c>
      <c r="L318" s="140"/>
      <c r="V318" s="228"/>
    </row>
    <row r="319" spans="1:22">
      <c r="A319" s="132" t="s">
        <v>423</v>
      </c>
      <c r="B319" s="132" t="s">
        <v>53</v>
      </c>
      <c r="C319" s="145" t="s">
        <v>75</v>
      </c>
      <c r="D319" s="146">
        <v>32478.400000000001</v>
      </c>
      <c r="E319" s="146">
        <v>8.3000000000000007</v>
      </c>
      <c r="F319" s="146">
        <v>8.3000000000000007</v>
      </c>
      <c r="G319" s="146">
        <v>0</v>
      </c>
      <c r="H319" s="146">
        <v>0</v>
      </c>
      <c r="I319" s="140">
        <v>2.5555446081087737E-4</v>
      </c>
      <c r="J319" s="140">
        <v>2.5555446081087737E-4</v>
      </c>
      <c r="K319" s="140">
        <v>0</v>
      </c>
      <c r="L319" s="140"/>
      <c r="V319" s="228"/>
    </row>
    <row r="320" spans="1:22">
      <c r="A320" s="132" t="s">
        <v>424</v>
      </c>
      <c r="B320" s="132" t="s">
        <v>53</v>
      </c>
      <c r="C320" s="145" t="s">
        <v>76</v>
      </c>
      <c r="D320" s="146">
        <v>32583.9</v>
      </c>
      <c r="E320" s="146">
        <v>215.05374000000003</v>
      </c>
      <c r="F320" s="146">
        <v>66.79699500000001</v>
      </c>
      <c r="G320" s="146">
        <v>148.25674500000002</v>
      </c>
      <c r="H320" s="146">
        <v>0</v>
      </c>
      <c r="I320" s="140">
        <v>6.6000000000000008E-3</v>
      </c>
      <c r="J320" s="140">
        <v>2.0500000000000002E-3</v>
      </c>
      <c r="K320" s="140">
        <v>0</v>
      </c>
      <c r="L320" s="140"/>
      <c r="V320" s="228"/>
    </row>
    <row r="321" spans="1:22">
      <c r="A321" s="132" t="s">
        <v>425</v>
      </c>
      <c r="B321" s="132" t="s">
        <v>53</v>
      </c>
      <c r="C321" s="145" t="s">
        <v>77</v>
      </c>
      <c r="D321" s="146">
        <v>32689.4</v>
      </c>
      <c r="E321" s="146">
        <v>215.75004000000001</v>
      </c>
      <c r="F321" s="146">
        <v>67.013270000000006</v>
      </c>
      <c r="G321" s="146">
        <v>148.73677000000001</v>
      </c>
      <c r="H321" s="146">
        <v>0</v>
      </c>
      <c r="I321" s="140">
        <v>6.6E-3</v>
      </c>
      <c r="J321" s="140">
        <v>2.0500000000000002E-3</v>
      </c>
      <c r="K321" s="140">
        <v>0</v>
      </c>
      <c r="L321" s="140"/>
      <c r="V321" s="228"/>
    </row>
    <row r="322" spans="1:22">
      <c r="A322" s="132" t="s">
        <v>426</v>
      </c>
      <c r="B322" s="132" t="s">
        <v>53</v>
      </c>
      <c r="C322" s="145" t="s">
        <v>78</v>
      </c>
      <c r="D322" s="146">
        <v>32794.9</v>
      </c>
      <c r="E322" s="146">
        <v>216.44634000000002</v>
      </c>
      <c r="F322" s="146">
        <v>67.229545000000002</v>
      </c>
      <c r="G322" s="146">
        <v>149.21679500000002</v>
      </c>
      <c r="H322" s="146">
        <v>0</v>
      </c>
      <c r="I322" s="140">
        <v>6.6E-3</v>
      </c>
      <c r="J322" s="140">
        <v>2.0500000000000002E-3</v>
      </c>
      <c r="K322" s="140">
        <v>0</v>
      </c>
      <c r="L322" s="140"/>
      <c r="V322" s="228"/>
    </row>
    <row r="323" spans="1:22">
      <c r="A323" s="132" t="s">
        <v>427</v>
      </c>
      <c r="B323" s="132" t="s">
        <v>53</v>
      </c>
      <c r="C323" s="145" t="s">
        <v>79</v>
      </c>
      <c r="D323" s="146">
        <v>32900.400000000001</v>
      </c>
      <c r="E323" s="146">
        <v>217.14264</v>
      </c>
      <c r="F323" s="146">
        <v>67.445819999999998</v>
      </c>
      <c r="G323" s="146">
        <v>149.69682</v>
      </c>
      <c r="H323" s="146">
        <v>0</v>
      </c>
      <c r="I323" s="140">
        <v>6.6E-3</v>
      </c>
      <c r="J323" s="140">
        <v>2.0499999999999997E-3</v>
      </c>
      <c r="K323" s="140">
        <v>0</v>
      </c>
      <c r="L323" s="140"/>
      <c r="V323" s="228"/>
    </row>
    <row r="324" spans="1:22">
      <c r="A324" s="132" t="s">
        <v>428</v>
      </c>
      <c r="B324" s="132" t="s">
        <v>53</v>
      </c>
      <c r="C324" s="145" t="s">
        <v>80</v>
      </c>
      <c r="D324" s="146">
        <v>33005.9</v>
      </c>
      <c r="E324" s="146">
        <v>217.83894000000004</v>
      </c>
      <c r="F324" s="146">
        <v>67.662095000000008</v>
      </c>
      <c r="G324" s="146">
        <v>150.17684500000001</v>
      </c>
      <c r="H324" s="146">
        <v>0</v>
      </c>
      <c r="I324" s="140">
        <v>6.6000000000000008E-3</v>
      </c>
      <c r="J324" s="140">
        <v>2.0500000000000002E-3</v>
      </c>
      <c r="K324" s="140">
        <v>0</v>
      </c>
      <c r="L324" s="140"/>
      <c r="V324" s="22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3E15A-68C0-464A-99C6-3B87DB450673}">
  <sheetPr>
    <tabColor rgb="FFCCCCCE"/>
  </sheetPr>
  <dimension ref="A1"/>
  <sheetViews>
    <sheetView zoomScale="80" zoomScaleNormal="80" workbookViewId="0"/>
  </sheetViews>
  <sheetFormatPr defaultColWidth="9" defaultRowHeight="14.25"/>
  <cols>
    <col min="1" max="16384" width="9" style="3"/>
  </cols>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E6C88-1766-4887-8185-6DF50682226F}">
  <sheetPr>
    <tabColor rgb="FFCCCCCE"/>
  </sheetPr>
  <dimension ref="A1:AI68"/>
  <sheetViews>
    <sheetView zoomScale="80" zoomScaleNormal="80" workbookViewId="0"/>
  </sheetViews>
  <sheetFormatPr defaultColWidth="9" defaultRowHeight="13.15"/>
  <cols>
    <col min="1" max="1" width="20.7109375" style="132" customWidth="1"/>
    <col min="2" max="20" width="9" style="132"/>
    <col min="21" max="21" width="10.85546875" style="132" customWidth="1"/>
    <col min="22" max="22" width="10.42578125" style="132" customWidth="1"/>
    <col min="23" max="23" width="10.28515625" style="132" customWidth="1"/>
    <col min="24" max="24" width="10.85546875" style="132" customWidth="1"/>
    <col min="25" max="25" width="10.42578125" style="132" customWidth="1"/>
    <col min="26" max="26" width="10.85546875" style="132" customWidth="1"/>
    <col min="27" max="27" width="10.5703125" style="132" customWidth="1"/>
    <col min="28" max="16384" width="9" style="132"/>
  </cols>
  <sheetData>
    <row r="1" spans="1:35">
      <c r="A1" s="151" t="s">
        <v>429</v>
      </c>
    </row>
    <row r="2" spans="1:35">
      <c r="A2" s="151"/>
      <c r="AB2" s="265"/>
      <c r="AC2" s="265"/>
      <c r="AD2" s="265"/>
      <c r="AE2" s="265"/>
      <c r="AF2" s="265"/>
      <c r="AG2" s="265"/>
      <c r="AH2" s="265"/>
      <c r="AI2" s="265"/>
    </row>
    <row r="3" spans="1:35">
      <c r="B3" s="276" t="s">
        <v>430</v>
      </c>
      <c r="C3" s="277"/>
      <c r="D3" s="277"/>
      <c r="E3" s="277"/>
      <c r="F3" s="277"/>
      <c r="G3" s="277"/>
      <c r="H3" s="277"/>
      <c r="I3" s="277"/>
      <c r="J3" s="277"/>
      <c r="K3" s="277"/>
      <c r="L3" s="277"/>
      <c r="M3" s="277"/>
      <c r="N3" s="277"/>
      <c r="O3" s="278" t="s">
        <v>431</v>
      </c>
      <c r="P3" s="279"/>
      <c r="Q3" s="279"/>
      <c r="R3" s="279"/>
      <c r="S3" s="279"/>
      <c r="T3" s="280"/>
      <c r="U3" s="273" t="s">
        <v>432</v>
      </c>
      <c r="V3" s="274"/>
      <c r="W3" s="274"/>
      <c r="X3" s="274"/>
      <c r="Y3" s="274"/>
      <c r="Z3" s="274"/>
      <c r="AA3" s="275"/>
      <c r="AB3" s="265"/>
      <c r="AC3" s="265"/>
      <c r="AD3" s="265"/>
      <c r="AE3" s="265"/>
      <c r="AF3" s="265"/>
      <c r="AG3" s="265"/>
      <c r="AH3" s="265"/>
      <c r="AI3" s="265"/>
    </row>
    <row r="4" spans="1:35">
      <c r="A4" s="152" t="s">
        <v>86</v>
      </c>
      <c r="B4" s="152" t="s">
        <v>96</v>
      </c>
      <c r="C4" s="153" t="s">
        <v>98</v>
      </c>
      <c r="D4" s="153" t="s">
        <v>100</v>
      </c>
      <c r="E4" s="153" t="s">
        <v>102</v>
      </c>
      <c r="F4" s="153" t="s">
        <v>104</v>
      </c>
      <c r="G4" s="153" t="s">
        <v>106</v>
      </c>
      <c r="H4" s="153" t="s">
        <v>108</v>
      </c>
      <c r="I4" s="153" t="s">
        <v>110</v>
      </c>
      <c r="J4" s="153" t="s">
        <v>112</v>
      </c>
      <c r="K4" s="153" t="s">
        <v>114</v>
      </c>
      <c r="L4" s="153" t="s">
        <v>116</v>
      </c>
      <c r="M4" s="153" t="s">
        <v>72</v>
      </c>
      <c r="N4" s="153" t="s">
        <v>74</v>
      </c>
      <c r="O4" s="152" t="s">
        <v>75</v>
      </c>
      <c r="P4" s="153" t="s">
        <v>76</v>
      </c>
      <c r="Q4" s="153" t="s">
        <v>77</v>
      </c>
      <c r="R4" s="153" t="s">
        <v>78</v>
      </c>
      <c r="S4" s="153" t="s">
        <v>79</v>
      </c>
      <c r="T4" s="162" t="s">
        <v>80</v>
      </c>
      <c r="U4" s="152" t="s">
        <v>433</v>
      </c>
      <c r="V4" s="153" t="s">
        <v>434</v>
      </c>
      <c r="W4" s="153" t="s">
        <v>435</v>
      </c>
      <c r="X4" s="153" t="s">
        <v>436</v>
      </c>
      <c r="Y4" s="153" t="s">
        <v>437</v>
      </c>
      <c r="Z4" s="153" t="s">
        <v>438</v>
      </c>
      <c r="AA4" s="162" t="s">
        <v>439</v>
      </c>
      <c r="AB4" s="265"/>
      <c r="AC4" s="265"/>
      <c r="AD4" s="265"/>
      <c r="AE4" s="265"/>
      <c r="AF4" s="265"/>
      <c r="AG4" s="265"/>
      <c r="AH4" s="265"/>
      <c r="AI4" s="265"/>
    </row>
    <row r="5" spans="1:35">
      <c r="A5" s="154" t="s">
        <v>84</v>
      </c>
      <c r="B5" s="164">
        <f>INDEX(Base_Enh_PR24Query!$J$2:$J$324, MATCH('Renewal rates'!$A5&amp;RIGHT('Renewal rates'!B$4,2), Base_Enh_PR24Query!$A$2:$A$324, 0))</f>
        <v>8.9362371065455828E-3</v>
      </c>
      <c r="C5" s="155">
        <f>INDEX(Base_Enh_PR24Query!$J$2:$J$324, MATCH('Renewal rates'!$A5&amp;RIGHT('Renewal rates'!C$4,2), Base_Enh_PR24Query!$A$2:$A$324, 0))</f>
        <v>8.3692374627614245E-3</v>
      </c>
      <c r="D5" s="155">
        <f>INDEX(Base_Enh_PR24Query!$J$2:$J$324, MATCH('Renewal rates'!$A5&amp;RIGHT('Renewal rates'!D$4,2), Base_Enh_PR24Query!$A$2:$A$324, 0))</f>
        <v>8.4679780061925492E-3</v>
      </c>
      <c r="E5" s="155">
        <f>INDEX(Base_Enh_PR24Query!$J$2:$J$324, MATCH('Renewal rates'!$A5&amp;RIGHT('Renewal rates'!E$4,2), Base_Enh_PR24Query!$A$2:$A$324, 0))</f>
        <v>7.3694676267662918E-3</v>
      </c>
      <c r="F5" s="155">
        <f>INDEX(Base_Enh_PR24Query!$J$2:$J$324, MATCH('Renewal rates'!$A5&amp;RIGHT('Renewal rates'!F$4,2), Base_Enh_PR24Query!$A$2:$A$324, 0))</f>
        <v>6.9943960561718631E-3</v>
      </c>
      <c r="G5" s="155">
        <f>INDEX(Base_Enh_PR24Query!$J$2:$J$324, MATCH('Renewal rates'!$A5&amp;RIGHT('Renewal rates'!G$4,2), Base_Enh_PR24Query!$A$2:$A$324, 0))</f>
        <v>5.9928470531662309E-3</v>
      </c>
      <c r="H5" s="155">
        <f>INDEX(Base_Enh_PR24Query!$J$2:$J$324, MATCH('Renewal rates'!$A5&amp;RIGHT('Renewal rates'!H$4,2), Base_Enh_PR24Query!$A$2:$A$324, 0))</f>
        <v>4.2560078646229835E-3</v>
      </c>
      <c r="I5" s="155">
        <f>INDEX(Base_Enh_PR24Query!$J$2:$J$324, MATCH('Renewal rates'!$A5&amp;RIGHT('Renewal rates'!I$4,2), Base_Enh_PR24Query!$A$2:$A$324, 0))</f>
        <v>2.7557266510449046E-3</v>
      </c>
      <c r="J5" s="155">
        <f>INDEX(Base_Enh_PR24Query!$J$2:$J$324, MATCH('Renewal rates'!$A5&amp;RIGHT('Renewal rates'!J$4,2), Base_Enh_PR24Query!$A$2:$A$324, 0))</f>
        <v>1.5426491872799937E-3</v>
      </c>
      <c r="K5" s="155">
        <f>INDEX(Base_Enh_PR24Query!$J$2:$J$324, MATCH('Renewal rates'!$A5&amp;RIGHT('Renewal rates'!K$4,2), Base_Enh_PR24Query!$A$2:$A$324, 0))</f>
        <v>9.0871835076528334E-4</v>
      </c>
      <c r="L5" s="155">
        <f>INDEX(Base_Enh_PR24Query!$J$2:$J$324, MATCH('Renewal rates'!$A5&amp;RIGHT('Renewal rates'!L$4,2), Base_Enh_PR24Query!$A$2:$A$324, 0))</f>
        <v>3.6660359508041627E-4</v>
      </c>
      <c r="M5" s="155">
        <f>INDEX(Base_Enh_PR24Query!$J$2:$J$324, MATCH('Renewal rates'!$A5&amp;RIGHT('Renewal rates'!M$4,2), Base_Enh_PR24Query!$A$2:$A$324, 0))</f>
        <v>5.4805176437309957E-4</v>
      </c>
      <c r="N5" s="155">
        <f>INDEX(Base_Enh_PR24Query!$J$2:$J$324, MATCH('Renewal rates'!$A5&amp;RIGHT('Renewal rates'!N$4,2), Base_Enh_PR24Query!$A$2:$A$324, 0))</f>
        <v>4.4146097920518657E-4</v>
      </c>
      <c r="O5" s="164">
        <f>INDEX(Base_Enh_PR24Query!$J$2:$J$324, MATCH('Renewal rates'!$A5&amp;RIGHT('Renewal rates'!O$4,2), Base_Enh_PR24Query!$A$2:$A$324, 0))</f>
        <v>3.5148355349872589E-4</v>
      </c>
      <c r="P5" s="155">
        <f>INDEX(Base_Enh_PR24Query!$J$2:$J$324, MATCH('Renewal rates'!$A5&amp;RIGHT('Renewal rates'!P$4,2), Base_Enh_PR24Query!$A$2:$A$324, 0))</f>
        <v>8.0054226512557395E-4</v>
      </c>
      <c r="Q5" s="155">
        <f>INDEX(Base_Enh_PR24Query!$J$2:$J$324, MATCH('Renewal rates'!$A5&amp;RIGHT('Renewal rates'!Q$4,2), Base_Enh_PR24Query!$A$2:$A$324, 0))</f>
        <v>1.1015013054830286E-3</v>
      </c>
      <c r="R5" s="155">
        <f>INDEX(Base_Enh_PR24Query!$J$2:$J$324, MATCH('Renewal rates'!$A5&amp;RIGHT('Renewal rates'!R$4,2), Base_Enh_PR24Query!$A$2:$A$324, 0))</f>
        <v>1.4062899514190742E-3</v>
      </c>
      <c r="S5" s="155">
        <f>INDEX(Base_Enh_PR24Query!$J$2:$J$324, MATCH('Renewal rates'!$A5&amp;RIGHT('Renewal rates'!S$4,2), Base_Enh_PR24Query!$A$2:$A$324, 0))</f>
        <v>1.7032814238042268E-3</v>
      </c>
      <c r="T5" s="165">
        <f>INDEX(Base_Enh_PR24Query!$J$2:$J$324, MATCH('Renewal rates'!$A5&amp;RIGHT('Renewal rates'!T$4,2), Base_Enh_PR24Query!$A$2:$A$324, 0))</f>
        <v>1.9980596877021161E-3</v>
      </c>
      <c r="U5" s="164">
        <f>AVERAGE(B5:I5)</f>
        <v>6.6427372284089785E-3</v>
      </c>
      <c r="V5" s="155">
        <f>AVERAGE(B5:M5)</f>
        <v>4.7089933937308846E-3</v>
      </c>
      <c r="W5" s="155">
        <f>AVERAGE(J5:N5)</f>
        <v>7.6149677534079587E-4</v>
      </c>
      <c r="X5" s="155">
        <f>AVERAGE(K5:O5)</f>
        <v>5.2326364858454235E-4</v>
      </c>
      <c r="Y5" s="155">
        <f>AVERAGE(B5:T5)</f>
        <v>3.3847652574215022E-3</v>
      </c>
      <c r="Z5" s="155">
        <f>AVERAGE(P5:T5)</f>
        <v>1.4019349267068038E-3</v>
      </c>
      <c r="AA5" s="163">
        <f>AVERAGE(F5:N5)</f>
        <v>2.6451623890788849E-3</v>
      </c>
      <c r="AB5" s="265"/>
      <c r="AC5" s="265"/>
      <c r="AD5" s="265"/>
      <c r="AE5" s="265"/>
      <c r="AF5" s="265"/>
      <c r="AG5" s="265"/>
      <c r="AH5" s="265"/>
      <c r="AI5" s="265"/>
    </row>
    <row r="6" spans="1:35">
      <c r="A6" s="154" t="s">
        <v>21</v>
      </c>
      <c r="B6" s="164">
        <f>INDEX(Base_Enh_PR24Query!$J$2:$J$324, MATCH('Renewal rates'!$A6&amp;RIGHT('Renewal rates'!B$4,2), Base_Enh_PR24Query!$A$2:$A$324, 0))</f>
        <v>4.2788906302142953E-3</v>
      </c>
      <c r="C6" s="155">
        <f>INDEX(Base_Enh_PR24Query!$J$2:$J$324, MATCH('Renewal rates'!$A6&amp;RIGHT('Renewal rates'!C$4,2), Base_Enh_PR24Query!$A$2:$A$324, 0))</f>
        <v>2.5783998528658408E-3</v>
      </c>
      <c r="D6" s="155">
        <f>INDEX(Base_Enh_PR24Query!$J$2:$J$324, MATCH('Renewal rates'!$A6&amp;RIGHT('Renewal rates'!D$4,2), Base_Enh_PR24Query!$A$2:$A$324, 0))</f>
        <v>2.8427318484979401E-3</v>
      </c>
      <c r="E6" s="155">
        <f>INDEX(Base_Enh_PR24Query!$J$2:$J$324, MATCH('Renewal rates'!$A6&amp;RIGHT('Renewal rates'!E$4,2), Base_Enh_PR24Query!$A$2:$A$324, 0))</f>
        <v>2.2294235077785695E-3</v>
      </c>
      <c r="F6" s="155">
        <f>INDEX(Base_Enh_PR24Query!$J$2:$J$324, MATCH('Renewal rates'!$A6&amp;RIGHT('Renewal rates'!F$4,2), Base_Enh_PR24Query!$A$2:$A$324, 0))</f>
        <v>5.7889663166225437E-4</v>
      </c>
      <c r="G6" s="155">
        <f>INDEX(Base_Enh_PR24Query!$J$2:$J$324, MATCH('Renewal rates'!$A6&amp;RIGHT('Renewal rates'!G$4,2), Base_Enh_PR24Query!$A$2:$A$324, 0))</f>
        <v>8.8231579782326443E-4</v>
      </c>
      <c r="H6" s="155">
        <f>INDEX(Base_Enh_PR24Query!$J$2:$J$324, MATCH('Renewal rates'!$A6&amp;RIGHT('Renewal rates'!H$4,2), Base_Enh_PR24Query!$A$2:$A$324, 0))</f>
        <v>2.3165229251177455E-3</v>
      </c>
      <c r="I6" s="155">
        <f>INDEX(Base_Enh_PR24Query!$J$2:$J$324, MATCH('Renewal rates'!$A6&amp;RIGHT('Renewal rates'!I$4,2), Base_Enh_PR24Query!$A$2:$A$324, 0))</f>
        <v>2.6153595354802993E-3</v>
      </c>
      <c r="J6" s="155">
        <f>INDEX(Base_Enh_PR24Query!$J$2:$J$324, MATCH('Renewal rates'!$A6&amp;RIGHT('Renewal rates'!J$4,2), Base_Enh_PR24Query!$A$2:$A$324, 0))</f>
        <v>7.6984680565243227E-4</v>
      </c>
      <c r="K6" s="155">
        <f>INDEX(Base_Enh_PR24Query!$J$2:$J$324, MATCH('Renewal rates'!$A6&amp;RIGHT('Renewal rates'!K$4,2), Base_Enh_PR24Query!$A$2:$A$324, 0))</f>
        <v>4.1017650488342207E-4</v>
      </c>
      <c r="L6" s="155">
        <f>INDEX(Base_Enh_PR24Query!$J$2:$J$324, MATCH('Renewal rates'!$A6&amp;RIGHT('Renewal rates'!L$4,2), Base_Enh_PR24Query!$A$2:$A$324, 0))</f>
        <v>8.2470984341082867E-4</v>
      </c>
      <c r="M6" s="155">
        <f>INDEX(Base_Enh_PR24Query!$J$2:$J$324, MATCH('Renewal rates'!$A6&amp;RIGHT('Renewal rates'!M$4,2), Base_Enh_PR24Query!$A$2:$A$324, 0))</f>
        <v>1.0487386650563978E-3</v>
      </c>
      <c r="N6" s="155">
        <f>INDEX(Base_Enh_PR24Query!$J$2:$J$324, MATCH('Renewal rates'!$A6&amp;RIGHT('Renewal rates'!N$4,2), Base_Enh_PR24Query!$A$2:$A$324, 0))</f>
        <v>9.1123689621037127E-4</v>
      </c>
      <c r="O6" s="164">
        <f>INDEX(Base_Enh_PR24Query!$J$2:$J$324, MATCH('Renewal rates'!$A6&amp;RIGHT('Renewal rates'!O$4,2), Base_Enh_PR24Query!$A$2:$A$324, 0))</f>
        <v>1.6622457115063505E-3</v>
      </c>
      <c r="P6" s="155">
        <f>INDEX(Base_Enh_PR24Query!$J$2:$J$324, MATCH('Renewal rates'!$A6&amp;RIGHT('Renewal rates'!P$4,2), Base_Enh_PR24Query!$A$2:$A$324, 0))</f>
        <v>1.1677948682042216E-3</v>
      </c>
      <c r="Q6" s="155">
        <f>INDEX(Base_Enh_PR24Query!$J$2:$J$324, MATCH('Renewal rates'!$A6&amp;RIGHT('Renewal rates'!Q$4,2), Base_Enh_PR24Query!$A$2:$A$324, 0))</f>
        <v>1.2369416617413445E-3</v>
      </c>
      <c r="R6" s="155">
        <f>INDEX(Base_Enh_PR24Query!$J$2:$J$324, MATCH('Renewal rates'!$A6&amp;RIGHT('Renewal rates'!R$4,2), Base_Enh_PR24Query!$A$2:$A$324, 0))</f>
        <v>1.2607110708832935E-3</v>
      </c>
      <c r="S6" s="155">
        <f>INDEX(Base_Enh_PR24Query!$J$2:$J$324, MATCH('Renewal rates'!$A6&amp;RIGHT('Renewal rates'!S$4,2), Base_Enh_PR24Query!$A$2:$A$324, 0))</f>
        <v>1.2474177460674099E-3</v>
      </c>
      <c r="T6" s="165">
        <f>INDEX(Base_Enh_PR24Query!$J$2:$J$324, MATCH('Renewal rates'!$A6&amp;RIGHT('Renewal rates'!T$4,2), Base_Enh_PR24Query!$A$2:$A$324, 0))</f>
        <v>1.3890188699691166E-3</v>
      </c>
      <c r="U6" s="164">
        <f t="shared" ref="U6:U21" si="0">AVERAGE(B6:I6)</f>
        <v>2.2903175911800264E-3</v>
      </c>
      <c r="V6" s="155">
        <f t="shared" ref="V6:V21" si="1">AVERAGE(B6:M6)</f>
        <v>1.7813343790369408E-3</v>
      </c>
      <c r="W6" s="155">
        <f t="shared" ref="W6:W21" si="2">AVERAGE(J6:N6)</f>
        <v>7.9294174304269033E-4</v>
      </c>
      <c r="X6" s="155">
        <f t="shared" ref="X6:X21" si="3">AVERAGE(K6:O6)</f>
        <v>9.7142152421347415E-4</v>
      </c>
      <c r="Y6" s="155">
        <f t="shared" ref="Y6:Y21" si="4">AVERAGE(B6:T6)</f>
        <v>1.5921778617381788E-3</v>
      </c>
      <c r="Z6" s="155">
        <f>AVERAGE(P6:T6)</f>
        <v>1.2603768433730772E-3</v>
      </c>
      <c r="AA6" s="163">
        <f t="shared" ref="AA6:AA21" si="5">AVERAGE(F6:N6)</f>
        <v>1.1508670672552238E-3</v>
      </c>
      <c r="AB6" s="265"/>
      <c r="AC6" s="265"/>
      <c r="AD6" s="265"/>
      <c r="AE6" s="265"/>
      <c r="AF6" s="265"/>
      <c r="AG6" s="265"/>
      <c r="AH6" s="265"/>
      <c r="AI6" s="265"/>
    </row>
    <row r="7" spans="1:35">
      <c r="A7" s="154" t="s">
        <v>34</v>
      </c>
      <c r="B7" s="164">
        <f>INDEX(Base_Enh_PR24Query!$J$2:$J$324, MATCH('Renewal rates'!$A7&amp;RIGHT('Renewal rates'!B$4,2), Base_Enh_PR24Query!$A$2:$A$324, 0))</f>
        <v>1.06944632462434E-2</v>
      </c>
      <c r="C7" s="155">
        <f>INDEX(Base_Enh_PR24Query!$J$2:$J$324, MATCH('Renewal rates'!$A7&amp;RIGHT('Renewal rates'!C$4,2), Base_Enh_PR24Query!$A$2:$A$324, 0))</f>
        <v>1.1277519844241425E-2</v>
      </c>
      <c r="D7" s="155">
        <f>INDEX(Base_Enh_PR24Query!$J$2:$J$324, MATCH('Renewal rates'!$A7&amp;RIGHT('Renewal rates'!D$4,2), Base_Enh_PR24Query!$A$2:$A$324, 0))</f>
        <v>1.0628941130871632E-2</v>
      </c>
      <c r="E7" s="155">
        <f>INDEX(Base_Enh_PR24Query!$J$2:$J$324, MATCH('Renewal rates'!$A7&amp;RIGHT('Renewal rates'!E$4,2), Base_Enh_PR24Query!$A$2:$A$324, 0))</f>
        <v>4.1579424124975868E-3</v>
      </c>
      <c r="F7" s="155">
        <f>INDEX(Base_Enh_PR24Query!$J$2:$J$324, MATCH('Renewal rates'!$A7&amp;RIGHT('Renewal rates'!F$4,2), Base_Enh_PR24Query!$A$2:$A$324, 0))</f>
        <v>7.2618412472582846E-4</v>
      </c>
      <c r="G7" s="155">
        <f>INDEX(Base_Enh_PR24Query!$J$2:$J$324, MATCH('Renewal rates'!$A7&amp;RIGHT('Renewal rates'!G$4,2), Base_Enh_PR24Query!$A$2:$A$324, 0))</f>
        <v>2.2162138203093832E-3</v>
      </c>
      <c r="H7" s="155">
        <f>INDEX(Base_Enh_PR24Query!$J$2:$J$324, MATCH('Renewal rates'!$A7&amp;RIGHT('Renewal rates'!H$4,2), Base_Enh_PR24Query!$A$2:$A$324, 0))</f>
        <v>2.3725834797891036E-3</v>
      </c>
      <c r="I7" s="155">
        <f>INDEX(Base_Enh_PR24Query!$J$2:$J$324, MATCH('Renewal rates'!$A7&amp;RIGHT('Renewal rates'!I$4,2), Base_Enh_PR24Query!$A$2:$A$324, 0))</f>
        <v>2.4240654205607477E-3</v>
      </c>
      <c r="J7" s="155">
        <f>INDEX(Base_Enh_PR24Query!$J$2:$J$324, MATCH('Renewal rates'!$A7&amp;RIGHT('Renewal rates'!J$4,2), Base_Enh_PR24Query!$A$2:$A$324, 0))</f>
        <v>4.6691588241283511E-3</v>
      </c>
      <c r="K7" s="155">
        <f>INDEX(Base_Enh_PR24Query!$J$2:$J$324, MATCH('Renewal rates'!$A7&amp;RIGHT('Renewal rates'!K$4,2), Base_Enh_PR24Query!$A$2:$A$324, 0))</f>
        <v>2.4769326592986372E-3</v>
      </c>
      <c r="L7" s="155">
        <f>INDEX(Base_Enh_PR24Query!$J$2:$J$324, MATCH('Renewal rates'!$A7&amp;RIGHT('Renewal rates'!L$4,2), Base_Enh_PR24Query!$A$2:$A$324, 0))</f>
        <v>1.2556286802909594E-3</v>
      </c>
      <c r="M7" s="155">
        <f>INDEX(Base_Enh_PR24Query!$J$2:$J$324, MATCH('Renewal rates'!$A7&amp;RIGHT('Renewal rates'!M$4,2), Base_Enh_PR24Query!$A$2:$A$324, 0))</f>
        <v>1.1932316450782791E-3</v>
      </c>
      <c r="N7" s="155">
        <f>INDEX(Base_Enh_PR24Query!$J$2:$J$324, MATCH('Renewal rates'!$A7&amp;RIGHT('Renewal rates'!N$4,2), Base_Enh_PR24Query!$A$2:$A$324, 0))</f>
        <v>1.1185682326621924E-3</v>
      </c>
      <c r="O7" s="164">
        <f>INDEX(Base_Enh_PR24Query!$J$2:$J$324, MATCH('Renewal rates'!$A7&amp;RIGHT('Renewal rates'!O$4,2), Base_Enh_PR24Query!$A$2:$A$324, 0))</f>
        <v>1.8544406721634191E-3</v>
      </c>
      <c r="P7" s="155">
        <f>INDEX(Base_Enh_PR24Query!$J$2:$J$324, MATCH('Renewal rates'!$A7&amp;RIGHT('Renewal rates'!P$4,2), Base_Enh_PR24Query!$A$2:$A$324, 0))</f>
        <v>2.9200199415996011E-3</v>
      </c>
      <c r="Q7" s="155">
        <f>INDEX(Base_Enh_PR24Query!$J$2:$J$324, MATCH('Renewal rates'!$A7&amp;RIGHT('Renewal rates'!Q$4,2), Base_Enh_PR24Query!$A$2:$A$324, 0))</f>
        <v>2.0327803602143662E-3</v>
      </c>
      <c r="R7" s="155">
        <f>INDEX(Base_Enh_PR24Query!$J$2:$J$324, MATCH('Renewal rates'!$A7&amp;RIGHT('Renewal rates'!R$4,2), Base_Enh_PR24Query!$A$2:$A$324, 0))</f>
        <v>3.3609393612797091E-3</v>
      </c>
      <c r="S7" s="155">
        <f>INDEX(Base_Enh_PR24Query!$J$2:$J$324, MATCH('Renewal rates'!$A7&amp;RIGHT('Renewal rates'!S$4,2), Base_Enh_PR24Query!$A$2:$A$324, 0))</f>
        <v>2.9696669730608781E-3</v>
      </c>
      <c r="T7" s="165">
        <f>INDEX(Base_Enh_PR24Query!$J$2:$J$324, MATCH('Renewal rates'!$A7&amp;RIGHT('Renewal rates'!T$4,2), Base_Enh_PR24Query!$A$2:$A$324, 0))</f>
        <v>2.652894194677278E-3</v>
      </c>
      <c r="U7" s="164">
        <f t="shared" si="0"/>
        <v>5.5622391849048892E-3</v>
      </c>
      <c r="V7" s="155">
        <f t="shared" si="1"/>
        <v>4.5077387740029449E-3</v>
      </c>
      <c r="W7" s="155">
        <f t="shared" si="2"/>
        <v>2.1427040082916834E-3</v>
      </c>
      <c r="X7" s="155">
        <f t="shared" si="3"/>
        <v>1.5797603778986975E-3</v>
      </c>
      <c r="Y7" s="155">
        <f t="shared" si="4"/>
        <v>3.736956580194357E-3</v>
      </c>
      <c r="Z7" s="155">
        <f t="shared" ref="Z7:Z21" si="6">AVERAGE(P7:T7)</f>
        <v>2.7872601661663664E-3</v>
      </c>
      <c r="AA7" s="163">
        <f t="shared" si="5"/>
        <v>2.050285209649276E-3</v>
      </c>
      <c r="AB7" s="265"/>
      <c r="AC7" s="265"/>
      <c r="AD7" s="265"/>
      <c r="AE7" s="265"/>
      <c r="AF7" s="265"/>
      <c r="AG7" s="265"/>
      <c r="AH7" s="265"/>
      <c r="AI7" s="265"/>
    </row>
    <row r="8" spans="1:35">
      <c r="A8" s="154" t="s">
        <v>81</v>
      </c>
      <c r="B8" s="164">
        <f>INDEX(Base_Enh_PR24Query!$J$2:$J$324, MATCH('Renewal rates'!$A8&amp;RIGHT('Renewal rates'!B$4,2), Base_Enh_PR24Query!$A$2:$A$324, 0))</f>
        <v>5.3355670626459538E-3</v>
      </c>
      <c r="C8" s="155">
        <f>INDEX(Base_Enh_PR24Query!$J$2:$J$324, MATCH('Renewal rates'!$A8&amp;RIGHT('Renewal rates'!C$4,2), Base_Enh_PR24Query!$A$2:$A$324, 0))</f>
        <v>5.7530586842344938E-3</v>
      </c>
      <c r="D8" s="155">
        <f>INDEX(Base_Enh_PR24Query!$J$2:$J$324, MATCH('Renewal rates'!$A8&amp;RIGHT('Renewal rates'!D$4,2), Base_Enh_PR24Query!$A$2:$A$324, 0))</f>
        <v>4.7818221040926631E-3</v>
      </c>
      <c r="E8" s="155">
        <f>INDEX(Base_Enh_PR24Query!$J$2:$J$324, MATCH('Renewal rates'!$A8&amp;RIGHT('Renewal rates'!E$4,2), Base_Enh_PR24Query!$A$2:$A$324, 0))</f>
        <v>2.2906370337106253E-3</v>
      </c>
      <c r="F8" s="155">
        <f>INDEX(Base_Enh_PR24Query!$J$2:$J$324, MATCH('Renewal rates'!$A8&amp;RIGHT('Renewal rates'!F$4,2), Base_Enh_PR24Query!$A$2:$A$324, 0))</f>
        <v>6.2536213162904678E-3</v>
      </c>
      <c r="G8" s="155">
        <f>INDEX(Base_Enh_PR24Query!$J$2:$J$324, MATCH('Renewal rates'!$A8&amp;RIGHT('Renewal rates'!G$4,2), Base_Enh_PR24Query!$A$2:$A$324, 0))</f>
        <v>2.2557747834456208E-3</v>
      </c>
      <c r="H8" s="155">
        <f>INDEX(Base_Enh_PR24Query!$J$2:$J$324, MATCH('Renewal rates'!$A8&amp;RIGHT('Renewal rates'!H$4,2), Base_Enh_PR24Query!$A$2:$A$324, 0))</f>
        <v>2.7293930822291698E-3</v>
      </c>
      <c r="I8" s="155">
        <f>INDEX(Base_Enh_PR24Query!$J$2:$J$324, MATCH('Renewal rates'!$A8&amp;RIGHT('Renewal rates'!I$4,2), Base_Enh_PR24Query!$A$2:$A$324, 0))</f>
        <v>6.2549763342331496E-3</v>
      </c>
      <c r="J8" s="155">
        <f>INDEX(Base_Enh_PR24Query!$J$2:$J$324, MATCH('Renewal rates'!$A8&amp;RIGHT('Renewal rates'!J$4,2), Base_Enh_PR24Query!$A$2:$A$324, 0))</f>
        <v>4.3142400847881804E-3</v>
      </c>
      <c r="K8" s="155">
        <f>INDEX(Base_Enh_PR24Query!$J$2:$J$324, MATCH('Renewal rates'!$A8&amp;RIGHT('Renewal rates'!K$4,2), Base_Enh_PR24Query!$A$2:$A$324, 0))</f>
        <v>1.5217804831653035E-3</v>
      </c>
      <c r="L8" s="155">
        <f>INDEX(Base_Enh_PR24Query!$J$2:$J$324, MATCH('Renewal rates'!$A8&amp;RIGHT('Renewal rates'!L$4,2), Base_Enh_PR24Query!$A$2:$A$324, 0))</f>
        <v>9.4912680334092634E-4</v>
      </c>
      <c r="M8" s="155">
        <f>INDEX(Base_Enh_PR24Query!$J$2:$J$324, MATCH('Renewal rates'!$A8&amp;RIGHT('Renewal rates'!M$4,2), Base_Enh_PR24Query!$A$2:$A$324, 0))</f>
        <v>2.877806808285054E-3</v>
      </c>
      <c r="N8" s="155">
        <f>INDEX(Base_Enh_PR24Query!$J$2:$J$324, MATCH('Renewal rates'!$A8&amp;RIGHT('Renewal rates'!N$4,2), Base_Enh_PR24Query!$A$2:$A$324, 0))</f>
        <v>1.3140404845999012E-4</v>
      </c>
      <c r="O8" s="164">
        <f>INDEX(Base_Enh_PR24Query!$J$2:$J$324, MATCH('Renewal rates'!$A8&amp;RIGHT('Renewal rates'!O$4,2), Base_Enh_PR24Query!$A$2:$A$324, 0))</f>
        <v>1.2090071029167296E-3</v>
      </c>
      <c r="P8" s="155">
        <f>INDEX(Base_Enh_PR24Query!$J$2:$J$324, MATCH('Renewal rates'!$A8&amp;RIGHT('Renewal rates'!P$4,2), Base_Enh_PR24Query!$A$2:$A$324, 0))</f>
        <v>2.57755302286965E-3</v>
      </c>
      <c r="Q8" s="155">
        <f>INDEX(Base_Enh_PR24Query!$J$2:$J$324, MATCH('Renewal rates'!$A8&amp;RIGHT('Renewal rates'!Q$4,2), Base_Enh_PR24Query!$A$2:$A$324, 0))</f>
        <v>3.4416465621230391E-3</v>
      </c>
      <c r="R8" s="155">
        <f>INDEX(Base_Enh_PR24Query!$J$2:$J$324, MATCH('Renewal rates'!$A8&amp;RIGHT('Renewal rates'!R$4,2), Base_Enh_PR24Query!$A$2:$A$324, 0))</f>
        <v>4.8685895022215521E-3</v>
      </c>
      <c r="S8" s="155">
        <f>INDEX(Base_Enh_PR24Query!$J$2:$J$324, MATCH('Renewal rates'!$A8&amp;RIGHT('Renewal rates'!S$4,2), Base_Enh_PR24Query!$A$2:$A$324, 0))</f>
        <v>4.2613208966451018E-3</v>
      </c>
      <c r="T8" s="165">
        <f>INDEX(Base_Enh_PR24Query!$J$2:$J$324, MATCH('Renewal rates'!$A8&amp;RIGHT('Renewal rates'!T$4,2), Base_Enh_PR24Query!$A$2:$A$324, 0))</f>
        <v>4.1062438951085731E-3</v>
      </c>
      <c r="U8" s="164">
        <f t="shared" si="0"/>
        <v>4.4568563001102677E-3</v>
      </c>
      <c r="V8" s="155">
        <f t="shared" si="1"/>
        <v>3.776483715038467E-3</v>
      </c>
      <c r="W8" s="155">
        <f t="shared" si="2"/>
        <v>1.9588716456078905E-3</v>
      </c>
      <c r="X8" s="155">
        <f t="shared" si="3"/>
        <v>1.3378250492336007E-3</v>
      </c>
      <c r="Y8" s="155">
        <f t="shared" si="4"/>
        <v>3.4691352426740128E-3</v>
      </c>
      <c r="Z8" s="155">
        <f t="shared" si="6"/>
        <v>3.8510707757935829E-3</v>
      </c>
      <c r="AA8" s="163">
        <f t="shared" si="5"/>
        <v>3.0320137493597627E-3</v>
      </c>
      <c r="AB8" s="265"/>
      <c r="AC8" s="265"/>
      <c r="AD8" s="265"/>
      <c r="AE8" s="265"/>
      <c r="AF8" s="265"/>
      <c r="AG8" s="265"/>
      <c r="AH8" s="265"/>
      <c r="AI8" s="265"/>
    </row>
    <row r="9" spans="1:35">
      <c r="A9" s="154" t="s">
        <v>38</v>
      </c>
      <c r="B9" s="164">
        <f>INDEX(Base_Enh_PR24Query!$J$2:$J$324, MATCH('Renewal rates'!$A9&amp;RIGHT('Renewal rates'!B$4,2), Base_Enh_PR24Query!$A$2:$A$324, 0))</f>
        <v>6.1749571183533445E-3</v>
      </c>
      <c r="C9" s="155">
        <f>INDEX(Base_Enh_PR24Query!$J$2:$J$324, MATCH('Renewal rates'!$A9&amp;RIGHT('Renewal rates'!C$4,2), Base_Enh_PR24Query!$A$2:$A$324, 0))</f>
        <v>5.7268358346420434E-3</v>
      </c>
      <c r="D9" s="155">
        <f>INDEX(Base_Enh_PR24Query!$J$2:$J$324, MATCH('Renewal rates'!$A9&amp;RIGHT('Renewal rates'!D$4,2), Base_Enh_PR24Query!$A$2:$A$324, 0))</f>
        <v>3.6309686487330651E-3</v>
      </c>
      <c r="E9" s="155">
        <f>INDEX(Base_Enh_PR24Query!$J$2:$J$324, MATCH('Renewal rates'!$A9&amp;RIGHT('Renewal rates'!E$4,2), Base_Enh_PR24Query!$A$2:$A$324, 0))</f>
        <v>3.4311797260508717E-3</v>
      </c>
      <c r="F9" s="155">
        <f>INDEX(Base_Enh_PR24Query!$J$2:$J$324, MATCH('Renewal rates'!$A9&amp;RIGHT('Renewal rates'!F$4,2), Base_Enh_PR24Query!$A$2:$A$324, 0))</f>
        <v>2.8104935444050222E-3</v>
      </c>
      <c r="G9" s="155">
        <f>INDEX(Base_Enh_PR24Query!$J$2:$J$324, MATCH('Renewal rates'!$A9&amp;RIGHT('Renewal rates'!G$4,2), Base_Enh_PR24Query!$A$2:$A$324, 0))</f>
        <v>2.9094092853158122E-3</v>
      </c>
      <c r="H9" s="155">
        <f>INDEX(Base_Enh_PR24Query!$J$2:$J$324, MATCH('Renewal rates'!$A9&amp;RIGHT('Renewal rates'!H$4,2), Base_Enh_PR24Query!$A$2:$A$324, 0))</f>
        <v>3.2417412781722754E-3</v>
      </c>
      <c r="I9" s="155">
        <f>INDEX(Base_Enh_PR24Query!$J$2:$J$324, MATCH('Renewal rates'!$A9&amp;RIGHT('Renewal rates'!I$4,2), Base_Enh_PR24Query!$A$2:$A$324, 0))</f>
        <v>4.1448508199429177E-3</v>
      </c>
      <c r="J9" s="155">
        <f>INDEX(Base_Enh_PR24Query!$J$2:$J$324, MATCH('Renewal rates'!$A9&amp;RIGHT('Renewal rates'!J$4,2), Base_Enh_PR24Query!$A$2:$A$324, 0))</f>
        <v>2.9694429813512872E-3</v>
      </c>
      <c r="K9" s="155">
        <f>INDEX(Base_Enh_PR24Query!$J$2:$J$324, MATCH('Renewal rates'!$A9&amp;RIGHT('Renewal rates'!K$4,2), Base_Enh_PR24Query!$A$2:$A$324, 0))</f>
        <v>8.760970258410532E-4</v>
      </c>
      <c r="L9" s="155">
        <f>INDEX(Base_Enh_PR24Query!$J$2:$J$324, MATCH('Renewal rates'!$A9&amp;RIGHT('Renewal rates'!L$4,2), Base_Enh_PR24Query!$A$2:$A$324, 0))</f>
        <v>1.5019343093377836E-3</v>
      </c>
      <c r="M9" s="155">
        <f>INDEX(Base_Enh_PR24Query!$J$2:$J$324, MATCH('Renewal rates'!$A9&amp;RIGHT('Renewal rates'!M$4,2), Base_Enh_PR24Query!$A$2:$A$324, 0))</f>
        <v>1.0132095302185962E-3</v>
      </c>
      <c r="N9" s="155">
        <f>INDEX(Base_Enh_PR24Query!$J$2:$J$324, MATCH('Renewal rates'!$A9&amp;RIGHT('Renewal rates'!N$4,2), Base_Enh_PR24Query!$A$2:$A$324, 0))</f>
        <v>9.910765427632571E-4</v>
      </c>
      <c r="O9" s="164">
        <f>INDEX(Base_Enh_PR24Query!$J$2:$J$324, MATCH('Renewal rates'!$A9&amp;RIGHT('Renewal rates'!O$4,2), Base_Enh_PR24Query!$A$2:$A$324, 0))</f>
        <v>5.4437930430349451E-3</v>
      </c>
      <c r="P9" s="155">
        <f>INDEX(Base_Enh_PR24Query!$J$2:$J$324, MATCH('Renewal rates'!$A9&amp;RIGHT('Renewal rates'!P$4,2), Base_Enh_PR24Query!$A$2:$A$324, 0))</f>
        <v>1.9336103459545264E-3</v>
      </c>
      <c r="Q9" s="155">
        <f>INDEX(Base_Enh_PR24Query!$J$2:$J$324, MATCH('Renewal rates'!$A9&amp;RIGHT('Renewal rates'!Q$4,2), Base_Enh_PR24Query!$A$2:$A$324, 0))</f>
        <v>2.0990789032125012E-3</v>
      </c>
      <c r="R9" s="155">
        <f>INDEX(Base_Enh_PR24Query!$J$2:$J$324, MATCH('Renewal rates'!$A9&amp;RIGHT('Renewal rates'!R$4,2), Base_Enh_PR24Query!$A$2:$A$324, 0))</f>
        <v>2.7164126012494535E-3</v>
      </c>
      <c r="S9" s="155">
        <f>INDEX(Base_Enh_PR24Query!$J$2:$J$324, MATCH('Renewal rates'!$A9&amp;RIGHT('Renewal rates'!S$4,2), Base_Enh_PR24Query!$A$2:$A$324, 0))</f>
        <v>1.7152500313877834E-3</v>
      </c>
      <c r="T9" s="165">
        <f>INDEX(Base_Enh_PR24Query!$J$2:$J$324, MATCH('Renewal rates'!$A9&amp;RIGHT('Renewal rates'!T$4,2), Base_Enh_PR24Query!$A$2:$A$324, 0))</f>
        <v>1.7182244400774285E-3</v>
      </c>
      <c r="U9" s="164">
        <f t="shared" si="0"/>
        <v>4.0088045319519195E-3</v>
      </c>
      <c r="V9" s="155">
        <f t="shared" si="1"/>
        <v>3.2025933418636729E-3</v>
      </c>
      <c r="W9" s="155">
        <f t="shared" si="2"/>
        <v>1.4703520779023953E-3</v>
      </c>
      <c r="X9" s="155">
        <f t="shared" si="3"/>
        <v>1.9652220902391269E-3</v>
      </c>
      <c r="Y9" s="155">
        <f t="shared" si="4"/>
        <v>2.8972929478970513E-3</v>
      </c>
      <c r="Z9" s="155">
        <f t="shared" si="6"/>
        <v>2.0365152643763386E-3</v>
      </c>
      <c r="AA9" s="163">
        <f t="shared" si="5"/>
        <v>2.273139479705334E-3</v>
      </c>
      <c r="AB9" s="265"/>
      <c r="AC9" s="265"/>
      <c r="AD9" s="265"/>
      <c r="AE9" s="265"/>
      <c r="AF9" s="265"/>
      <c r="AG9" s="265"/>
      <c r="AH9" s="265"/>
      <c r="AI9" s="265"/>
    </row>
    <row r="10" spans="1:35">
      <c r="A10" s="154" t="s">
        <v>50</v>
      </c>
      <c r="B10" s="164">
        <f>INDEX(Base_Enh_PR24Query!$J$2:$J$324, MATCH('Renewal rates'!$A10&amp;RIGHT('Renewal rates'!B$4,2), Base_Enh_PR24Query!$A$2:$A$324, 0))</f>
        <v>1.0997607327092093E-3</v>
      </c>
      <c r="C10" s="155">
        <f>INDEX(Base_Enh_PR24Query!$J$2:$J$324, MATCH('Renewal rates'!$A10&amp;RIGHT('Renewal rates'!C$4,2), Base_Enh_PR24Query!$A$2:$A$324, 0))</f>
        <v>1.2838779384361956E-3</v>
      </c>
      <c r="D10" s="155">
        <f>INDEX(Base_Enh_PR24Query!$J$2:$J$324, MATCH('Renewal rates'!$A10&amp;RIGHT('Renewal rates'!D$4,2), Base_Enh_PR24Query!$A$2:$A$324, 0))</f>
        <v>9.761801530643006E-4</v>
      </c>
      <c r="E10" s="155">
        <f>INDEX(Base_Enh_PR24Query!$J$2:$J$324, MATCH('Renewal rates'!$A10&amp;RIGHT('Renewal rates'!E$4,2), Base_Enh_PR24Query!$A$2:$A$324, 0))</f>
        <v>5.8039337968100854E-4</v>
      </c>
      <c r="F10" s="155">
        <f>INDEX(Base_Enh_PR24Query!$J$2:$J$324, MATCH('Renewal rates'!$A10&amp;RIGHT('Renewal rates'!F$4,2), Base_Enh_PR24Query!$A$2:$A$324, 0))</f>
        <v>6.5154532909779815E-5</v>
      </c>
      <c r="G10" s="155">
        <f>INDEX(Base_Enh_PR24Query!$J$2:$J$324, MATCH('Renewal rates'!$A10&amp;RIGHT('Renewal rates'!G$4,2), Base_Enh_PR24Query!$A$2:$A$324, 0))</f>
        <v>4.9868247851142704E-5</v>
      </c>
      <c r="H10" s="155">
        <f>INDEX(Base_Enh_PR24Query!$J$2:$J$324, MATCH('Renewal rates'!$A10&amp;RIGHT('Renewal rates'!H$4,2), Base_Enh_PR24Query!$A$2:$A$324, 0))</f>
        <v>2.279772898019015E-4</v>
      </c>
      <c r="I10" s="155">
        <f>INDEX(Base_Enh_PR24Query!$J$2:$J$324, MATCH('Renewal rates'!$A10&amp;RIGHT('Renewal rates'!I$4,2), Base_Enh_PR24Query!$A$2:$A$324, 0))</f>
        <v>1.1042571872396946E-4</v>
      </c>
      <c r="J10" s="155">
        <f>INDEX(Base_Enh_PR24Query!$J$2:$J$324, MATCH('Renewal rates'!$A10&amp;RIGHT('Renewal rates'!J$4,2), Base_Enh_PR24Query!$A$2:$A$324, 0))</f>
        <v>3.094472608903494E-5</v>
      </c>
      <c r="K10" s="155">
        <f>INDEX(Base_Enh_PR24Query!$J$2:$J$324, MATCH('Renewal rates'!$A10&amp;RIGHT('Renewal rates'!K$4,2), Base_Enh_PR24Query!$A$2:$A$324, 0))</f>
        <v>3.2679350599800226E-4</v>
      </c>
      <c r="L10" s="155">
        <f>INDEX(Base_Enh_PR24Query!$J$2:$J$324, MATCH('Renewal rates'!$A10&amp;RIGHT('Renewal rates'!L$4,2), Base_Enh_PR24Query!$A$2:$A$324, 0))</f>
        <v>2.998005314166613E-4</v>
      </c>
      <c r="M10" s="155">
        <f>INDEX(Base_Enh_PR24Query!$J$2:$J$324, MATCH('Renewal rates'!$A10&amp;RIGHT('Renewal rates'!M$4,2), Base_Enh_PR24Query!$A$2:$A$324, 0))</f>
        <v>8.87769514370368E-5</v>
      </c>
      <c r="N10" s="155">
        <f>INDEX(Base_Enh_PR24Query!$J$2:$J$324, MATCH('Renewal rates'!$A10&amp;RIGHT('Renewal rates'!N$4,2), Base_Enh_PR24Query!$A$2:$A$324, 0))</f>
        <v>2.3238376705295508E-4</v>
      </c>
      <c r="O10" s="164">
        <f>INDEX(Base_Enh_PR24Query!$J$2:$J$324, MATCH('Renewal rates'!$A10&amp;RIGHT('Renewal rates'!O$4,2), Base_Enh_PR24Query!$A$2:$A$324, 0))</f>
        <v>8.7256022501364344E-4</v>
      </c>
      <c r="P10" s="155">
        <f>INDEX(Base_Enh_PR24Query!$J$2:$J$324, MATCH('Renewal rates'!$A10&amp;RIGHT('Renewal rates'!P$4,2), Base_Enh_PR24Query!$A$2:$A$324, 0))</f>
        <v>9.0841142932582644E-4</v>
      </c>
      <c r="Q10" s="155">
        <f>INDEX(Base_Enh_PR24Query!$J$2:$J$324, MATCH('Renewal rates'!$A10&amp;RIGHT('Renewal rates'!Q$4,2), Base_Enh_PR24Query!$A$2:$A$324, 0))</f>
        <v>1.0269719904271335E-3</v>
      </c>
      <c r="R10" s="155">
        <f>INDEX(Base_Enh_PR24Query!$J$2:$J$324, MATCH('Renewal rates'!$A10&amp;RIGHT('Renewal rates'!R$4,2), Base_Enh_PR24Query!$A$2:$A$324, 0))</f>
        <v>9.9294927921665839E-4</v>
      </c>
      <c r="S10" s="155">
        <f>INDEX(Base_Enh_PR24Query!$J$2:$J$324, MATCH('Renewal rates'!$A10&amp;RIGHT('Renewal rates'!S$4,2), Base_Enh_PR24Query!$A$2:$A$324, 0))</f>
        <v>1.0134000910728127E-3</v>
      </c>
      <c r="T10" s="165">
        <f>INDEX(Base_Enh_PR24Query!$J$2:$J$324, MATCH('Renewal rates'!$A10&amp;RIGHT('Renewal rates'!T$4,2), Base_Enh_PR24Query!$A$2:$A$324, 0))</f>
        <v>1.088611530204605E-3</v>
      </c>
      <c r="U10" s="164">
        <f t="shared" si="0"/>
        <v>5.4920474914718837E-4</v>
      </c>
      <c r="V10" s="155">
        <f t="shared" si="1"/>
        <v>4.2832947567652012E-4</v>
      </c>
      <c r="W10" s="155">
        <f t="shared" si="2"/>
        <v>1.9573989639873806E-4</v>
      </c>
      <c r="X10" s="155">
        <f t="shared" si="3"/>
        <v>3.6406299618365977E-4</v>
      </c>
      <c r="Y10" s="155">
        <f t="shared" si="4"/>
        <v>5.9343379054904613E-4</v>
      </c>
      <c r="Z10" s="155">
        <f t="shared" si="6"/>
        <v>1.006068864049407E-3</v>
      </c>
      <c r="AA10" s="163">
        <f t="shared" si="5"/>
        <v>1.59125030142276E-4</v>
      </c>
      <c r="AB10" s="265"/>
      <c r="AC10" s="265"/>
      <c r="AD10" s="265"/>
      <c r="AE10" s="265"/>
      <c r="AF10" s="265"/>
      <c r="AG10" s="265"/>
      <c r="AH10" s="265"/>
      <c r="AI10" s="265"/>
    </row>
    <row r="11" spans="1:35">
      <c r="A11" s="154" t="s">
        <v>39</v>
      </c>
      <c r="B11" s="164">
        <f>INDEX(Base_Enh_PR24Query!$J$2:$J$324, MATCH('Renewal rates'!$A11&amp;RIGHT('Renewal rates'!B$4,2), Base_Enh_PR24Query!$A$2:$A$324, 0))</f>
        <v>7.1084964917118611E-3</v>
      </c>
      <c r="C11" s="155">
        <f>INDEX(Base_Enh_PR24Query!$J$2:$J$324, MATCH('Renewal rates'!$A11&amp;RIGHT('Renewal rates'!C$4,2), Base_Enh_PR24Query!$A$2:$A$324, 0))</f>
        <v>5.6260510625286645E-3</v>
      </c>
      <c r="D11" s="155">
        <f>INDEX(Base_Enh_PR24Query!$J$2:$J$324, MATCH('Renewal rates'!$A11&amp;RIGHT('Renewal rates'!D$4,2), Base_Enh_PR24Query!$A$2:$A$324, 0))</f>
        <v>7.3473369714337983E-3</v>
      </c>
      <c r="E11" s="155">
        <f>INDEX(Base_Enh_PR24Query!$J$2:$J$324, MATCH('Renewal rates'!$A11&amp;RIGHT('Renewal rates'!E$4,2), Base_Enh_PR24Query!$A$2:$A$324, 0))</f>
        <v>4.4048848654231728E-3</v>
      </c>
      <c r="F11" s="155">
        <f>INDEX(Base_Enh_PR24Query!$J$2:$J$324, MATCH('Renewal rates'!$A11&amp;RIGHT('Renewal rates'!F$4,2), Base_Enh_PR24Query!$A$2:$A$324, 0))</f>
        <v>3.2659973388169832E-3</v>
      </c>
      <c r="G11" s="155">
        <f>INDEX(Base_Enh_PR24Query!$J$2:$J$324, MATCH('Renewal rates'!$A11&amp;RIGHT('Renewal rates'!G$4,2), Base_Enh_PR24Query!$A$2:$A$324, 0))</f>
        <v>6.2876052948255112E-3</v>
      </c>
      <c r="H11" s="155">
        <f>INDEX(Base_Enh_PR24Query!$J$2:$J$324, MATCH('Renewal rates'!$A11&amp;RIGHT('Renewal rates'!H$4,2), Base_Enh_PR24Query!$A$2:$A$324, 0))</f>
        <v>6.5937359508466955E-3</v>
      </c>
      <c r="I11" s="155">
        <f>INDEX(Base_Enh_PR24Query!$J$2:$J$324, MATCH('Renewal rates'!$A11&amp;RIGHT('Renewal rates'!I$4,2), Base_Enh_PR24Query!$A$2:$A$324, 0))</f>
        <v>6.5400465866332193E-3</v>
      </c>
      <c r="J11" s="155">
        <f>INDEX(Base_Enh_PR24Query!$J$2:$J$324, MATCH('Renewal rates'!$A11&amp;RIGHT('Renewal rates'!J$4,2), Base_Enh_PR24Query!$A$2:$A$324, 0))</f>
        <v>4.4661466087060082E-3</v>
      </c>
      <c r="K11" s="155">
        <f>INDEX(Base_Enh_PR24Query!$J$2:$J$324, MATCH('Renewal rates'!$A11&amp;RIGHT('Renewal rates'!K$4,2), Base_Enh_PR24Query!$A$2:$A$324, 0))</f>
        <v>2.5225546058879394E-3</v>
      </c>
      <c r="L11" s="155">
        <f>INDEX(Base_Enh_PR24Query!$J$2:$J$324, MATCH('Renewal rates'!$A11&amp;RIGHT('Renewal rates'!L$4,2), Base_Enh_PR24Query!$A$2:$A$324, 0))</f>
        <v>4.9425831656209297E-3</v>
      </c>
      <c r="M11" s="155">
        <f>INDEX(Base_Enh_PR24Query!$J$2:$J$324, MATCH('Renewal rates'!$A11&amp;RIGHT('Renewal rates'!M$4,2), Base_Enh_PR24Query!$A$2:$A$324, 0))</f>
        <v>3.3367783847630299E-3</v>
      </c>
      <c r="N11" s="155">
        <f>INDEX(Base_Enh_PR24Query!$J$2:$J$324, MATCH('Renewal rates'!$A11&amp;RIGHT('Renewal rates'!N$4,2), Base_Enh_PR24Query!$A$2:$A$324, 0))</f>
        <v>3.1387503666764445E-3</v>
      </c>
      <c r="O11" s="164">
        <f>INDEX(Base_Enh_PR24Query!$J$2:$J$324, MATCH('Renewal rates'!$A11&amp;RIGHT('Renewal rates'!O$4,2), Base_Enh_PR24Query!$A$2:$A$324, 0))</f>
        <v>3.6737692872887582E-3</v>
      </c>
      <c r="P11" s="155">
        <f>INDEX(Base_Enh_PR24Query!$J$2:$J$324, MATCH('Renewal rates'!$A11&amp;RIGHT('Renewal rates'!P$4,2), Base_Enh_PR24Query!$A$2:$A$324, 0))</f>
        <v>2.4036347647662317E-3</v>
      </c>
      <c r="Q11" s="155">
        <f>INDEX(Base_Enh_PR24Query!$J$2:$J$324, MATCH('Renewal rates'!$A11&amp;RIGHT('Renewal rates'!Q$4,2), Base_Enh_PR24Query!$A$2:$A$324, 0))</f>
        <v>2.3952095808383233E-3</v>
      </c>
      <c r="R11" s="155">
        <f>INDEX(Base_Enh_PR24Query!$J$2:$J$324, MATCH('Renewal rates'!$A11&amp;RIGHT('Renewal rates'!R$4,2), Base_Enh_PR24Query!$A$2:$A$324, 0))</f>
        <v>2.3875382151696024E-3</v>
      </c>
      <c r="S11" s="155">
        <f>INDEX(Base_Enh_PR24Query!$J$2:$J$324, MATCH('Renewal rates'!$A11&amp;RIGHT('Renewal rates'!S$4,2), Base_Enh_PR24Query!$A$2:$A$324, 0))</f>
        <v>2.3799158322449568E-3</v>
      </c>
      <c r="T11" s="165">
        <f>INDEX(Base_Enh_PR24Query!$J$2:$J$324, MATCH('Renewal rates'!$A11&amp;RIGHT('Renewal rates'!T$4,2), Base_Enh_PR24Query!$A$2:$A$324, 0))</f>
        <v>2.3730285052814353E-3</v>
      </c>
      <c r="U11" s="164">
        <f t="shared" si="0"/>
        <v>5.896769320277489E-3</v>
      </c>
      <c r="V11" s="155">
        <f t="shared" si="1"/>
        <v>5.2035181105998182E-3</v>
      </c>
      <c r="W11" s="155">
        <f t="shared" si="2"/>
        <v>3.6813626263308705E-3</v>
      </c>
      <c r="X11" s="155">
        <f t="shared" si="3"/>
        <v>3.5228871620474208E-3</v>
      </c>
      <c r="Y11" s="155">
        <f t="shared" si="4"/>
        <v>4.2733717831296624E-3</v>
      </c>
      <c r="Z11" s="155">
        <f t="shared" si="6"/>
        <v>2.3878653796601101E-3</v>
      </c>
      <c r="AA11" s="163">
        <f t="shared" si="5"/>
        <v>4.5660220336418622E-3</v>
      </c>
      <c r="AB11" s="265"/>
      <c r="AC11" s="265"/>
      <c r="AD11" s="265"/>
      <c r="AE11" s="265"/>
      <c r="AF11" s="265"/>
      <c r="AG11" s="265"/>
      <c r="AH11" s="265"/>
      <c r="AI11" s="265"/>
    </row>
    <row r="12" spans="1:35">
      <c r="A12" s="154" t="s">
        <v>41</v>
      </c>
      <c r="B12" s="164">
        <f>INDEX(Base_Enh_PR24Query!$J$2:$J$324, MATCH('Renewal rates'!$A12&amp;RIGHT('Renewal rates'!B$4,2), Base_Enh_PR24Query!$A$2:$A$324, 0))</f>
        <v>4.152372971604648E-3</v>
      </c>
      <c r="C12" s="155">
        <f>INDEX(Base_Enh_PR24Query!$J$2:$J$324, MATCH('Renewal rates'!$A12&amp;RIGHT('Renewal rates'!C$4,2), Base_Enh_PR24Query!$A$2:$A$324, 0))</f>
        <v>3.5733877043048305E-3</v>
      </c>
      <c r="D12" s="155">
        <f>INDEX(Base_Enh_PR24Query!$J$2:$J$324, MATCH('Renewal rates'!$A12&amp;RIGHT('Renewal rates'!D$4,2), Base_Enh_PR24Query!$A$2:$A$324, 0))</f>
        <v>6.2898373287919628E-3</v>
      </c>
      <c r="E12" s="155">
        <f>INDEX(Base_Enh_PR24Query!$J$2:$J$324, MATCH('Renewal rates'!$A12&amp;RIGHT('Renewal rates'!E$4,2), Base_Enh_PR24Query!$A$2:$A$324, 0))</f>
        <v>1.262656928566059E-2</v>
      </c>
      <c r="F12" s="155">
        <f>INDEX(Base_Enh_PR24Query!$J$2:$J$324, MATCH('Renewal rates'!$A12&amp;RIGHT('Renewal rates'!F$4,2), Base_Enh_PR24Query!$A$2:$A$324, 0))</f>
        <v>6.3999984002189765E-3</v>
      </c>
      <c r="G12" s="155">
        <f>INDEX(Base_Enh_PR24Query!$J$2:$J$324, MATCH('Renewal rates'!$A12&amp;RIGHT('Renewal rates'!G$4,2), Base_Enh_PR24Query!$A$2:$A$324, 0))</f>
        <v>3.3005200194192283E-3</v>
      </c>
      <c r="H12" s="155">
        <f>INDEX(Base_Enh_PR24Query!$J$2:$J$324, MATCH('Renewal rates'!$A12&amp;RIGHT('Renewal rates'!H$4,2), Base_Enh_PR24Query!$A$2:$A$324, 0))</f>
        <v>4.4896098902352504E-3</v>
      </c>
      <c r="I12" s="155">
        <f>INDEX(Base_Enh_PR24Query!$J$2:$J$324, MATCH('Renewal rates'!$A12&amp;RIGHT('Renewal rates'!I$4,2), Base_Enh_PR24Query!$A$2:$A$324, 0))</f>
        <v>2.9588778404823924E-3</v>
      </c>
      <c r="J12" s="155">
        <f>INDEX(Base_Enh_PR24Query!$J$2:$J$324, MATCH('Renewal rates'!$A12&amp;RIGHT('Renewal rates'!J$4,2), Base_Enh_PR24Query!$A$2:$A$324, 0))</f>
        <v>4.716903752367026E-3</v>
      </c>
      <c r="K12" s="155">
        <f>INDEX(Base_Enh_PR24Query!$J$2:$J$324, MATCH('Renewal rates'!$A12&amp;RIGHT('Renewal rates'!K$4,2), Base_Enh_PR24Query!$A$2:$A$324, 0))</f>
        <v>1.0289051851699251E-3</v>
      </c>
      <c r="L12" s="155">
        <f>INDEX(Base_Enh_PR24Query!$J$2:$J$324, MATCH('Renewal rates'!$A12&amp;RIGHT('Renewal rates'!L$4,2), Base_Enh_PR24Query!$A$2:$A$324, 0))</f>
        <v>2.2927073107457843E-3</v>
      </c>
      <c r="M12" s="155">
        <f>INDEX(Base_Enh_PR24Query!$J$2:$J$324, MATCH('Renewal rates'!$A12&amp;RIGHT('Renewal rates'!M$4,2), Base_Enh_PR24Query!$A$2:$A$324, 0))</f>
        <v>4.6128728158596538E-3</v>
      </c>
      <c r="N12" s="155">
        <f>INDEX(Base_Enh_PR24Query!$J$2:$J$324, MATCH('Renewal rates'!$A12&amp;RIGHT('Renewal rates'!N$4,2), Base_Enh_PR24Query!$A$2:$A$324, 0))</f>
        <v>1.7579675626630373E-3</v>
      </c>
      <c r="O12" s="164">
        <f>INDEX(Base_Enh_PR24Query!$J$2:$J$324, MATCH('Renewal rates'!$A12&amp;RIGHT('Renewal rates'!O$4,2), Base_Enh_PR24Query!$A$2:$A$324, 0))</f>
        <v>2.9954476224839776E-3</v>
      </c>
      <c r="P12" s="155">
        <f>INDEX(Base_Enh_PR24Query!$J$2:$J$324, MATCH('Renewal rates'!$A12&amp;RIGHT('Renewal rates'!P$4,2), Base_Enh_PR24Query!$A$2:$A$324, 0))</f>
        <v>2.9954409043476673E-3</v>
      </c>
      <c r="Q12" s="155">
        <f>INDEX(Base_Enh_PR24Query!$J$2:$J$324, MATCH('Renewal rates'!$A12&amp;RIGHT('Renewal rates'!Q$4,2), Base_Enh_PR24Query!$A$2:$A$324, 0))</f>
        <v>2.9954341865367942E-3</v>
      </c>
      <c r="R12" s="155">
        <f>INDEX(Base_Enh_PR24Query!$J$2:$J$324, MATCH('Renewal rates'!$A12&amp;RIGHT('Renewal rates'!R$4,2), Base_Enh_PR24Query!$A$2:$A$324, 0))</f>
        <v>2.9954274690814691E-3</v>
      </c>
      <c r="S12" s="155">
        <f>INDEX(Base_Enh_PR24Query!$J$2:$J$324, MATCH('Renewal rates'!$A12&amp;RIGHT('Renewal rates'!S$4,2), Base_Enh_PR24Query!$A$2:$A$324, 0))</f>
        <v>2.9954207520118035E-3</v>
      </c>
      <c r="T12" s="165">
        <f>INDEX(Base_Enh_PR24Query!$J$2:$J$324, MATCH('Renewal rates'!$A12&amp;RIGHT('Renewal rates'!T$4,2), Base_Enh_PR24Query!$A$2:$A$324, 0))</f>
        <v>2.9954140353578972E-3</v>
      </c>
      <c r="U12" s="164">
        <f t="shared" si="0"/>
        <v>5.4738966800897352E-3</v>
      </c>
      <c r="V12" s="155">
        <f t="shared" si="1"/>
        <v>4.7035468754050222E-3</v>
      </c>
      <c r="W12" s="155">
        <f t="shared" si="2"/>
        <v>2.8818713253610851E-3</v>
      </c>
      <c r="X12" s="155">
        <f t="shared" si="3"/>
        <v>2.5375800993844757E-3</v>
      </c>
      <c r="Y12" s="155">
        <f t="shared" si="4"/>
        <v>4.0091113177548902E-3</v>
      </c>
      <c r="Z12" s="155">
        <f t="shared" si="6"/>
        <v>2.9954274694671259E-3</v>
      </c>
      <c r="AA12" s="163">
        <f t="shared" si="5"/>
        <v>3.5064847530179191E-3</v>
      </c>
      <c r="AB12" s="265"/>
      <c r="AC12" s="265"/>
      <c r="AD12" s="265"/>
      <c r="AE12" s="265"/>
      <c r="AF12" s="265"/>
      <c r="AG12" s="265"/>
      <c r="AH12" s="265"/>
      <c r="AI12" s="265"/>
    </row>
    <row r="13" spans="1:35">
      <c r="A13" s="154" t="s">
        <v>42</v>
      </c>
      <c r="B13" s="164">
        <f>INDEX(Base_Enh_PR24Query!$J$2:$J$324, MATCH('Renewal rates'!$A13&amp;RIGHT('Renewal rates'!B$4,2), Base_Enh_PR24Query!$A$2:$A$324, 0))</f>
        <v>3.9700053411295079E-3</v>
      </c>
      <c r="C13" s="155">
        <f>INDEX(Base_Enh_PR24Query!$J$2:$J$324, MATCH('Renewal rates'!$A13&amp;RIGHT('Renewal rates'!C$4,2), Base_Enh_PR24Query!$A$2:$A$324, 0))</f>
        <v>4.2109211650539387E-3</v>
      </c>
      <c r="D13" s="155">
        <f>INDEX(Base_Enh_PR24Query!$J$2:$J$324, MATCH('Renewal rates'!$A13&amp;RIGHT('Renewal rates'!D$4,2), Base_Enh_PR24Query!$A$2:$A$324, 0))</f>
        <v>2.6064069264069268E-3</v>
      </c>
      <c r="E13" s="155">
        <f>INDEX(Base_Enh_PR24Query!$J$2:$J$324, MATCH('Renewal rates'!$A13&amp;RIGHT('Renewal rates'!E$4,2), Base_Enh_PR24Query!$A$2:$A$324, 0))</f>
        <v>2.8283190973684754E-3</v>
      </c>
      <c r="F13" s="155">
        <f>INDEX(Base_Enh_PR24Query!$J$2:$J$324, MATCH('Renewal rates'!$A13&amp;RIGHT('Renewal rates'!F$4,2), Base_Enh_PR24Query!$A$2:$A$324, 0))</f>
        <v>1.4234973619779994E-3</v>
      </c>
      <c r="G13" s="155">
        <f>INDEX(Base_Enh_PR24Query!$J$2:$J$324, MATCH('Renewal rates'!$A13&amp;RIGHT('Renewal rates'!G$4,2), Base_Enh_PR24Query!$A$2:$A$324, 0))</f>
        <v>8.6280921337354287E-4</v>
      </c>
      <c r="H13" s="155">
        <f>INDEX(Base_Enh_PR24Query!$J$2:$J$324, MATCH('Renewal rates'!$A13&amp;RIGHT('Renewal rates'!H$4,2), Base_Enh_PR24Query!$A$2:$A$324, 0))</f>
        <v>1.132640708037235E-3</v>
      </c>
      <c r="I13" s="155">
        <f>INDEX(Base_Enh_PR24Query!$J$2:$J$324, MATCH('Renewal rates'!$A13&amp;RIGHT('Renewal rates'!I$4,2), Base_Enh_PR24Query!$A$2:$A$324, 0))</f>
        <v>1.9498512189129427E-3</v>
      </c>
      <c r="J13" s="155">
        <f>INDEX(Base_Enh_PR24Query!$J$2:$J$324, MATCH('Renewal rates'!$A13&amp;RIGHT('Renewal rates'!J$4,2), Base_Enh_PR24Query!$A$2:$A$324, 0))</f>
        <v>1.3041592104549645E-3</v>
      </c>
      <c r="K13" s="155">
        <f>INDEX(Base_Enh_PR24Query!$J$2:$J$324, MATCH('Renewal rates'!$A13&amp;RIGHT('Renewal rates'!K$4,2), Base_Enh_PR24Query!$A$2:$A$324, 0))</f>
        <v>1.1285084823413687E-3</v>
      </c>
      <c r="L13" s="155">
        <f>INDEX(Base_Enh_PR24Query!$J$2:$J$324, MATCH('Renewal rates'!$A13&amp;RIGHT('Renewal rates'!L$4,2), Base_Enh_PR24Query!$A$2:$A$324, 0))</f>
        <v>4.3271485029137914E-4</v>
      </c>
      <c r="M13" s="155">
        <f>INDEX(Base_Enh_PR24Query!$J$2:$J$324, MATCH('Renewal rates'!$A13&amp;RIGHT('Renewal rates'!M$4,2), Base_Enh_PR24Query!$A$2:$A$324, 0))</f>
        <v>6.7395566780765006E-4</v>
      </c>
      <c r="N13" s="155">
        <f>INDEX(Base_Enh_PR24Query!$J$2:$J$324, MATCH('Renewal rates'!$A13&amp;RIGHT('Renewal rates'!N$4,2), Base_Enh_PR24Query!$A$2:$A$324, 0))</f>
        <v>5.7356619354220946E-4</v>
      </c>
      <c r="O13" s="164">
        <f>INDEX(Base_Enh_PR24Query!$J$2:$J$324, MATCH('Renewal rates'!$A13&amp;RIGHT('Renewal rates'!O$4,2), Base_Enh_PR24Query!$A$2:$A$324, 0))</f>
        <v>1.7720901374471568E-3</v>
      </c>
      <c r="P13" s="155">
        <f>INDEX(Base_Enh_PR24Query!$J$2:$J$324, MATCH('Renewal rates'!$A13&amp;RIGHT('Renewal rates'!P$4,2), Base_Enh_PR24Query!$A$2:$A$324, 0))</f>
        <v>1.8689066511817149E-3</v>
      </c>
      <c r="Q13" s="155">
        <f>INDEX(Base_Enh_PR24Query!$J$2:$J$324, MATCH('Renewal rates'!$A13&amp;RIGHT('Renewal rates'!Q$4,2), Base_Enh_PR24Query!$A$2:$A$324, 0))</f>
        <v>1.8609865508917983E-3</v>
      </c>
      <c r="R13" s="155">
        <f>INDEX(Base_Enh_PR24Query!$J$2:$J$324, MATCH('Renewal rates'!$A13&amp;RIGHT('Renewal rates'!R$4,2), Base_Enh_PR24Query!$A$2:$A$324, 0))</f>
        <v>1.8529078052543092E-3</v>
      </c>
      <c r="S13" s="155">
        <f>INDEX(Base_Enh_PR24Query!$J$2:$J$324, MATCH('Renewal rates'!$A13&amp;RIGHT('Renewal rates'!S$4,2), Base_Enh_PR24Query!$A$2:$A$324, 0))</f>
        <v>1.8416117188494051E-3</v>
      </c>
      <c r="T13" s="165">
        <f>INDEX(Base_Enh_PR24Query!$J$2:$J$324, MATCH('Renewal rates'!$A13&amp;RIGHT('Renewal rates'!T$4,2), Base_Enh_PR24Query!$A$2:$A$324, 0))</f>
        <v>1.8264459939894269E-3</v>
      </c>
      <c r="U13" s="164">
        <f t="shared" si="0"/>
        <v>2.3730563790325711E-3</v>
      </c>
      <c r="V13" s="155">
        <f t="shared" si="1"/>
        <v>1.876982436929661E-3</v>
      </c>
      <c r="W13" s="155">
        <f t="shared" si="2"/>
        <v>8.2258088088751435E-4</v>
      </c>
      <c r="X13" s="155">
        <f t="shared" si="3"/>
        <v>9.1616706628595281E-4</v>
      </c>
      <c r="Y13" s="155">
        <f t="shared" si="4"/>
        <v>1.7958054891743138E-3</v>
      </c>
      <c r="Z13" s="155">
        <f t="shared" si="6"/>
        <v>1.8501717440333309E-3</v>
      </c>
      <c r="AA13" s="163">
        <f t="shared" si="5"/>
        <v>1.0535225451932546E-3</v>
      </c>
      <c r="AB13" s="265"/>
      <c r="AC13" s="265"/>
      <c r="AD13" s="265"/>
      <c r="AE13" s="265"/>
      <c r="AF13" s="265"/>
      <c r="AG13" s="265"/>
      <c r="AH13" s="265"/>
      <c r="AI13" s="265"/>
    </row>
    <row r="14" spans="1:35">
      <c r="A14" s="154" t="s">
        <v>43</v>
      </c>
      <c r="B14" s="164">
        <f>INDEX(Base_Enh_PR24Query!$J$2:$J$324, MATCH('Renewal rates'!$A14&amp;RIGHT('Renewal rates'!B$4,2), Base_Enh_PR24Query!$A$2:$A$324, 0))</f>
        <v>5.8737365378347794E-3</v>
      </c>
      <c r="C14" s="155">
        <f>INDEX(Base_Enh_PR24Query!$J$2:$J$324, MATCH('Renewal rates'!$A14&amp;RIGHT('Renewal rates'!C$4,2), Base_Enh_PR24Query!$A$2:$A$324, 0))</f>
        <v>5.1743456713362205E-3</v>
      </c>
      <c r="D14" s="155">
        <f>INDEX(Base_Enh_PR24Query!$J$2:$J$324, MATCH('Renewal rates'!$A14&amp;RIGHT('Renewal rates'!D$4,2), Base_Enh_PR24Query!$A$2:$A$324, 0))</f>
        <v>2.0177151756902768E-3</v>
      </c>
      <c r="E14" s="155">
        <f>INDEX(Base_Enh_PR24Query!$J$2:$J$324, MATCH('Renewal rates'!$A14&amp;RIGHT('Renewal rates'!E$4,2), Base_Enh_PR24Query!$A$2:$A$324, 0))</f>
        <v>9.0844366851738792E-4</v>
      </c>
      <c r="F14" s="155">
        <f>INDEX(Base_Enh_PR24Query!$J$2:$J$324, MATCH('Renewal rates'!$A14&amp;RIGHT('Renewal rates'!F$4,2), Base_Enh_PR24Query!$A$2:$A$324, 0))</f>
        <v>2.2041681180451269E-4</v>
      </c>
      <c r="G14" s="155">
        <f>INDEX(Base_Enh_PR24Query!$J$2:$J$324, MATCH('Renewal rates'!$A14&amp;RIGHT('Renewal rates'!G$4,2), Base_Enh_PR24Query!$A$2:$A$324, 0))</f>
        <v>1.6733590816265065E-3</v>
      </c>
      <c r="H14" s="155">
        <f>INDEX(Base_Enh_PR24Query!$J$2:$J$324, MATCH('Renewal rates'!$A14&amp;RIGHT('Renewal rates'!H$4,2), Base_Enh_PR24Query!$A$2:$A$324, 0))</f>
        <v>2.3106596706824541E-3</v>
      </c>
      <c r="I14" s="155">
        <f>INDEX(Base_Enh_PR24Query!$J$2:$J$324, MATCH('Renewal rates'!$A14&amp;RIGHT('Renewal rates'!I$4,2), Base_Enh_PR24Query!$A$2:$A$324, 0))</f>
        <v>7.9543500139858019E-4</v>
      </c>
      <c r="J14" s="155">
        <f>INDEX(Base_Enh_PR24Query!$J$2:$J$324, MATCH('Renewal rates'!$A14&amp;RIGHT('Renewal rates'!J$4,2), Base_Enh_PR24Query!$A$2:$A$324, 0))</f>
        <v>0</v>
      </c>
      <c r="K14" s="155">
        <f>INDEX(Base_Enh_PR24Query!$J$2:$J$324, MATCH('Renewal rates'!$A14&amp;RIGHT('Renewal rates'!K$4,2), Base_Enh_PR24Query!$A$2:$A$324, 0))</f>
        <v>0</v>
      </c>
      <c r="L14" s="155">
        <f>INDEX(Base_Enh_PR24Query!$J$2:$J$324, MATCH('Renewal rates'!$A14&amp;RIGHT('Renewal rates'!L$4,2), Base_Enh_PR24Query!$A$2:$A$324, 0))</f>
        <v>0</v>
      </c>
      <c r="M14" s="155">
        <f>INDEX(Base_Enh_PR24Query!$J$2:$J$324, MATCH('Renewal rates'!$A14&amp;RIGHT('Renewal rates'!M$4,2), Base_Enh_PR24Query!$A$2:$A$324, 0))</f>
        <v>3.1611466340972775E-4</v>
      </c>
      <c r="N14" s="155">
        <f>INDEX(Base_Enh_PR24Query!$J$2:$J$324, MATCH('Renewal rates'!$A14&amp;RIGHT('Renewal rates'!N$4,2), Base_Enh_PR24Query!$A$2:$A$324, 0))</f>
        <v>1.026294318881239E-3</v>
      </c>
      <c r="O14" s="164">
        <f>INDEX(Base_Enh_PR24Query!$J$2:$J$324, MATCH('Renewal rates'!$A14&amp;RIGHT('Renewal rates'!O$4,2), Base_Enh_PR24Query!$A$2:$A$324, 0))</f>
        <v>7.1871797791187519E-4</v>
      </c>
      <c r="P14" s="155">
        <f>INDEX(Base_Enh_PR24Query!$J$2:$J$324, MATCH('Renewal rates'!$A14&amp;RIGHT('Renewal rates'!P$4,2), Base_Enh_PR24Query!$A$2:$A$324, 0))</f>
        <v>2.216415638122349E-3</v>
      </c>
      <c r="Q14" s="155">
        <f>INDEX(Base_Enh_PR24Query!$J$2:$J$324, MATCH('Renewal rates'!$A14&amp;RIGHT('Renewal rates'!Q$4,2), Base_Enh_PR24Query!$A$2:$A$324, 0))</f>
        <v>2.0294981924781721E-3</v>
      </c>
      <c r="R14" s="155">
        <f>INDEX(Base_Enh_PR24Query!$J$2:$J$324, MATCH('Renewal rates'!$A14&amp;RIGHT('Renewal rates'!R$4,2), Base_Enh_PR24Query!$A$2:$A$324, 0))</f>
        <v>1.5789400142523786E-3</v>
      </c>
      <c r="S14" s="155">
        <f>INDEX(Base_Enh_PR24Query!$J$2:$J$324, MATCH('Renewal rates'!$A14&amp;RIGHT('Renewal rates'!S$4,2), Base_Enh_PR24Query!$A$2:$A$324, 0))</f>
        <v>1.585292931540376E-3</v>
      </c>
      <c r="T14" s="165">
        <f>INDEX(Base_Enh_PR24Query!$J$2:$J$324, MATCH('Renewal rates'!$A14&amp;RIGHT('Renewal rates'!T$4,2), Base_Enh_PR24Query!$A$2:$A$324, 0))</f>
        <v>1.1071898138537125E-3</v>
      </c>
      <c r="U14" s="164">
        <f t="shared" si="0"/>
        <v>2.3717639523613398E-3</v>
      </c>
      <c r="V14" s="155">
        <f t="shared" si="1"/>
        <v>1.6075188568583706E-3</v>
      </c>
      <c r="W14" s="155">
        <f t="shared" si="2"/>
        <v>2.6848179645819334E-4</v>
      </c>
      <c r="X14" s="155">
        <f t="shared" si="3"/>
        <v>4.1222539204056831E-4</v>
      </c>
      <c r="Y14" s="155">
        <f t="shared" si="4"/>
        <v>1.5553986931231866E-3</v>
      </c>
      <c r="Z14" s="155">
        <f t="shared" si="6"/>
        <v>1.7034673180493973E-3</v>
      </c>
      <c r="AA14" s="163">
        <f t="shared" si="5"/>
        <v>7.0469772753366895E-4</v>
      </c>
      <c r="AB14" s="265"/>
      <c r="AC14" s="265"/>
      <c r="AD14" s="265"/>
      <c r="AE14" s="265"/>
      <c r="AF14" s="265"/>
      <c r="AG14" s="265"/>
      <c r="AH14" s="265"/>
      <c r="AI14" s="265"/>
    </row>
    <row r="15" spans="1:35">
      <c r="A15" s="154" t="s">
        <v>85</v>
      </c>
      <c r="B15" s="164">
        <f>INDEX(Base_Enh_PR24Query!$J$2:$J$324, MATCH('Renewal rates'!$A15&amp;RIGHT('Renewal rates'!B$4,2), Base_Enh_PR24Query!$A$2:$A$324, 0))</f>
        <v>8.7305744718002443E-3</v>
      </c>
      <c r="C15" s="155">
        <f>INDEX(Base_Enh_PR24Query!$J$2:$J$324, MATCH('Renewal rates'!$A15&amp;RIGHT('Renewal rates'!C$4,2), Base_Enh_PR24Query!$A$2:$A$324, 0))</f>
        <v>9.01457476447921E-3</v>
      </c>
      <c r="D15" s="155">
        <f>INDEX(Base_Enh_PR24Query!$J$2:$J$324, MATCH('Renewal rates'!$A15&amp;RIGHT('Renewal rates'!D$4,2), Base_Enh_PR24Query!$A$2:$A$324, 0))</f>
        <v>7.9808494171431307E-3</v>
      </c>
      <c r="E15" s="155">
        <f>INDEX(Base_Enh_PR24Query!$J$2:$J$324, MATCH('Renewal rates'!$A15&amp;RIGHT('Renewal rates'!E$4,2), Base_Enh_PR24Query!$A$2:$A$324, 0))</f>
        <v>4.9874548608081232E-3</v>
      </c>
      <c r="F15" s="155">
        <f>INDEX(Base_Enh_PR24Query!$J$2:$J$324, MATCH('Renewal rates'!$A15&amp;RIGHT('Renewal rates'!F$4,2), Base_Enh_PR24Query!$A$2:$A$324, 0))</f>
        <v>4.2347506406442094E-3</v>
      </c>
      <c r="G15" s="155">
        <f>INDEX(Base_Enh_PR24Query!$J$2:$J$324, MATCH('Renewal rates'!$A15&amp;RIGHT('Renewal rates'!G$4,2), Base_Enh_PR24Query!$A$2:$A$324, 0))</f>
        <v>4.8429403185068359E-3</v>
      </c>
      <c r="H15" s="155">
        <f>INDEX(Base_Enh_PR24Query!$J$2:$J$324, MATCH('Renewal rates'!$A15&amp;RIGHT('Renewal rates'!H$4,2), Base_Enh_PR24Query!$A$2:$A$324, 0))</f>
        <v>6.7425046314234871E-3</v>
      </c>
      <c r="I15" s="155">
        <f>INDEX(Base_Enh_PR24Query!$J$2:$J$324, MATCH('Renewal rates'!$A15&amp;RIGHT('Renewal rates'!I$4,2), Base_Enh_PR24Query!$A$2:$A$324, 0))</f>
        <v>4.6167174880742609E-3</v>
      </c>
      <c r="J15" s="155">
        <f>INDEX(Base_Enh_PR24Query!$J$2:$J$324, MATCH('Renewal rates'!$A15&amp;RIGHT('Renewal rates'!J$4,2), Base_Enh_PR24Query!$A$2:$A$324, 0))</f>
        <v>3.1120694679177109E-3</v>
      </c>
      <c r="K15" s="155">
        <f>INDEX(Base_Enh_PR24Query!$J$2:$J$324, MATCH('Renewal rates'!$A15&amp;RIGHT('Renewal rates'!K$4,2), Base_Enh_PR24Query!$A$2:$A$324, 0))</f>
        <v>3.8389719441899307E-3</v>
      </c>
      <c r="L15" s="155">
        <f>INDEX(Base_Enh_PR24Query!$J$2:$J$324, MATCH('Renewal rates'!$A15&amp;RIGHT('Renewal rates'!L$4,2), Base_Enh_PR24Query!$A$2:$A$324, 0))</f>
        <v>2.8240772759757478E-3</v>
      </c>
      <c r="M15" s="155">
        <f>INDEX(Base_Enh_PR24Query!$J$2:$J$324, MATCH('Renewal rates'!$A15&amp;RIGHT('Renewal rates'!M$4,2), Base_Enh_PR24Query!$A$2:$A$324, 0))</f>
        <v>2.4350038409628786E-3</v>
      </c>
      <c r="N15" s="155">
        <f>INDEX(Base_Enh_PR24Query!$J$2:$J$324, MATCH('Renewal rates'!$A15&amp;RIGHT('Renewal rates'!N$4,2), Base_Enh_PR24Query!$A$2:$A$324, 0))</f>
        <v>8.8022602192297777E-4</v>
      </c>
      <c r="O15" s="164">
        <f>INDEX(Base_Enh_PR24Query!$J$2:$J$324, MATCH('Renewal rates'!$A15&amp;RIGHT('Renewal rates'!O$4,2), Base_Enh_PR24Query!$A$2:$A$324, 0))</f>
        <v>2.1619296701521147E-3</v>
      </c>
      <c r="P15" s="155">
        <f>INDEX(Base_Enh_PR24Query!$J$2:$J$324, MATCH('Renewal rates'!$A15&amp;RIGHT('Renewal rates'!P$4,2), Base_Enh_PR24Query!$A$2:$A$324, 0))</f>
        <v>5.6615235499564345E-3</v>
      </c>
      <c r="Q15" s="155">
        <f>INDEX(Base_Enh_PR24Query!$J$2:$J$324, MATCH('Renewal rates'!$A15&amp;RIGHT('Renewal rates'!Q$4,2), Base_Enh_PR24Query!$A$2:$A$324, 0))</f>
        <v>5.6340281780285295E-3</v>
      </c>
      <c r="R15" s="155">
        <f>INDEX(Base_Enh_PR24Query!$J$2:$J$324, MATCH('Renewal rates'!$A15&amp;RIGHT('Renewal rates'!R$4,2), Base_Enh_PR24Query!$A$2:$A$324, 0))</f>
        <v>5.6067985796857834E-3</v>
      </c>
      <c r="S15" s="155">
        <f>INDEX(Base_Enh_PR24Query!$J$2:$J$324, MATCH('Renewal rates'!$A15&amp;RIGHT('Renewal rates'!S$4,2), Base_Enh_PR24Query!$A$2:$A$324, 0))</f>
        <v>5.5798309199634622E-3</v>
      </c>
      <c r="T15" s="165">
        <f>INDEX(Base_Enh_PR24Query!$J$2:$J$324, MATCH('Renewal rates'!$A15&amp;RIGHT('Renewal rates'!T$4,2), Base_Enh_PR24Query!$A$2:$A$324, 0))</f>
        <v>5.5531214373255268E-3</v>
      </c>
      <c r="U15" s="164">
        <f t="shared" si="0"/>
        <v>6.3937958241099373E-3</v>
      </c>
      <c r="V15" s="155">
        <f t="shared" si="1"/>
        <v>5.2800407601604803E-3</v>
      </c>
      <c r="W15" s="155">
        <f t="shared" si="2"/>
        <v>2.6180697101938488E-3</v>
      </c>
      <c r="X15" s="155">
        <f t="shared" si="3"/>
        <v>2.4280417506407298E-3</v>
      </c>
      <c r="Y15" s="155">
        <f t="shared" si="4"/>
        <v>4.9704182883663472E-3</v>
      </c>
      <c r="Z15" s="155">
        <f t="shared" si="6"/>
        <v>5.6070605329919471E-3</v>
      </c>
      <c r="AA15" s="163">
        <f t="shared" si="5"/>
        <v>3.7252512921797814E-3</v>
      </c>
      <c r="AB15" s="265"/>
      <c r="AC15" s="265"/>
      <c r="AD15" s="265"/>
      <c r="AE15" s="265"/>
      <c r="AF15" s="265"/>
      <c r="AG15" s="265"/>
      <c r="AH15" s="265"/>
      <c r="AI15" s="265"/>
    </row>
    <row r="16" spans="1:35">
      <c r="A16" s="154" t="s">
        <v>82</v>
      </c>
      <c r="B16" s="164">
        <f>INDEX(Base_Enh_PR24Query!$J$2:$J$324, MATCH('Renewal rates'!$A16&amp;RIGHT('Renewal rates'!B$4,2), Base_Enh_PR24Query!$A$2:$A$324, 0))</f>
        <v>8.015565819974738E-3</v>
      </c>
      <c r="C16" s="155">
        <f>INDEX(Base_Enh_PR24Query!$J$2:$J$324, MATCH('Renewal rates'!$A16&amp;RIGHT('Renewal rates'!C$4,2), Base_Enh_PR24Query!$A$2:$A$324, 0))</f>
        <v>6.2199660394577725E-3</v>
      </c>
      <c r="D16" s="155">
        <f>INDEX(Base_Enh_PR24Query!$J$2:$J$324, MATCH('Renewal rates'!$A16&amp;RIGHT('Renewal rates'!D$4,2), Base_Enh_PR24Query!$A$2:$A$324, 0))</f>
        <v>5.6497591693705209E-3</v>
      </c>
      <c r="E16" s="155">
        <f>INDEX(Base_Enh_PR24Query!$J$2:$J$324, MATCH('Renewal rates'!$A16&amp;RIGHT('Renewal rates'!E$4,2), Base_Enh_PR24Query!$A$2:$A$324, 0))</f>
        <v>4.7702978527752972E-3</v>
      </c>
      <c r="F16" s="155">
        <f>INDEX(Base_Enh_PR24Query!$J$2:$J$324, MATCH('Renewal rates'!$A16&amp;RIGHT('Renewal rates'!F$4,2), Base_Enh_PR24Query!$A$2:$A$324, 0))</f>
        <v>4.0143028566167133E-3</v>
      </c>
      <c r="G16" s="155">
        <f>INDEX(Base_Enh_PR24Query!$J$2:$J$324, MATCH('Renewal rates'!$A16&amp;RIGHT('Renewal rates'!G$4,2), Base_Enh_PR24Query!$A$2:$A$324, 0))</f>
        <v>3.5405238241125567E-3</v>
      </c>
      <c r="H16" s="155">
        <f>INDEX(Base_Enh_PR24Query!$J$2:$J$324, MATCH('Renewal rates'!$A16&amp;RIGHT('Renewal rates'!H$4,2), Base_Enh_PR24Query!$A$2:$A$324, 0))</f>
        <v>2.5280267393969214E-3</v>
      </c>
      <c r="I16" s="155">
        <f>INDEX(Base_Enh_PR24Query!$J$2:$J$324, MATCH('Renewal rates'!$A16&amp;RIGHT('Renewal rates'!I$4,2), Base_Enh_PR24Query!$A$2:$A$324, 0))</f>
        <v>4.9617946553615518E-3</v>
      </c>
      <c r="J16" s="155">
        <f>INDEX(Base_Enh_PR24Query!$J$2:$J$324, MATCH('Renewal rates'!$A16&amp;RIGHT('Renewal rates'!J$4,2), Base_Enh_PR24Query!$A$2:$A$324, 0))</f>
        <v>5.9407947534028368E-3</v>
      </c>
      <c r="K16" s="155">
        <f>INDEX(Base_Enh_PR24Query!$J$2:$J$324, MATCH('Renewal rates'!$A16&amp;RIGHT('Renewal rates'!K$4,2), Base_Enh_PR24Query!$A$2:$A$324, 0))</f>
        <v>9.2410356041728258E-4</v>
      </c>
      <c r="L16" s="155">
        <f>INDEX(Base_Enh_PR24Query!$J$2:$J$324, MATCH('Renewal rates'!$A16&amp;RIGHT('Renewal rates'!L$4,2), Base_Enh_PR24Query!$A$2:$A$324, 0))</f>
        <v>1.4758334890341163E-3</v>
      </c>
      <c r="M16" s="155">
        <f>INDEX(Base_Enh_PR24Query!$J$2:$J$324, MATCH('Renewal rates'!$A16&amp;RIGHT('Renewal rates'!M$4,2), Base_Enh_PR24Query!$A$2:$A$324, 0))</f>
        <v>1.9488901978969532E-3</v>
      </c>
      <c r="N16" s="155">
        <f>INDEX(Base_Enh_PR24Query!$J$2:$J$324, MATCH('Renewal rates'!$A16&amp;RIGHT('Renewal rates'!N$4,2), Base_Enh_PR24Query!$A$2:$A$324, 0))</f>
        <v>1.9045597032633539E-3</v>
      </c>
      <c r="O16" s="164">
        <f>INDEX(Base_Enh_PR24Query!$J$2:$J$324, MATCH('Renewal rates'!$A16&amp;RIGHT('Renewal rates'!O$4,2), Base_Enh_PR24Query!$A$2:$A$324, 0))</f>
        <v>2.6762522518040343E-3</v>
      </c>
      <c r="P16" s="155">
        <f>INDEX(Base_Enh_PR24Query!$J$2:$J$324, MATCH('Renewal rates'!$A16&amp;RIGHT('Renewal rates'!P$4,2), Base_Enh_PR24Query!$A$2:$A$324, 0))</f>
        <v>3.8450009819222938E-3</v>
      </c>
      <c r="Q16" s="155">
        <f>INDEX(Base_Enh_PR24Query!$J$2:$J$324, MATCH('Renewal rates'!$A16&amp;RIGHT('Renewal rates'!Q$4,2), Base_Enh_PR24Query!$A$2:$A$324, 0))</f>
        <v>3.832491284173047E-3</v>
      </c>
      <c r="R16" s="155">
        <f>INDEX(Base_Enh_PR24Query!$J$2:$J$324, MATCH('Renewal rates'!$A16&amp;RIGHT('Renewal rates'!R$4,2), Base_Enh_PR24Query!$A$2:$A$324, 0))</f>
        <v>3.8205570618683755E-3</v>
      </c>
      <c r="S16" s="155">
        <f>INDEX(Base_Enh_PR24Query!$J$2:$J$324, MATCH('Renewal rates'!$A16&amp;RIGHT('Renewal rates'!S$4,2), Base_Enh_PR24Query!$A$2:$A$324, 0))</f>
        <v>3.8083927968140543E-3</v>
      </c>
      <c r="T16" s="165">
        <f>INDEX(Base_Enh_PR24Query!$J$2:$J$324, MATCH('Renewal rates'!$A16&amp;RIGHT('Renewal rates'!T$4,2), Base_Enh_PR24Query!$A$2:$A$324, 0))</f>
        <v>3.796019078057173E-3</v>
      </c>
      <c r="U16" s="164">
        <f t="shared" si="0"/>
        <v>4.9625296196332599E-3</v>
      </c>
      <c r="V16" s="155">
        <f t="shared" si="1"/>
        <v>4.165821579818106E-3</v>
      </c>
      <c r="W16" s="155">
        <f t="shared" si="2"/>
        <v>2.4388363408029087E-3</v>
      </c>
      <c r="X16" s="155">
        <f t="shared" si="3"/>
        <v>1.785927840483148E-3</v>
      </c>
      <c r="Y16" s="155">
        <f t="shared" si="4"/>
        <v>3.8775332692483995E-3</v>
      </c>
      <c r="Z16" s="155">
        <f t="shared" si="6"/>
        <v>3.8204922405669891E-3</v>
      </c>
      <c r="AA16" s="163">
        <f t="shared" si="5"/>
        <v>3.026536642166921E-3</v>
      </c>
      <c r="AB16" s="265"/>
      <c r="AC16" s="265"/>
      <c r="AD16" s="265"/>
      <c r="AE16" s="265"/>
      <c r="AF16" s="265"/>
      <c r="AG16" s="265"/>
      <c r="AH16" s="265"/>
      <c r="AI16" s="265"/>
    </row>
    <row r="17" spans="1:35">
      <c r="A17" s="154" t="s">
        <v>83</v>
      </c>
      <c r="B17" s="164">
        <f>INDEX(Base_Enh_PR24Query!$J$2:$J$324, MATCH('Renewal rates'!$A17&amp;RIGHT('Renewal rates'!B$4,2), Base_Enh_PR24Query!$A$2:$A$324, 0))</f>
        <v>2.5011001498431939E-3</v>
      </c>
      <c r="C17" s="155">
        <f>INDEX(Base_Enh_PR24Query!$J$2:$J$324, MATCH('Renewal rates'!$A17&amp;RIGHT('Renewal rates'!C$4,2), Base_Enh_PR24Query!$A$2:$A$324, 0))</f>
        <v>1.7111440779202017E-3</v>
      </c>
      <c r="D17" s="155">
        <f>INDEX(Base_Enh_PR24Query!$J$2:$J$324, MATCH('Renewal rates'!$A17&amp;RIGHT('Renewal rates'!D$4,2), Base_Enh_PR24Query!$A$2:$A$324, 0))</f>
        <v>2.2375472975222199E-3</v>
      </c>
      <c r="E17" s="155">
        <f>INDEX(Base_Enh_PR24Query!$J$2:$J$324, MATCH('Renewal rates'!$A17&amp;RIGHT('Renewal rates'!E$4,2), Base_Enh_PR24Query!$A$2:$A$324, 0))</f>
        <v>2.1856284113720694E-3</v>
      </c>
      <c r="F17" s="155">
        <f>INDEX(Base_Enh_PR24Query!$J$2:$J$324, MATCH('Renewal rates'!$A17&amp;RIGHT('Renewal rates'!F$4,2), Base_Enh_PR24Query!$A$2:$A$324, 0))</f>
        <v>5.4307209131603494E-4</v>
      </c>
      <c r="G17" s="155">
        <f>INDEX(Base_Enh_PR24Query!$J$2:$J$324, MATCH('Renewal rates'!$A17&amp;RIGHT('Renewal rates'!G$4,2), Base_Enh_PR24Query!$A$2:$A$324, 0))</f>
        <v>1.0924235672118883E-3</v>
      </c>
      <c r="H17" s="155">
        <f>INDEX(Base_Enh_PR24Query!$J$2:$J$324, MATCH('Renewal rates'!$A17&amp;RIGHT('Renewal rates'!H$4,2), Base_Enh_PR24Query!$A$2:$A$324, 0))</f>
        <v>3.0165085284922943E-4</v>
      </c>
      <c r="I17" s="155">
        <f>INDEX(Base_Enh_PR24Query!$J$2:$J$324, MATCH('Renewal rates'!$A17&amp;RIGHT('Renewal rates'!I$4,2), Base_Enh_PR24Query!$A$2:$A$324, 0))</f>
        <v>3.825065545230307E-4</v>
      </c>
      <c r="J17" s="155">
        <f>INDEX(Base_Enh_PR24Query!$J$2:$J$324, MATCH('Renewal rates'!$A17&amp;RIGHT('Renewal rates'!J$4,2), Base_Enh_PR24Query!$A$2:$A$324, 0))</f>
        <v>5.0627012832042445E-4</v>
      </c>
      <c r="K17" s="155">
        <f>INDEX(Base_Enh_PR24Query!$J$2:$J$324, MATCH('Renewal rates'!$A17&amp;RIGHT('Renewal rates'!K$4,2), Base_Enh_PR24Query!$A$2:$A$324, 0))</f>
        <v>4.2858592144074314E-4</v>
      </c>
      <c r="L17" s="155">
        <f>INDEX(Base_Enh_PR24Query!$J$2:$J$324, MATCH('Renewal rates'!$A17&amp;RIGHT('Renewal rates'!L$4,2), Base_Enh_PR24Query!$A$2:$A$324, 0))</f>
        <v>9.0318602928053399E-4</v>
      </c>
      <c r="M17" s="155">
        <f>INDEX(Base_Enh_PR24Query!$J$2:$J$324, MATCH('Renewal rates'!$A17&amp;RIGHT('Renewal rates'!M$4,2), Base_Enh_PR24Query!$A$2:$A$324, 0))</f>
        <v>5.4459476218463379E-4</v>
      </c>
      <c r="N17" s="155">
        <f>INDEX(Base_Enh_PR24Query!$J$2:$J$324, MATCH('Renewal rates'!$A17&amp;RIGHT('Renewal rates'!N$4,2), Base_Enh_PR24Query!$A$2:$A$324, 0))</f>
        <v>5.5802490394653282E-4</v>
      </c>
      <c r="O17" s="164">
        <f>INDEX(Base_Enh_PR24Query!$J$2:$J$324, MATCH('Renewal rates'!$A17&amp;RIGHT('Renewal rates'!O$4,2), Base_Enh_PR24Query!$A$2:$A$324, 0))</f>
        <v>5.4203450774143347E-4</v>
      </c>
      <c r="P17" s="155">
        <f>INDEX(Base_Enh_PR24Query!$J$2:$J$324, MATCH('Renewal rates'!$A17&amp;RIGHT('Renewal rates'!P$4,2), Base_Enh_PR24Query!$A$2:$A$324, 0))</f>
        <v>5.408850164139859E-4</v>
      </c>
      <c r="Q17" s="155">
        <f>INDEX(Base_Enh_PR24Query!$J$2:$J$324, MATCH('Renewal rates'!$A17&amp;RIGHT('Renewal rates'!Q$4,2), Base_Enh_PR24Query!$A$2:$A$324, 0))</f>
        <v>5.3987598888176184E-4</v>
      </c>
      <c r="R17" s="155">
        <f>INDEX(Base_Enh_PR24Query!$J$2:$J$324, MATCH('Renewal rates'!$A17&amp;RIGHT('Renewal rates'!R$4,2), Base_Enh_PR24Query!$A$2:$A$324, 0))</f>
        <v>5.3839962045492101E-4</v>
      </c>
      <c r="S17" s="155">
        <f>INDEX(Base_Enh_PR24Query!$J$2:$J$324, MATCH('Renewal rates'!$A17&amp;RIGHT('Renewal rates'!S$4,2), Base_Enh_PR24Query!$A$2:$A$324, 0))</f>
        <v>5.3696555977330478E-4</v>
      </c>
      <c r="T17" s="165">
        <f>INDEX(Base_Enh_PR24Query!$J$2:$J$324, MATCH('Renewal rates'!$A17&amp;RIGHT('Renewal rates'!T$4,2), Base_Enh_PR24Query!$A$2:$A$324, 0))</f>
        <v>5.3568113712906731E-4</v>
      </c>
      <c r="U17" s="164">
        <f t="shared" si="0"/>
        <v>1.3693841253197335E-3</v>
      </c>
      <c r="V17" s="155">
        <f t="shared" si="1"/>
        <v>1.1114758203153504E-3</v>
      </c>
      <c r="W17" s="155">
        <f t="shared" si="2"/>
        <v>5.881323490345737E-4</v>
      </c>
      <c r="X17" s="155">
        <f t="shared" si="3"/>
        <v>5.9528522491877542E-4</v>
      </c>
      <c r="Y17" s="155">
        <f t="shared" si="4"/>
        <v>9.0155666200659025E-4</v>
      </c>
      <c r="Z17" s="155">
        <f t="shared" si="6"/>
        <v>5.3836146453060821E-4</v>
      </c>
      <c r="AA17" s="163">
        <f t="shared" si="5"/>
        <v>5.8447942345256126E-4</v>
      </c>
      <c r="AB17" s="265"/>
      <c r="AC17" s="265"/>
      <c r="AD17" s="265"/>
      <c r="AE17" s="265"/>
      <c r="AF17" s="265"/>
      <c r="AG17" s="265"/>
      <c r="AH17" s="265"/>
      <c r="AI17" s="265"/>
    </row>
    <row r="18" spans="1:35">
      <c r="A18" s="154" t="s">
        <v>48</v>
      </c>
      <c r="B18" s="164">
        <f>INDEX(Base_Enh_PR24Query!$J$2:$J$324, MATCH('Renewal rates'!$A18&amp;RIGHT('Renewal rates'!B$4,2), Base_Enh_PR24Query!$A$2:$A$324, 0))</f>
        <v>2.7163518057445012E-3</v>
      </c>
      <c r="C18" s="155">
        <f>INDEX(Base_Enh_PR24Query!$J$2:$J$324, MATCH('Renewal rates'!$A18&amp;RIGHT('Renewal rates'!C$4,2), Base_Enh_PR24Query!$A$2:$A$324, 0))</f>
        <v>1.1663728470956113E-3</v>
      </c>
      <c r="D18" s="155">
        <f>INDEX(Base_Enh_PR24Query!$J$2:$J$324, MATCH('Renewal rates'!$A18&amp;RIGHT('Renewal rates'!D$4,2), Base_Enh_PR24Query!$A$2:$A$324, 0))</f>
        <v>2.5320829061504688E-4</v>
      </c>
      <c r="E18" s="155">
        <f>INDEX(Base_Enh_PR24Query!$J$2:$J$324, MATCH('Renewal rates'!$A18&amp;RIGHT('Renewal rates'!E$4,2), Base_Enh_PR24Query!$A$2:$A$324, 0))</f>
        <v>2.1636268488524032E-4</v>
      </c>
      <c r="F18" s="155">
        <f>INDEX(Base_Enh_PR24Query!$J$2:$J$324, MATCH('Renewal rates'!$A18&amp;RIGHT('Renewal rates'!F$4,2), Base_Enh_PR24Query!$A$2:$A$324, 0))</f>
        <v>5.5231552586435841E-4</v>
      </c>
      <c r="G18" s="155">
        <f>INDEX(Base_Enh_PR24Query!$J$2:$J$324, MATCH('Renewal rates'!$A18&amp;RIGHT('Renewal rates'!G$4,2), Base_Enh_PR24Query!$A$2:$A$324, 0))</f>
        <v>1.168174758987614E-3</v>
      </c>
      <c r="H18" s="155">
        <f>INDEX(Base_Enh_PR24Query!$J$2:$J$324, MATCH('Renewal rates'!$A18&amp;RIGHT('Renewal rates'!H$4,2), Base_Enh_PR24Query!$A$2:$A$324, 0))</f>
        <v>3.9709400212761042E-3</v>
      </c>
      <c r="I18" s="155">
        <f>INDEX(Base_Enh_PR24Query!$J$2:$J$324, MATCH('Renewal rates'!$A18&amp;RIGHT('Renewal rates'!I$4,2), Base_Enh_PR24Query!$A$2:$A$324, 0))</f>
        <v>4.7965583447179532E-3</v>
      </c>
      <c r="J18" s="155">
        <f>INDEX(Base_Enh_PR24Query!$J$2:$J$324, MATCH('Renewal rates'!$A18&amp;RIGHT('Renewal rates'!J$4,2), Base_Enh_PR24Query!$A$2:$A$324, 0))</f>
        <v>1.8681385518417833E-3</v>
      </c>
      <c r="K18" s="155">
        <f>INDEX(Base_Enh_PR24Query!$J$2:$J$324, MATCH('Renewal rates'!$A18&amp;RIGHT('Renewal rates'!K$4,2), Base_Enh_PR24Query!$A$2:$A$324, 0))</f>
        <v>8.8894356344543278E-4</v>
      </c>
      <c r="L18" s="155">
        <f>INDEX(Base_Enh_PR24Query!$J$2:$J$324, MATCH('Renewal rates'!$A18&amp;RIGHT('Renewal rates'!L$4,2), Base_Enh_PR24Query!$A$2:$A$324, 0))</f>
        <v>1.5613808009852094E-3</v>
      </c>
      <c r="M18" s="155">
        <f>INDEX(Base_Enh_PR24Query!$J$2:$J$324, MATCH('Renewal rates'!$A18&amp;RIGHT('Renewal rates'!M$4,2), Base_Enh_PR24Query!$A$2:$A$324, 0))</f>
        <v>1.3412441624095193E-3</v>
      </c>
      <c r="N18" s="155">
        <f>INDEX(Base_Enh_PR24Query!$J$2:$J$324, MATCH('Renewal rates'!$A18&amp;RIGHT('Renewal rates'!N$4,2), Base_Enh_PR24Query!$A$2:$A$324, 0))</f>
        <v>7.8412750975473378E-4</v>
      </c>
      <c r="O18" s="164">
        <f>INDEX(Base_Enh_PR24Query!$J$2:$J$324, MATCH('Renewal rates'!$A18&amp;RIGHT('Renewal rates'!O$4,2), Base_Enh_PR24Query!$A$2:$A$324, 0))</f>
        <v>1.5049889560290743E-3</v>
      </c>
      <c r="P18" s="155">
        <f>INDEX(Base_Enh_PR24Query!$J$2:$J$324, MATCH('Renewal rates'!$A18&amp;RIGHT('Renewal rates'!P$4,2), Base_Enh_PR24Query!$A$2:$A$324, 0))</f>
        <v>1.7059359272420642E-3</v>
      </c>
      <c r="Q18" s="155">
        <f>INDEX(Base_Enh_PR24Query!$J$2:$J$324, MATCH('Renewal rates'!$A18&amp;RIGHT('Renewal rates'!Q$4,2), Base_Enh_PR24Query!$A$2:$A$324, 0))</f>
        <v>1.7010614016404713E-3</v>
      </c>
      <c r="R18" s="155">
        <f>INDEX(Base_Enh_PR24Query!$J$2:$J$324, MATCH('Renewal rates'!$A18&amp;RIGHT('Renewal rates'!R$4,2), Base_Enh_PR24Query!$A$2:$A$324, 0))</f>
        <v>1.696917345545459E-3</v>
      </c>
      <c r="S18" s="155">
        <f>INDEX(Base_Enh_PR24Query!$J$2:$J$324, MATCH('Renewal rates'!$A18&amp;RIGHT('Renewal rates'!S$4,2), Base_Enh_PR24Query!$A$2:$A$324, 0))</f>
        <v>1.6930179503404765E-3</v>
      </c>
      <c r="T18" s="165">
        <f>INDEX(Base_Enh_PR24Query!$J$2:$J$324, MATCH('Renewal rates'!$A18&amp;RIGHT('Renewal rates'!T$4,2), Base_Enh_PR24Query!$A$2:$A$324, 0))</f>
        <v>1.6894639816001692E-3</v>
      </c>
      <c r="U18" s="164">
        <f t="shared" si="0"/>
        <v>1.8550355348983037E-3</v>
      </c>
      <c r="V18" s="155">
        <f t="shared" si="1"/>
        <v>1.7083326131556978E-3</v>
      </c>
      <c r="W18" s="155">
        <f t="shared" si="2"/>
        <v>1.2887669176873356E-3</v>
      </c>
      <c r="X18" s="155">
        <f t="shared" si="3"/>
        <v>1.2161369985247939E-3</v>
      </c>
      <c r="Y18" s="155">
        <f t="shared" si="4"/>
        <v>1.6460791805274115E-3</v>
      </c>
      <c r="Z18" s="155">
        <f t="shared" si="6"/>
        <v>1.697279321273728E-3</v>
      </c>
      <c r="AA18" s="163">
        <f t="shared" si="5"/>
        <v>1.8813136932536341E-3</v>
      </c>
      <c r="AB18" s="265"/>
      <c r="AC18" s="265"/>
      <c r="AD18" s="265"/>
      <c r="AE18" s="265"/>
      <c r="AF18" s="265"/>
      <c r="AG18" s="265"/>
      <c r="AH18" s="265"/>
      <c r="AI18" s="265"/>
    </row>
    <row r="19" spans="1:35">
      <c r="A19" s="154" t="s">
        <v>51</v>
      </c>
      <c r="B19" s="164">
        <f>INDEX(Base_Enh_PR24Query!$J$2:$J$324, MATCH('Renewal rates'!$A19&amp;RIGHT('Renewal rates'!B$4,2), Base_Enh_PR24Query!$A$2:$A$324, 0))</f>
        <v>6.8501649586873376E-3</v>
      </c>
      <c r="C19" s="155">
        <f>INDEX(Base_Enh_PR24Query!$J$2:$J$324, MATCH('Renewal rates'!$A19&amp;RIGHT('Renewal rates'!C$4,2), Base_Enh_PR24Query!$A$2:$A$324, 0))</f>
        <v>5.858435228478974E-3</v>
      </c>
      <c r="D19" s="155">
        <f>INDEX(Base_Enh_PR24Query!$J$2:$J$324, MATCH('Renewal rates'!$A19&amp;RIGHT('Renewal rates'!D$4,2), Base_Enh_PR24Query!$A$2:$A$324, 0))</f>
        <v>4.3352548064382211E-3</v>
      </c>
      <c r="E19" s="155">
        <f>INDEX(Base_Enh_PR24Query!$J$2:$J$324, MATCH('Renewal rates'!$A19&amp;RIGHT('Renewal rates'!E$4,2), Base_Enh_PR24Query!$A$2:$A$324, 0))</f>
        <v>1.8954878589786364E-3</v>
      </c>
      <c r="F19" s="155">
        <f>INDEX(Base_Enh_PR24Query!$J$2:$J$324, MATCH('Renewal rates'!$A19&amp;RIGHT('Renewal rates'!F$4,2), Base_Enh_PR24Query!$A$2:$A$324, 0))</f>
        <v>1.0636042661130564E-3</v>
      </c>
      <c r="G19" s="155">
        <f>INDEX(Base_Enh_PR24Query!$J$2:$J$324, MATCH('Renewal rates'!$A19&amp;RIGHT('Renewal rates'!G$4,2), Base_Enh_PR24Query!$A$2:$A$324, 0))</f>
        <v>2.6121406492620705E-3</v>
      </c>
      <c r="H19" s="155">
        <f>INDEX(Base_Enh_PR24Query!$J$2:$J$324, MATCH('Renewal rates'!$A19&amp;RIGHT('Renewal rates'!H$4,2), Base_Enh_PR24Query!$A$2:$A$324, 0))</f>
        <v>1.3878320107258034E-3</v>
      </c>
      <c r="I19" s="155">
        <f>INDEX(Base_Enh_PR24Query!$J$2:$J$324, MATCH('Renewal rates'!$A19&amp;RIGHT('Renewal rates'!I$4,2), Base_Enh_PR24Query!$A$2:$A$324, 0))</f>
        <v>6.8006540203440836E-4</v>
      </c>
      <c r="J19" s="155">
        <f>INDEX(Base_Enh_PR24Query!$J$2:$J$324, MATCH('Renewal rates'!$A19&amp;RIGHT('Renewal rates'!J$4,2), Base_Enh_PR24Query!$A$2:$A$324, 0))</f>
        <v>6.3461385910130021E-4</v>
      </c>
      <c r="K19" s="155">
        <f>INDEX(Base_Enh_PR24Query!$J$2:$J$324, MATCH('Renewal rates'!$A19&amp;RIGHT('Renewal rates'!K$4,2), Base_Enh_PR24Query!$A$2:$A$324, 0))</f>
        <v>5.652097216072116E-4</v>
      </c>
      <c r="L19" s="155">
        <f>INDEX(Base_Enh_PR24Query!$J$2:$J$324, MATCH('Renewal rates'!$A19&amp;RIGHT('Renewal rates'!L$4,2), Base_Enh_PR24Query!$A$2:$A$324, 0))</f>
        <v>4.4193098690734539E-4</v>
      </c>
      <c r="M19" s="155">
        <f>INDEX(Base_Enh_PR24Query!$J$2:$J$324, MATCH('Renewal rates'!$A19&amp;RIGHT('Renewal rates'!M$4,2), Base_Enh_PR24Query!$A$2:$A$324, 0))</f>
        <v>7.5335512084174876E-4</v>
      </c>
      <c r="N19" s="155">
        <f>INDEX(Base_Enh_PR24Query!$J$2:$J$324, MATCH('Renewal rates'!$A19&amp;RIGHT('Renewal rates'!N$4,2), Base_Enh_PR24Query!$A$2:$A$324, 0))</f>
        <v>3.7262362863755904E-4</v>
      </c>
      <c r="O19" s="164">
        <f>INDEX(Base_Enh_PR24Query!$J$2:$J$324, MATCH('Renewal rates'!$A19&amp;RIGHT('Renewal rates'!O$4,2), Base_Enh_PR24Query!$A$2:$A$324, 0))</f>
        <v>2.1801598307338204E-4</v>
      </c>
      <c r="P19" s="155">
        <f>INDEX(Base_Enh_PR24Query!$J$2:$J$324, MATCH('Renewal rates'!$A19&amp;RIGHT('Renewal rates'!P$4,2), Base_Enh_PR24Query!$A$2:$A$324, 0))</f>
        <v>9.2732285458507654E-5</v>
      </c>
      <c r="Q19" s="155">
        <f>INDEX(Base_Enh_PR24Query!$J$2:$J$324, MATCH('Renewal rates'!$A19&amp;RIGHT('Renewal rates'!Q$4,2), Base_Enh_PR24Query!$A$2:$A$324, 0))</f>
        <v>2.8118281866199691E-4</v>
      </c>
      <c r="R19" s="155">
        <f>INDEX(Base_Enh_PR24Query!$J$2:$J$324, MATCH('Renewal rates'!$A19&amp;RIGHT('Renewal rates'!R$4,2), Base_Enh_PR24Query!$A$2:$A$324, 0))</f>
        <v>3.8341788644440263E-4</v>
      </c>
      <c r="S19" s="155">
        <f>INDEX(Base_Enh_PR24Query!$J$2:$J$324, MATCH('Renewal rates'!$A19&amp;RIGHT('Renewal rates'!S$4,2), Base_Enh_PR24Query!$A$2:$A$324, 0))</f>
        <v>2.4795701133871988E-4</v>
      </c>
      <c r="T19" s="165">
        <f>INDEX(Base_Enh_PR24Query!$J$2:$J$324, MATCH('Renewal rates'!$A19&amp;RIGHT('Renewal rates'!T$4,2), Base_Enh_PR24Query!$A$2:$A$324, 0))</f>
        <v>7.4212551816263866E-5</v>
      </c>
      <c r="U19" s="164">
        <f t="shared" si="0"/>
        <v>3.0853731475898138E-3</v>
      </c>
      <c r="V19" s="155">
        <f t="shared" si="1"/>
        <v>2.2565079057646764E-3</v>
      </c>
      <c r="W19" s="155">
        <f t="shared" si="2"/>
        <v>5.5354666341903295E-4</v>
      </c>
      <c r="X19" s="155">
        <f t="shared" si="3"/>
        <v>4.7022708821344939E-4</v>
      </c>
      <c r="Y19" s="155">
        <f t="shared" si="4"/>
        <v>1.5130651070845761E-3</v>
      </c>
      <c r="Z19" s="155">
        <f t="shared" si="6"/>
        <v>2.1590051074397819E-4</v>
      </c>
      <c r="AA19" s="163">
        <f t="shared" si="5"/>
        <v>9.4570840502561154E-4</v>
      </c>
      <c r="AB19" s="265"/>
      <c r="AC19" s="265"/>
      <c r="AD19" s="265"/>
      <c r="AE19" s="265"/>
      <c r="AF19" s="265"/>
      <c r="AG19" s="265"/>
      <c r="AH19" s="265"/>
      <c r="AI19" s="265"/>
    </row>
    <row r="20" spans="1:35">
      <c r="A20" s="154" t="s">
        <v>52</v>
      </c>
      <c r="B20" s="164">
        <f>INDEX(Base_Enh_PR24Query!$J$2:$J$324, MATCH('Renewal rates'!$A20&amp;RIGHT('Renewal rates'!B$4,2), Base_Enh_PR24Query!$A$2:$A$324, 0))</f>
        <v>7.040439649802754E-3</v>
      </c>
      <c r="C20" s="155">
        <f>INDEX(Base_Enh_PR24Query!$J$2:$J$324, MATCH('Renewal rates'!$A20&amp;RIGHT('Renewal rates'!C$4,2), Base_Enh_PR24Query!$A$2:$A$324, 0))</f>
        <v>5.6759151803947696E-3</v>
      </c>
      <c r="D20" s="155">
        <f>INDEX(Base_Enh_PR24Query!$J$2:$J$324, MATCH('Renewal rates'!$A20&amp;RIGHT('Renewal rates'!D$4,2), Base_Enh_PR24Query!$A$2:$A$324, 0))</f>
        <v>6.4672621038878797E-3</v>
      </c>
      <c r="E20" s="155">
        <f>INDEX(Base_Enh_PR24Query!$J$2:$J$324, MATCH('Renewal rates'!$A20&amp;RIGHT('Renewal rates'!E$4,2), Base_Enh_PR24Query!$A$2:$A$324, 0))</f>
        <v>3.8627874906169615E-3</v>
      </c>
      <c r="F20" s="155">
        <f>INDEX(Base_Enh_PR24Query!$J$2:$J$324, MATCH('Renewal rates'!$A20&amp;RIGHT('Renewal rates'!F$4,2), Base_Enh_PR24Query!$A$2:$A$324, 0))</f>
        <v>3.190613841183472E-3</v>
      </c>
      <c r="G20" s="155">
        <f>INDEX(Base_Enh_PR24Query!$J$2:$J$324, MATCH('Renewal rates'!$A20&amp;RIGHT('Renewal rates'!G$4,2), Base_Enh_PR24Query!$A$2:$A$324, 0))</f>
        <v>3.8159332806483614E-3</v>
      </c>
      <c r="H20" s="155">
        <f>INDEX(Base_Enh_PR24Query!$J$2:$J$324, MATCH('Renewal rates'!$A20&amp;RIGHT('Renewal rates'!H$4,2), Base_Enh_PR24Query!$A$2:$A$324, 0))</f>
        <v>4.1002863841032525E-3</v>
      </c>
      <c r="I20" s="155">
        <f>INDEX(Base_Enh_PR24Query!$J$2:$J$324, MATCH('Renewal rates'!$A20&amp;RIGHT('Renewal rates'!I$4,2), Base_Enh_PR24Query!$A$2:$A$324, 0))</f>
        <v>3.5072473230990118E-3</v>
      </c>
      <c r="J20" s="155">
        <f>INDEX(Base_Enh_PR24Query!$J$2:$J$324, MATCH('Renewal rates'!$A20&amp;RIGHT('Renewal rates'!J$4,2), Base_Enh_PR24Query!$A$2:$A$324, 0))</f>
        <v>2.1439645419458167E-3</v>
      </c>
      <c r="K20" s="155">
        <f>INDEX(Base_Enh_PR24Query!$J$2:$J$324, MATCH('Renewal rates'!$A20&amp;RIGHT('Renewal rates'!K$4,2), Base_Enh_PR24Query!$A$2:$A$324, 0))</f>
        <v>1.9024430710523042E-3</v>
      </c>
      <c r="L20" s="155">
        <f>INDEX(Base_Enh_PR24Query!$J$2:$J$324, MATCH('Renewal rates'!$A20&amp;RIGHT('Renewal rates'!L$4,2), Base_Enh_PR24Query!$A$2:$A$324, 0))</f>
        <v>2.2341209086771214E-3</v>
      </c>
      <c r="M20" s="155">
        <f>INDEX(Base_Enh_PR24Query!$J$2:$J$324, MATCH('Renewal rates'!$A20&amp;RIGHT('Renewal rates'!M$4,2), Base_Enh_PR24Query!$A$2:$A$324, 0))</f>
        <v>1.7910583263867684E-3</v>
      </c>
      <c r="N20" s="155">
        <f>INDEX(Base_Enh_PR24Query!$J$2:$J$324, MATCH('Renewal rates'!$A20&amp;RIGHT('Renewal rates'!N$4,2), Base_Enh_PR24Query!$A$2:$A$324, 0))</f>
        <v>1.6133147857007632E-3</v>
      </c>
      <c r="O20" s="164">
        <f>INDEX(Base_Enh_PR24Query!$J$2:$J$324, MATCH('Renewal rates'!$A20&amp;RIGHT('Renewal rates'!O$4,2), Base_Enh_PR24Query!$A$2:$A$324, 0))</f>
        <v>1.9931136716408102E-3</v>
      </c>
      <c r="P20" s="155">
        <f>INDEX(Base_Enh_PR24Query!$J$2:$J$324, MATCH('Renewal rates'!$A20&amp;RIGHT('Renewal rates'!P$4,2), Base_Enh_PR24Query!$A$2:$A$324, 0))</f>
        <v>2.3999999999999998E-3</v>
      </c>
      <c r="Q20" s="155">
        <f>INDEX(Base_Enh_PR24Query!$J$2:$J$324, MATCH('Renewal rates'!$A20&amp;RIGHT('Renewal rates'!Q$4,2), Base_Enh_PR24Query!$A$2:$A$324, 0))</f>
        <v>2.3999999999999998E-3</v>
      </c>
      <c r="R20" s="155">
        <f>INDEX(Base_Enh_PR24Query!$J$2:$J$324, MATCH('Renewal rates'!$A20&amp;RIGHT('Renewal rates'!R$4,2), Base_Enh_PR24Query!$A$2:$A$324, 0))</f>
        <v>2.3999999999999998E-3</v>
      </c>
      <c r="S20" s="155">
        <f>INDEX(Base_Enh_PR24Query!$J$2:$J$324, MATCH('Renewal rates'!$A20&amp;RIGHT('Renewal rates'!S$4,2), Base_Enh_PR24Query!$A$2:$A$324, 0))</f>
        <v>2.3999999999999998E-3</v>
      </c>
      <c r="T20" s="165">
        <f>INDEX(Base_Enh_PR24Query!$J$2:$J$324, MATCH('Renewal rates'!$A20&amp;RIGHT('Renewal rates'!T$4,2), Base_Enh_PR24Query!$A$2:$A$324, 0))</f>
        <v>2.3999999999999998E-3</v>
      </c>
      <c r="U20" s="164">
        <f t="shared" si="0"/>
        <v>4.7075606567170579E-3</v>
      </c>
      <c r="V20" s="155">
        <f t="shared" si="1"/>
        <v>3.8110060084832064E-3</v>
      </c>
      <c r="W20" s="155">
        <f t="shared" si="2"/>
        <v>1.9369803267525547E-3</v>
      </c>
      <c r="X20" s="155">
        <f t="shared" si="3"/>
        <v>1.9068101526915535E-3</v>
      </c>
      <c r="Y20" s="155">
        <f t="shared" si="4"/>
        <v>3.2283421346915816E-3</v>
      </c>
      <c r="Z20" s="155">
        <f t="shared" si="6"/>
        <v>2.3999999999999998E-3</v>
      </c>
      <c r="AA20" s="163">
        <f t="shared" si="5"/>
        <v>2.6998869403107636E-3</v>
      </c>
      <c r="AB20" s="265"/>
      <c r="AC20" s="265"/>
      <c r="AD20" s="265"/>
      <c r="AE20" s="265"/>
      <c r="AF20" s="265"/>
      <c r="AG20" s="265"/>
      <c r="AH20" s="265"/>
      <c r="AI20" s="265"/>
    </row>
    <row r="21" spans="1:35">
      <c r="A21" s="154" t="s">
        <v>53</v>
      </c>
      <c r="B21" s="164">
        <f>INDEX(Base_Enh_PR24Query!$J$2:$J$324, MATCH('Renewal rates'!$A21&amp;RIGHT('Renewal rates'!B$4,2), Base_Enh_PR24Query!$A$2:$A$324, 0))</f>
        <v>5.1675231769442572E-3</v>
      </c>
      <c r="C21" s="155">
        <f>INDEX(Base_Enh_PR24Query!$J$2:$J$324, MATCH('Renewal rates'!$A21&amp;RIGHT('Renewal rates'!C$4,2), Base_Enh_PR24Query!$A$2:$A$324, 0))</f>
        <v>2.9103955029880957E-3</v>
      </c>
      <c r="D21" s="155">
        <f>INDEX(Base_Enh_PR24Query!$J$2:$J$324, MATCH('Renewal rates'!$A21&amp;RIGHT('Renewal rates'!D$4,2), Base_Enh_PR24Query!$A$2:$A$324, 0))</f>
        <v>2.4008876588635158E-3</v>
      </c>
      <c r="E21" s="155">
        <f>INDEX(Base_Enh_PR24Query!$J$2:$J$324, MATCH('Renewal rates'!$A21&amp;RIGHT('Renewal rates'!E$4,2), Base_Enh_PR24Query!$A$2:$A$324, 0))</f>
        <v>1.9965037303096002E-4</v>
      </c>
      <c r="F21" s="155">
        <f>INDEX(Base_Enh_PR24Query!$J$2:$J$324, MATCH('Renewal rates'!$A21&amp;RIGHT('Renewal rates'!F$4,2), Base_Enh_PR24Query!$A$2:$A$324, 0))</f>
        <v>9.2604338449828747E-4</v>
      </c>
      <c r="G21" s="155">
        <f>INDEX(Base_Enh_PR24Query!$J$2:$J$324, MATCH('Renewal rates'!$A21&amp;RIGHT('Renewal rates'!G$4,2), Base_Enh_PR24Query!$A$2:$A$324, 0))</f>
        <v>1.3808705667195068E-3</v>
      </c>
      <c r="H21" s="155">
        <f>INDEX(Base_Enh_PR24Query!$J$2:$J$324, MATCH('Renewal rates'!$A21&amp;RIGHT('Renewal rates'!H$4,2), Base_Enh_PR24Query!$A$2:$A$324, 0))</f>
        <v>8.1341856664163519E-4</v>
      </c>
      <c r="I21" s="155">
        <f>INDEX(Base_Enh_PR24Query!$J$2:$J$324, MATCH('Renewal rates'!$A21&amp;RIGHT('Renewal rates'!I$4,2), Base_Enh_PR24Query!$A$2:$A$324, 0))</f>
        <v>1.4973214931692571E-4</v>
      </c>
      <c r="J21" s="155">
        <f>INDEX(Base_Enh_PR24Query!$J$2:$J$324, MATCH('Renewal rates'!$A21&amp;RIGHT('Renewal rates'!J$4,2), Base_Enh_PR24Query!$A$2:$A$324, 0))</f>
        <v>5.6128864346882657E-4</v>
      </c>
      <c r="K21" s="155">
        <f>INDEX(Base_Enh_PR24Query!$J$2:$J$324, MATCH('Renewal rates'!$A21&amp;RIGHT('Renewal rates'!K$4,2), Base_Enh_PR24Query!$A$2:$A$324, 0))</f>
        <v>9.5588855464027675E-4</v>
      </c>
      <c r="L21" s="155">
        <f>INDEX(Base_Enh_PR24Query!$J$2:$J$324, MATCH('Renewal rates'!$A21&amp;RIGHT('Renewal rates'!L$4,2), Base_Enh_PR24Query!$A$2:$A$324, 0))</f>
        <v>2.584494279860251E-4</v>
      </c>
      <c r="M21" s="155">
        <f>INDEX(Base_Enh_PR24Query!$J$2:$J$324, MATCH('Renewal rates'!$A21&amp;RIGHT('Renewal rates'!M$4,2), Base_Enh_PR24Query!$A$2:$A$324, 0))</f>
        <v>5.5783856152029603E-4</v>
      </c>
      <c r="N21" s="155">
        <f>INDEX(Base_Enh_PR24Query!$J$2:$J$324, MATCH('Renewal rates'!$A21&amp;RIGHT('Renewal rates'!N$4,2), Base_Enh_PR24Query!$A$2:$A$324, 0))</f>
        <v>3.3105177973535626E-4</v>
      </c>
      <c r="O21" s="166">
        <f>INDEX(Base_Enh_PR24Query!$J$2:$J$324, MATCH('Renewal rates'!$A21&amp;RIGHT('Renewal rates'!O$4,2), Base_Enh_PR24Query!$A$2:$A$324, 0))</f>
        <v>2.5555446081087737E-4</v>
      </c>
      <c r="P21" s="156">
        <f>INDEX(Base_Enh_PR24Query!$J$2:$J$324, MATCH('Renewal rates'!$A21&amp;RIGHT('Renewal rates'!P$4,2), Base_Enh_PR24Query!$A$2:$A$324, 0))</f>
        <v>2.0500000000000002E-3</v>
      </c>
      <c r="Q21" s="156">
        <f>INDEX(Base_Enh_PR24Query!$J$2:$J$324, MATCH('Renewal rates'!$A21&amp;RIGHT('Renewal rates'!Q$4,2), Base_Enh_PR24Query!$A$2:$A$324, 0))</f>
        <v>2.0500000000000002E-3</v>
      </c>
      <c r="R21" s="156">
        <f>INDEX(Base_Enh_PR24Query!$J$2:$J$324, MATCH('Renewal rates'!$A21&amp;RIGHT('Renewal rates'!R$4,2), Base_Enh_PR24Query!$A$2:$A$324, 0))</f>
        <v>2.0500000000000002E-3</v>
      </c>
      <c r="S21" s="156">
        <f>INDEX(Base_Enh_PR24Query!$J$2:$J$324, MATCH('Renewal rates'!$A21&amp;RIGHT('Renewal rates'!S$4,2), Base_Enh_PR24Query!$A$2:$A$324, 0))</f>
        <v>2.0499999999999997E-3</v>
      </c>
      <c r="T21" s="167">
        <f>INDEX(Base_Enh_PR24Query!$J$2:$J$324, MATCH('Renewal rates'!$A21&amp;RIGHT('Renewal rates'!T$4,2), Base_Enh_PR24Query!$A$2:$A$324, 0))</f>
        <v>2.0500000000000002E-3</v>
      </c>
      <c r="U21" s="164">
        <f t="shared" si="0"/>
        <v>1.7435651723753981E-3</v>
      </c>
      <c r="V21" s="155">
        <f t="shared" si="1"/>
        <v>1.3568322138848843E-3</v>
      </c>
      <c r="W21" s="155">
        <f t="shared" si="2"/>
        <v>5.3290339347015613E-4</v>
      </c>
      <c r="X21" s="155">
        <f t="shared" si="3"/>
        <v>4.7175655693856638E-4</v>
      </c>
      <c r="Y21" s="155">
        <f t="shared" si="4"/>
        <v>1.4272943582718338E-3</v>
      </c>
      <c r="Z21" s="155">
        <f t="shared" si="6"/>
        <v>2.0500000000000002E-3</v>
      </c>
      <c r="AA21" s="163">
        <f t="shared" si="5"/>
        <v>6.5939795939190396E-4</v>
      </c>
      <c r="AB21" s="265"/>
      <c r="AC21" s="265"/>
      <c r="AD21" s="265"/>
      <c r="AE21" s="265"/>
      <c r="AF21" s="265"/>
      <c r="AG21" s="265"/>
      <c r="AH21" s="265"/>
      <c r="AI21" s="265"/>
    </row>
    <row r="22" spans="1:35">
      <c r="A22" s="157" t="s">
        <v>20</v>
      </c>
      <c r="B22" s="218">
        <f>AVERAGE(B5:B21)</f>
        <v>5.8027180748111548E-3</v>
      </c>
      <c r="C22" s="217">
        <f t="shared" ref="C22:T22" si="7">AVERAGE(C5:C21)</f>
        <v>5.0664964036011596E-3</v>
      </c>
      <c r="D22" s="217">
        <f t="shared" si="7"/>
        <v>4.6420404139773915E-3</v>
      </c>
      <c r="E22" s="217">
        <f t="shared" si="7"/>
        <v>3.4673488315248163E-3</v>
      </c>
      <c r="F22" s="217">
        <f t="shared" si="7"/>
        <v>2.5449034544246956E-3</v>
      </c>
      <c r="G22" s="217">
        <f t="shared" si="7"/>
        <v>2.6402193860355933E-3</v>
      </c>
      <c r="H22" s="217">
        <f t="shared" si="7"/>
        <v>2.9126783144677202E-3</v>
      </c>
      <c r="I22" s="217">
        <f t="shared" si="7"/>
        <v>2.9202492379141326E-3</v>
      </c>
      <c r="J22" s="217">
        <f t="shared" si="7"/>
        <v>2.3265077721656459E-3</v>
      </c>
      <c r="K22" s="217">
        <f t="shared" si="7"/>
        <v>1.2179184200084771E-3</v>
      </c>
      <c r="L22" s="217">
        <f t="shared" si="7"/>
        <v>1.3273404710812805E-3</v>
      </c>
      <c r="M22" s="217">
        <f t="shared" si="7"/>
        <v>1.4753836393230193E-3</v>
      </c>
      <c r="N22" s="217">
        <f t="shared" si="7"/>
        <v>9.8627277888695066E-4</v>
      </c>
      <c r="O22" s="168">
        <f t="shared" si="7"/>
        <v>1.7591438137951356E-3</v>
      </c>
      <c r="P22" s="158">
        <f t="shared" si="7"/>
        <v>2.122847505440627E-3</v>
      </c>
      <c r="Q22" s="158">
        <f t="shared" si="7"/>
        <v>2.1563934685489596E-3</v>
      </c>
      <c r="R22" s="158">
        <f t="shared" si="7"/>
        <v>2.3480468096486141E-3</v>
      </c>
      <c r="S22" s="158">
        <f t="shared" si="7"/>
        <v>2.2369848608773391E-3</v>
      </c>
      <c r="T22" s="158">
        <f t="shared" si="7"/>
        <v>2.1972723030676349E-3</v>
      </c>
      <c r="U22" s="218">
        <f t="shared" ref="U22:V22" si="8">AVERAGE(U5:U21)</f>
        <v>3.7495817645945831E-3</v>
      </c>
      <c r="V22" s="217">
        <f t="shared" si="8"/>
        <v>3.0286503682779241E-3</v>
      </c>
      <c r="W22" s="217">
        <f t="shared" ref="W22" si="9">AVERAGE(W5:W21)</f>
        <v>1.4666846162930747E-3</v>
      </c>
      <c r="X22" s="217">
        <f t="shared" ref="X22" si="10">AVERAGE(X5:X21)</f>
        <v>1.3532118246189725E-3</v>
      </c>
      <c r="Y22" s="217">
        <f t="shared" ref="Y22" si="11">AVERAGE(Y5:Y21)</f>
        <v>2.6395139978737025E-3</v>
      </c>
      <c r="Z22" s="217">
        <f t="shared" ref="Z22:AA22" si="12">AVERAGE(Z5:Z21)</f>
        <v>2.2123089895166349E-3</v>
      </c>
      <c r="AA22" s="169">
        <f t="shared" si="12"/>
        <v>2.0390526082563905E-3</v>
      </c>
      <c r="AB22" s="265"/>
      <c r="AC22" s="265"/>
      <c r="AD22" s="265"/>
      <c r="AE22" s="265"/>
      <c r="AF22" s="265"/>
      <c r="AG22" s="265"/>
      <c r="AH22" s="265"/>
      <c r="AI22" s="265"/>
    </row>
    <row r="23" spans="1:35">
      <c r="A23" s="152" t="s">
        <v>440</v>
      </c>
      <c r="B23" s="159"/>
      <c r="C23" s="160"/>
      <c r="D23" s="160"/>
      <c r="E23" s="160"/>
      <c r="F23" s="160"/>
      <c r="G23" s="160"/>
      <c r="H23" s="160"/>
      <c r="I23" s="160"/>
      <c r="J23" s="160"/>
      <c r="K23" s="160"/>
      <c r="L23" s="160"/>
      <c r="M23" s="160"/>
      <c r="N23" s="160"/>
      <c r="O23" s="152"/>
      <c r="P23" s="153"/>
      <c r="Q23" s="153"/>
      <c r="R23" s="153"/>
      <c r="S23" s="153"/>
      <c r="T23" s="162"/>
      <c r="U23" s="179"/>
      <c r="V23" s="219"/>
      <c r="W23" s="219"/>
      <c r="X23" s="219"/>
      <c r="Y23" s="219"/>
      <c r="Z23" s="158">
        <f>AVERAGE(Z20:Z21,Z18,Z5:Z16)</f>
        <v>2.4569993897672142E-3</v>
      </c>
      <c r="AA23" s="266"/>
      <c r="AB23" s="265"/>
      <c r="AC23" s="265"/>
      <c r="AD23" s="265"/>
      <c r="AE23" s="265"/>
      <c r="AF23" s="265"/>
      <c r="AG23" s="265"/>
      <c r="AH23" s="265"/>
      <c r="AI23" s="265"/>
    </row>
    <row r="24" spans="1:35">
      <c r="Z24" s="161"/>
      <c r="AB24" s="265"/>
      <c r="AC24" s="265"/>
      <c r="AD24" s="265"/>
      <c r="AE24" s="265"/>
      <c r="AF24" s="265"/>
      <c r="AG24" s="265"/>
      <c r="AH24" s="265"/>
      <c r="AI24" s="265"/>
    </row>
    <row r="25" spans="1:35">
      <c r="A25" s="151" t="s">
        <v>441</v>
      </c>
    </row>
    <row r="26" spans="1:35">
      <c r="A26" s="151"/>
    </row>
    <row r="27" spans="1:35">
      <c r="B27" s="276" t="s">
        <v>430</v>
      </c>
      <c r="C27" s="277"/>
      <c r="D27" s="277"/>
      <c r="E27" s="277"/>
      <c r="F27" s="277"/>
      <c r="G27" s="277"/>
      <c r="H27" s="277"/>
      <c r="I27" s="277"/>
      <c r="J27" s="277"/>
      <c r="K27" s="277"/>
      <c r="L27" s="277"/>
      <c r="M27" s="277"/>
      <c r="N27" s="281" t="s">
        <v>442</v>
      </c>
      <c r="O27" s="278" t="s">
        <v>431</v>
      </c>
      <c r="P27" s="279"/>
      <c r="Q27" s="279"/>
      <c r="R27" s="279"/>
      <c r="S27" s="279"/>
      <c r="T27" s="279"/>
      <c r="U27" s="282" t="s">
        <v>443</v>
      </c>
      <c r="V27" s="283"/>
      <c r="W27" s="283"/>
      <c r="X27" s="283"/>
      <c r="Y27" s="283"/>
      <c r="Z27" s="284"/>
      <c r="AA27" s="273" t="s">
        <v>444</v>
      </c>
      <c r="AB27" s="274"/>
      <c r="AC27" s="274"/>
      <c r="AD27" s="274"/>
      <c r="AE27" s="275"/>
    </row>
    <row r="28" spans="1:35">
      <c r="A28" s="152" t="s">
        <v>86</v>
      </c>
      <c r="B28" s="152" t="s">
        <v>96</v>
      </c>
      <c r="C28" s="153" t="s">
        <v>98</v>
      </c>
      <c r="D28" s="153" t="s">
        <v>100</v>
      </c>
      <c r="E28" s="153" t="s">
        <v>102</v>
      </c>
      <c r="F28" s="153" t="s">
        <v>104</v>
      </c>
      <c r="G28" s="153" t="s">
        <v>106</v>
      </c>
      <c r="H28" s="153" t="s">
        <v>108</v>
      </c>
      <c r="I28" s="153" t="s">
        <v>110</v>
      </c>
      <c r="J28" s="153" t="s">
        <v>112</v>
      </c>
      <c r="K28" s="153" t="s">
        <v>114</v>
      </c>
      <c r="L28" s="153" t="s">
        <v>116</v>
      </c>
      <c r="M28" s="153" t="s">
        <v>72</v>
      </c>
      <c r="N28" s="162" t="s">
        <v>74</v>
      </c>
      <c r="O28" s="152" t="s">
        <v>75</v>
      </c>
      <c r="P28" s="153" t="s">
        <v>76</v>
      </c>
      <c r="Q28" s="153" t="s">
        <v>77</v>
      </c>
      <c r="R28" s="153" t="s">
        <v>78</v>
      </c>
      <c r="S28" s="153" t="s">
        <v>79</v>
      </c>
      <c r="T28" s="153" t="s">
        <v>80</v>
      </c>
      <c r="U28" s="222" t="s">
        <v>75</v>
      </c>
      <c r="V28" s="223" t="s">
        <v>76</v>
      </c>
      <c r="W28" s="223" t="s">
        <v>77</v>
      </c>
      <c r="X28" s="223" t="s">
        <v>78</v>
      </c>
      <c r="Y28" s="223" t="s">
        <v>79</v>
      </c>
      <c r="Z28" s="224" t="s">
        <v>80</v>
      </c>
      <c r="AA28" s="153" t="s">
        <v>445</v>
      </c>
      <c r="AB28" s="153" t="s">
        <v>446</v>
      </c>
      <c r="AC28" s="153" t="s">
        <v>447</v>
      </c>
      <c r="AD28" s="153" t="s">
        <v>448</v>
      </c>
      <c r="AE28" s="162" t="s">
        <v>449</v>
      </c>
    </row>
    <row r="29" spans="1:35">
      <c r="A29" s="154" t="s">
        <v>84</v>
      </c>
      <c r="B29" s="164">
        <f>INDEX(Base_Enh_PR24Query!$I$2:$I$324, MATCH('Renewal rates'!$A29&amp;RIGHT('Renewal rates'!B$28,2), Base_Enh_PR24Query!$A$2:$A$324, 0))</f>
        <v>8.9362371065455828E-3</v>
      </c>
      <c r="C29" s="155">
        <f>INDEX(Base_Enh_PR24Query!$I$2:$I$324, MATCH('Renewal rates'!$A29&amp;RIGHT('Renewal rates'!C$28,2), Base_Enh_PR24Query!$A$2:$A$324, 0))</f>
        <v>8.3692374627614245E-3</v>
      </c>
      <c r="D29" s="155">
        <f>INDEX(Base_Enh_PR24Query!$I$2:$I$324, MATCH('Renewal rates'!$A29&amp;RIGHT('Renewal rates'!D$28,2), Base_Enh_PR24Query!$A$2:$A$324, 0))</f>
        <v>8.4679780061925492E-3</v>
      </c>
      <c r="E29" s="155">
        <f>INDEX(Base_Enh_PR24Query!$I$2:$I$324, MATCH('Renewal rates'!$A29&amp;RIGHT('Renewal rates'!E$28,2), Base_Enh_PR24Query!$A$2:$A$324, 0))</f>
        <v>7.3694676267662918E-3</v>
      </c>
      <c r="F29" s="155">
        <f>INDEX(Base_Enh_PR24Query!$I$2:$I$324, MATCH('Renewal rates'!$A29&amp;RIGHT('Renewal rates'!F$28,2), Base_Enh_PR24Query!$A$2:$A$324, 0))</f>
        <v>6.9943960561718631E-3</v>
      </c>
      <c r="G29" s="155">
        <f>INDEX(Base_Enh_PR24Query!$I$2:$I$324, MATCH('Renewal rates'!$A29&amp;RIGHT('Renewal rates'!G$28,2), Base_Enh_PR24Query!$A$2:$A$324, 0))</f>
        <v>5.9928470531662309E-3</v>
      </c>
      <c r="H29" s="155">
        <f>INDEX(Base_Enh_PR24Query!$I$2:$I$324, MATCH('Renewal rates'!$A29&amp;RIGHT('Renewal rates'!H$28,2), Base_Enh_PR24Query!$A$2:$A$324, 0))</f>
        <v>4.3339347691865029E-3</v>
      </c>
      <c r="I29" s="155">
        <f>INDEX(Base_Enh_PR24Query!$I$2:$I$324, MATCH('Renewal rates'!$A29&amp;RIGHT('Renewal rates'!I$28,2), Base_Enh_PR24Query!$A$2:$A$324, 0))</f>
        <v>3.0695566926498019E-3</v>
      </c>
      <c r="J29" s="155">
        <f>INDEX(Base_Enh_PR24Query!$I$2:$I$324, MATCH('Renewal rates'!$A29&amp;RIGHT('Renewal rates'!J$28,2), Base_Enh_PR24Query!$A$2:$A$324, 0))</f>
        <v>1.7630276426057071E-3</v>
      </c>
      <c r="K29" s="155">
        <f>INDEX(Base_Enh_PR24Query!$I$2:$I$324, MATCH('Renewal rates'!$A29&amp;RIGHT('Renewal rates'!K$28,2), Base_Enh_PR24Query!$A$2:$A$324, 0))</f>
        <v>1.330411180205382E-3</v>
      </c>
      <c r="L29" s="155">
        <f>INDEX(Base_Enh_PR24Query!$I$2:$I$324, MATCH('Renewal rates'!$A29&amp;RIGHT('Renewal rates'!L$28,2), Base_Enh_PR24Query!$A$2:$A$324, 0))</f>
        <v>7.8642384105960268E-4</v>
      </c>
      <c r="M29" s="155">
        <f>INDEX(Base_Enh_PR24Query!$I$2:$I$324, MATCH('Renewal rates'!$A29&amp;RIGHT('Renewal rates'!M$28,2), Base_Enh_PR24Query!$A$2:$A$324, 0))</f>
        <v>6.600193291374962E-4</v>
      </c>
      <c r="N29" s="165">
        <f>INDEX(Base_Enh_PR24Query!$I$2:$I$324, MATCH('Renewal rates'!$A29&amp;RIGHT('Renewal rates'!N$28,2), Base_Enh_PR24Query!$A$2:$A$324, 0))</f>
        <v>6.327607368607674E-4</v>
      </c>
      <c r="O29" s="164">
        <f>INDEX(Base_Enh_PR24Query!$I$2:$I$324, MATCH('Renewal rates'!$A29&amp;RIGHT('Renewal rates'!O$28,2), Base_Enh_PR24Query!$A$2:$A$324, 0))</f>
        <v>4.5107056032336488E-4</v>
      </c>
      <c r="P29" s="155">
        <f>INDEX(Base_Enh_PR24Query!$I$2:$I$324, MATCH('Renewal rates'!$A29&amp;RIGHT('Renewal rates'!P$28,2), Base_Enh_PR24Query!$A$2:$A$324, 0))</f>
        <v>8.9987962649152112E-4</v>
      </c>
      <c r="Q29" s="155">
        <f>INDEX(Base_Enh_PR24Query!$I$2:$I$324, MATCH('Renewal rates'!$A29&amp;RIGHT('Renewal rates'!Q$28,2), Base_Enh_PR24Query!$A$2:$A$324, 0))</f>
        <v>1.2005781424841474E-3</v>
      </c>
      <c r="R29" s="155">
        <f>INDEX(Base_Enh_PR24Query!$I$2:$I$324, MATCH('Renewal rates'!$A29&amp;RIGHT('Renewal rates'!R$28,2), Base_Enh_PR24Query!$A$2:$A$324, 0))</f>
        <v>1.5050789149485134E-3</v>
      </c>
      <c r="S29" s="155">
        <f>INDEX(Base_Enh_PR24Query!$I$2:$I$324, MATCH('Renewal rates'!$A29&amp;RIGHT('Renewal rates'!S$28,2), Base_Enh_PR24Query!$A$2:$A$324, 0))</f>
        <v>1.8017704857248794E-3</v>
      </c>
      <c r="T29" s="155">
        <f>INDEX(Base_Enh_PR24Query!$I$2:$I$324, MATCH('Renewal rates'!$A29&amp;RIGHT('Renewal rates'!T$28,2), Base_Enh_PR24Query!$A$2:$A$324, 0))</f>
        <v>2.0962302503926824E-3</v>
      </c>
      <c r="U29" s="225">
        <f>INDEX('PR24 forecast'!$E$4:$E$139, MATCH('Renewal rates'!$A29&amp;RIGHT('Renewal rates'!U$28,2), 'PR24 forecast'!$A$4:$A$139,0)) / INDEX('PR24 forecast'!$D$4:$D$139, MATCH('Renewal rates'!$A29&amp;RIGHT('Renewal rates'!U$28,2), 'PR24 forecast'!$A$4:$A$139,0))</f>
        <v>2.111523640266756E-4</v>
      </c>
      <c r="V29" s="226">
        <f>INDEX('PR24 forecast'!$E$4:$E$139, MATCH('Renewal rates'!$A29&amp;RIGHT('Renewal rates'!V$28,2), 'PR24 forecast'!$A$4:$A$139,0)) / INDEX('PR24 forecast'!$D$4:$D$139, MATCH('Renewal rates'!$A29&amp;RIGHT('Renewal rates'!V$28,2), 'PR24 forecast'!$A$4:$A$139,0))</f>
        <v>1.2696518111553832E-3</v>
      </c>
      <c r="W29" s="226">
        <f>INDEX('PR24 forecast'!$E$4:$E$139, MATCH('Renewal rates'!$A29&amp;RIGHT('Renewal rates'!W$28,2), 'PR24 forecast'!$A$4:$A$139,0)) / INDEX('PR24 forecast'!$D$4:$D$139, MATCH('Renewal rates'!$A29&amp;RIGHT('Renewal rates'!W$28,2), 'PR24 forecast'!$A$4:$A$139,0))</f>
        <v>2.7253680997706494E-3</v>
      </c>
      <c r="X29" s="226">
        <f>INDEX('PR24 forecast'!$E$4:$E$139, MATCH('Renewal rates'!$A29&amp;RIGHT('Renewal rates'!X$28,2), 'PR24 forecast'!$A$4:$A$139,0)) / INDEX('PR24 forecast'!$D$4:$D$139, MATCH('Renewal rates'!$A29&amp;RIGHT('Renewal rates'!X$28,2), 'PR24 forecast'!$A$4:$A$139,0))</f>
        <v>3.8814499281320742E-3</v>
      </c>
      <c r="Y29" s="226">
        <f>INDEX('PR24 forecast'!$E$4:$E$139, MATCH('Renewal rates'!$A29&amp;RIGHT('Renewal rates'!Y$28,2), 'PR24 forecast'!$A$4:$A$139,0)) / INDEX('PR24 forecast'!$D$4:$D$139, MATCH('Renewal rates'!$A29&amp;RIGHT('Renewal rates'!Y$28,2), 'PR24 forecast'!$A$4:$A$139,0))</f>
        <v>3.8698747367382816E-3</v>
      </c>
      <c r="Z29" s="227">
        <f>INDEX('PR24 forecast'!$E$4:$E$139, MATCH('Renewal rates'!$A29&amp;RIGHT('Renewal rates'!Z$28,2), 'PR24 forecast'!$A$4:$A$139,0)) / INDEX('PR24 forecast'!$D$4:$D$139, MATCH('Renewal rates'!$A29&amp;RIGHT('Renewal rates'!Z$28,2), 'PR24 forecast'!$A$4:$A$139,0))</f>
        <v>3.8749154169582492E-3</v>
      </c>
      <c r="AA29" s="161">
        <f t="shared" ref="AA29:AA45" si="13">AVERAGE(B29:N29)</f>
        <v>4.5158690387160924E-3</v>
      </c>
      <c r="AB29" s="161">
        <f t="shared" ref="AB29:AB45" si="14">AVERAGE(J29:N29)</f>
        <v>1.034528545973791E-3</v>
      </c>
      <c r="AC29" s="161">
        <f>AVERAGE(K29:N29,U29)</f>
        <v>7.2415349025798477E-4</v>
      </c>
      <c r="AD29" s="161">
        <f>AVERAGE(B29:N29,U29:Z29)</f>
        <v>3.9230899926363432E-3</v>
      </c>
      <c r="AE29" s="163">
        <f>AVERAGE(V29:Z29)</f>
        <v>3.1242519985509275E-3</v>
      </c>
    </row>
    <row r="30" spans="1:35">
      <c r="A30" s="154" t="s">
        <v>21</v>
      </c>
      <c r="B30" s="164">
        <f>INDEX(Base_Enh_PR24Query!$I$2:$I$324, MATCH('Renewal rates'!$A30&amp;RIGHT('Renewal rates'!B$28,2), Base_Enh_PR24Query!$A$2:$A$324, 0))</f>
        <v>4.2788906302142953E-3</v>
      </c>
      <c r="C30" s="155">
        <f>INDEX(Base_Enh_PR24Query!$I$2:$I$324, MATCH('Renewal rates'!$A30&amp;RIGHT('Renewal rates'!C$28,2), Base_Enh_PR24Query!$A$2:$A$324, 0))</f>
        <v>2.5783998528658408E-3</v>
      </c>
      <c r="D30" s="155">
        <f>INDEX(Base_Enh_PR24Query!$I$2:$I$324, MATCH('Renewal rates'!$A30&amp;RIGHT('Renewal rates'!D$28,2), Base_Enh_PR24Query!$A$2:$A$324, 0))</f>
        <v>2.8427318484979401E-3</v>
      </c>
      <c r="E30" s="155">
        <f>INDEX(Base_Enh_PR24Query!$I$2:$I$324, MATCH('Renewal rates'!$A30&amp;RIGHT('Renewal rates'!E$28,2), Base_Enh_PR24Query!$A$2:$A$324, 0))</f>
        <v>2.2294235077785695E-3</v>
      </c>
      <c r="F30" s="155">
        <f>INDEX(Base_Enh_PR24Query!$I$2:$I$324, MATCH('Renewal rates'!$A30&amp;RIGHT('Renewal rates'!F$28,2), Base_Enh_PR24Query!$A$2:$A$324, 0))</f>
        <v>5.7889663166225437E-4</v>
      </c>
      <c r="G30" s="155">
        <f>INDEX(Base_Enh_PR24Query!$I$2:$I$324, MATCH('Renewal rates'!$A30&amp;RIGHT('Renewal rates'!G$28,2), Base_Enh_PR24Query!$A$2:$A$324, 0))</f>
        <v>8.8231579782326443E-4</v>
      </c>
      <c r="H30" s="155">
        <f>INDEX(Base_Enh_PR24Query!$I$2:$I$324, MATCH('Renewal rates'!$A30&amp;RIGHT('Renewal rates'!H$28,2), Base_Enh_PR24Query!$A$2:$A$324, 0))</f>
        <v>2.3165229251177455E-3</v>
      </c>
      <c r="I30" s="155">
        <f>INDEX(Base_Enh_PR24Query!$I$2:$I$324, MATCH('Renewal rates'!$A30&amp;RIGHT('Renewal rates'!I$28,2), Base_Enh_PR24Query!$A$2:$A$324, 0))</f>
        <v>2.6153595354802993E-3</v>
      </c>
      <c r="J30" s="155">
        <f>INDEX(Base_Enh_PR24Query!$I$2:$I$324, MATCH('Renewal rates'!$A30&amp;RIGHT('Renewal rates'!J$28,2), Base_Enh_PR24Query!$A$2:$A$324, 0))</f>
        <v>7.6984680565243227E-4</v>
      </c>
      <c r="K30" s="155">
        <f>INDEX(Base_Enh_PR24Query!$I$2:$I$324, MATCH('Renewal rates'!$A30&amp;RIGHT('Renewal rates'!K$28,2), Base_Enh_PR24Query!$A$2:$A$324, 0))</f>
        <v>4.3081431644988362E-4</v>
      </c>
      <c r="L30" s="155">
        <f>INDEX(Base_Enh_PR24Query!$I$2:$I$324, MATCH('Renewal rates'!$A30&amp;RIGHT('Renewal rates'!L$28,2), Base_Enh_PR24Query!$A$2:$A$324, 0))</f>
        <v>8.3785776526576841E-4</v>
      </c>
      <c r="M30" s="155">
        <f>INDEX(Base_Enh_PR24Query!$I$2:$I$324, MATCH('Renewal rates'!$A30&amp;RIGHT('Renewal rates'!M$28,2), Base_Enh_PR24Query!$A$2:$A$324, 0))</f>
        <v>1.1516481052585986E-3</v>
      </c>
      <c r="N30" s="165">
        <f>INDEX(Base_Enh_PR24Query!$I$2:$I$324, MATCH('Renewal rates'!$A30&amp;RIGHT('Renewal rates'!N$28,2), Base_Enh_PR24Query!$A$2:$A$324, 0))</f>
        <v>9.5184912556793664E-4</v>
      </c>
      <c r="O30" s="164">
        <f>INDEX(Base_Enh_PR24Query!$I$2:$I$324, MATCH('Renewal rates'!$A30&amp;RIGHT('Renewal rates'!O$28,2), Base_Enh_PR24Query!$A$2:$A$324, 0))</f>
        <v>1.6622457115063505E-3</v>
      </c>
      <c r="P30" s="155">
        <f>INDEX(Base_Enh_PR24Query!$I$2:$I$324, MATCH('Renewal rates'!$A30&amp;RIGHT('Renewal rates'!P$28,2), Base_Enh_PR24Query!$A$2:$A$324, 0))</f>
        <v>5.0462741842315188E-3</v>
      </c>
      <c r="Q30" s="155">
        <f>INDEX(Base_Enh_PR24Query!$I$2:$I$324, MATCH('Renewal rates'!$A30&amp;RIGHT('Renewal rates'!Q$28,2), Base_Enh_PR24Query!$A$2:$A$324, 0))</f>
        <v>5.3268294142732094E-3</v>
      </c>
      <c r="R30" s="155">
        <f>INDEX(Base_Enh_PR24Query!$I$2:$I$324, MATCH('Renewal rates'!$A30&amp;RIGHT('Renewal rates'!R$28,2), Base_Enh_PR24Query!$A$2:$A$324, 0))</f>
        <v>4.6797992808725007E-3</v>
      </c>
      <c r="S30" s="155">
        <f>INDEX(Base_Enh_PR24Query!$I$2:$I$324, MATCH('Renewal rates'!$A30&amp;RIGHT('Renewal rates'!S$28,2), Base_Enh_PR24Query!$A$2:$A$324, 0))</f>
        <v>4.657356912752676E-3</v>
      </c>
      <c r="T30" s="155">
        <f>INDEX(Base_Enh_PR24Query!$I$2:$I$324, MATCH('Renewal rates'!$A30&amp;RIGHT('Renewal rates'!T$28,2), Base_Enh_PR24Query!$A$2:$A$324, 0))</f>
        <v>4.9650036203151404E-3</v>
      </c>
      <c r="U30" s="164">
        <f>INDEX('PR24 forecast'!$E$4:$E$139, MATCH('Renewal rates'!$A30&amp;RIGHT('Renewal rates'!U$28,2), 'PR24 forecast'!$A$4:$A$139,0)) / INDEX('PR24 forecast'!$D$4:$D$139, MATCH('Renewal rates'!$A30&amp;RIGHT('Renewal rates'!U$28,2), 'PR24 forecast'!$A$4:$A$139,0))</f>
        <v>1.655251284700713E-3</v>
      </c>
      <c r="V30" s="155">
        <f>INDEX('PR24 forecast'!$E$4:$E$139, MATCH('Renewal rates'!$A30&amp;RIGHT('Renewal rates'!V$28,2), 'PR24 forecast'!$A$4:$A$139,0)) / INDEX('PR24 forecast'!$D$4:$D$139, MATCH('Renewal rates'!$A30&amp;RIGHT('Renewal rates'!V$28,2), 'PR24 forecast'!$A$4:$A$139,0))</f>
        <v>1.8895770589235866E-3</v>
      </c>
      <c r="W30" s="155">
        <f>INDEX('PR24 forecast'!$E$4:$E$139, MATCH('Renewal rates'!$A30&amp;RIGHT('Renewal rates'!W$28,2), 'PR24 forecast'!$A$4:$A$139,0)) / INDEX('PR24 forecast'!$D$4:$D$139, MATCH('Renewal rates'!$A30&amp;RIGHT('Renewal rates'!W$28,2), 'PR24 forecast'!$A$4:$A$139,0))</f>
        <v>5.9337276512307262E-3</v>
      </c>
      <c r="X30" s="155">
        <f>INDEX('PR24 forecast'!$E$4:$E$139, MATCH('Renewal rates'!$A30&amp;RIGHT('Renewal rates'!X$28,2), 'PR24 forecast'!$A$4:$A$139,0)) / INDEX('PR24 forecast'!$D$4:$D$139, MATCH('Renewal rates'!$A30&amp;RIGHT('Renewal rates'!X$28,2), 'PR24 forecast'!$A$4:$A$139,0))</f>
        <v>7.6629181622129864E-3</v>
      </c>
      <c r="Y30" s="155">
        <f>INDEX('PR24 forecast'!$E$4:$E$139, MATCH('Renewal rates'!$A30&amp;RIGHT('Renewal rates'!Y$28,2), 'PR24 forecast'!$A$4:$A$139,0)) / INDEX('PR24 forecast'!$D$4:$D$139, MATCH('Renewal rates'!$A30&amp;RIGHT('Renewal rates'!Y$28,2), 'PR24 forecast'!$A$4:$A$139,0))</f>
        <v>7.6424067118822346E-3</v>
      </c>
      <c r="Z30" s="165">
        <f>INDEX('PR24 forecast'!$E$4:$E$139, MATCH('Renewal rates'!$A30&amp;RIGHT('Renewal rates'!Z$28,2), 'PR24 forecast'!$A$4:$A$139,0)) / INDEX('PR24 forecast'!$D$4:$D$139, MATCH('Renewal rates'!$A30&amp;RIGHT('Renewal rates'!Z$28,2), 'PR24 forecast'!$A$4:$A$139,0))</f>
        <v>5.1710333444193986E-3</v>
      </c>
      <c r="AA30" s="161">
        <f t="shared" si="13"/>
        <v>1.7280428344334485E-3</v>
      </c>
      <c r="AB30" s="161">
        <f t="shared" si="14"/>
        <v>8.2840322363892402E-4</v>
      </c>
      <c r="AC30" s="161">
        <f t="shared" ref="AC30:AC45" si="15">AVERAGE(K30:N30,U30)</f>
        <v>1.00548411944858E-3</v>
      </c>
      <c r="AD30" s="161">
        <f t="shared" ref="AD30:AD45" si="16">AVERAGE(B30:N30,U30:Z30)</f>
        <v>2.7589195295265514E-3</v>
      </c>
      <c r="AE30" s="163">
        <f t="shared" ref="AE30:AE45" si="17">AVERAGE(V30:Z30)</f>
        <v>5.6599325857337865E-3</v>
      </c>
    </row>
    <row r="31" spans="1:35">
      <c r="A31" s="154" t="s">
        <v>34</v>
      </c>
      <c r="B31" s="164">
        <f>INDEX(Base_Enh_PR24Query!$I$2:$I$324, MATCH('Renewal rates'!$A31&amp;RIGHT('Renewal rates'!B$28,2), Base_Enh_PR24Query!$A$2:$A$324, 0))</f>
        <v>1.06944632462434E-2</v>
      </c>
      <c r="C31" s="155">
        <f>INDEX(Base_Enh_PR24Query!$I$2:$I$324, MATCH('Renewal rates'!$A31&amp;RIGHT('Renewal rates'!C$28,2), Base_Enh_PR24Query!$A$2:$A$324, 0))</f>
        <v>1.1277519844241425E-2</v>
      </c>
      <c r="D31" s="155">
        <f>INDEX(Base_Enh_PR24Query!$I$2:$I$324, MATCH('Renewal rates'!$A31&amp;RIGHT('Renewal rates'!D$28,2), Base_Enh_PR24Query!$A$2:$A$324, 0))</f>
        <v>1.0628941130871632E-2</v>
      </c>
      <c r="E31" s="155">
        <f>INDEX(Base_Enh_PR24Query!$I$2:$I$324, MATCH('Renewal rates'!$A31&amp;RIGHT('Renewal rates'!E$28,2), Base_Enh_PR24Query!$A$2:$A$324, 0))</f>
        <v>4.1579424124975868E-3</v>
      </c>
      <c r="F31" s="155">
        <f>INDEX(Base_Enh_PR24Query!$I$2:$I$324, MATCH('Renewal rates'!$A31&amp;RIGHT('Renewal rates'!F$28,2), Base_Enh_PR24Query!$A$2:$A$324, 0))</f>
        <v>7.2618412472582846E-4</v>
      </c>
      <c r="G31" s="155">
        <f>INDEX(Base_Enh_PR24Query!$I$2:$I$324, MATCH('Renewal rates'!$A31&amp;RIGHT('Renewal rates'!G$28,2), Base_Enh_PR24Query!$A$2:$A$324, 0))</f>
        <v>2.2162138203093832E-3</v>
      </c>
      <c r="H31" s="155">
        <f>INDEX(Base_Enh_PR24Query!$I$2:$I$324, MATCH('Renewal rates'!$A31&amp;RIGHT('Renewal rates'!H$28,2), Base_Enh_PR24Query!$A$2:$A$324, 0))</f>
        <v>2.3725834797891036E-3</v>
      </c>
      <c r="I31" s="155">
        <f>INDEX(Base_Enh_PR24Query!$I$2:$I$324, MATCH('Renewal rates'!$A31&amp;RIGHT('Renewal rates'!I$28,2), Base_Enh_PR24Query!$A$2:$A$324, 0))</f>
        <v>2.4240654205607477E-3</v>
      </c>
      <c r="J31" s="155">
        <f>INDEX(Base_Enh_PR24Query!$I$2:$I$324, MATCH('Renewal rates'!$A31&amp;RIGHT('Renewal rates'!J$28,2), Base_Enh_PR24Query!$A$2:$A$324, 0))</f>
        <v>4.6691588241283511E-3</v>
      </c>
      <c r="K31" s="155">
        <f>INDEX(Base_Enh_PR24Query!$I$2:$I$324, MATCH('Renewal rates'!$A31&amp;RIGHT('Renewal rates'!K$28,2), Base_Enh_PR24Query!$A$2:$A$324, 0))</f>
        <v>2.4769326592986372E-3</v>
      </c>
      <c r="L31" s="155">
        <f>INDEX(Base_Enh_PR24Query!$I$2:$I$324, MATCH('Renewal rates'!$A31&amp;RIGHT('Renewal rates'!L$28,2), Base_Enh_PR24Query!$A$2:$A$324, 0))</f>
        <v>1.2556286802909594E-3</v>
      </c>
      <c r="M31" s="155">
        <f>INDEX(Base_Enh_PR24Query!$I$2:$I$324, MATCH('Renewal rates'!$A31&amp;RIGHT('Renewal rates'!M$28,2), Base_Enh_PR24Query!$A$2:$A$324, 0))</f>
        <v>1.1932316450782791E-3</v>
      </c>
      <c r="N31" s="165">
        <f>INDEX(Base_Enh_PR24Query!$I$2:$I$324, MATCH('Renewal rates'!$A31&amp;RIGHT('Renewal rates'!N$28,2), Base_Enh_PR24Query!$A$2:$A$324, 0))</f>
        <v>1.1185682326621924E-3</v>
      </c>
      <c r="O31" s="164">
        <f>INDEX(Base_Enh_PR24Query!$I$2:$I$324, MATCH('Renewal rates'!$A31&amp;RIGHT('Renewal rates'!O$28,2), Base_Enh_PR24Query!$A$2:$A$324, 0))</f>
        <v>1.8544406721634191E-3</v>
      </c>
      <c r="P31" s="155">
        <f>INDEX(Base_Enh_PR24Query!$I$2:$I$324, MATCH('Renewal rates'!$A31&amp;RIGHT('Renewal rates'!P$28,2), Base_Enh_PR24Query!$A$2:$A$324, 0))</f>
        <v>4.0168079196638415E-3</v>
      </c>
      <c r="Q31" s="155">
        <f>INDEX(Base_Enh_PR24Query!$I$2:$I$324, MATCH('Renewal rates'!$A31&amp;RIGHT('Renewal rates'!Q$28,2), Base_Enh_PR24Query!$A$2:$A$324, 0))</f>
        <v>4.6483858586720125E-3</v>
      </c>
      <c r="R31" s="155">
        <f>INDEX(Base_Enh_PR24Query!$I$2:$I$324, MATCH('Renewal rates'!$A31&amp;RIGHT('Renewal rates'!R$28,2), Base_Enh_PR24Query!$A$2:$A$324, 0))</f>
        <v>5.1761302399455436E-3</v>
      </c>
      <c r="S31" s="155">
        <f>INDEX(Base_Enh_PR24Query!$I$2:$I$324, MATCH('Renewal rates'!$A31&amp;RIGHT('Renewal rates'!S$28,2), Base_Enh_PR24Query!$A$2:$A$324, 0))</f>
        <v>4.7231846142968261E-3</v>
      </c>
      <c r="T31" s="155">
        <f>INDEX(Base_Enh_PR24Query!$I$2:$I$324, MATCH('Renewal rates'!$A31&amp;RIGHT('Renewal rates'!T$28,2), Base_Enh_PR24Query!$A$2:$A$324, 0))</f>
        <v>4.7554539553523551E-3</v>
      </c>
      <c r="U31" s="164">
        <f>INDEX('PR24 forecast'!$E$4:$E$139, MATCH('Renewal rates'!$A31&amp;RIGHT('Renewal rates'!U$28,2), 'PR24 forecast'!$A$4:$A$139,0)) / INDEX('PR24 forecast'!$D$4:$D$139, MATCH('Renewal rates'!$A31&amp;RIGHT('Renewal rates'!U$28,2), 'PR24 forecast'!$A$4:$A$139,0))</f>
        <v>1.8544359290696118E-3</v>
      </c>
      <c r="V31" s="155">
        <f>INDEX('PR24 forecast'!$E$4:$E$139, MATCH('Renewal rates'!$A31&amp;RIGHT('Renewal rates'!V$28,2), 'PR24 forecast'!$A$4:$A$139,0)) / INDEX('PR24 forecast'!$D$4:$D$139, MATCH('Renewal rates'!$A31&amp;RIGHT('Renewal rates'!V$28,2), 'PR24 forecast'!$A$4:$A$139,0))</f>
        <v>2.8117655437646894E-3</v>
      </c>
      <c r="W31" s="155">
        <f>INDEX('PR24 forecast'!$E$4:$E$139, MATCH('Renewal rates'!$A31&amp;RIGHT('Renewal rates'!W$28,2), 'PR24 forecast'!$A$4:$A$139,0)) / INDEX('PR24 forecast'!$D$4:$D$139, MATCH('Renewal rates'!$A31&amp;RIGHT('Renewal rates'!W$28,2), 'PR24 forecast'!$A$4:$A$139,0))</f>
        <v>4.6768163532204645E-3</v>
      </c>
      <c r="X31" s="155">
        <f>INDEX('PR24 forecast'!$E$4:$E$139, MATCH('Renewal rates'!$A31&amp;RIGHT('Renewal rates'!X$28,2), 'PR24 forecast'!$A$4:$A$139,0)) / INDEX('PR24 forecast'!$D$4:$D$139, MATCH('Renewal rates'!$A31&amp;RIGHT('Renewal rates'!X$28,2), 'PR24 forecast'!$A$4:$A$139,0))</f>
        <v>5.2861336434284418E-3</v>
      </c>
      <c r="Y31" s="155">
        <f>INDEX('PR24 forecast'!$E$4:$E$139, MATCH('Renewal rates'!$A31&amp;RIGHT('Renewal rates'!Y$28,2), 'PR24 forecast'!$A$4:$A$139,0)) / INDEX('PR24 forecast'!$D$4:$D$139, MATCH('Renewal rates'!$A31&amp;RIGHT('Renewal rates'!Y$28,2), 'PR24 forecast'!$A$4:$A$139,0))</f>
        <v>5.2735841052110582E-3</v>
      </c>
      <c r="Z31" s="165">
        <f>INDEX('PR24 forecast'!$E$4:$E$139, MATCH('Renewal rates'!$A31&amp;RIGHT('Renewal rates'!Z$28,2), 'PR24 forecast'!$A$4:$A$139,0)) / INDEX('PR24 forecast'!$D$4:$D$139, MATCH('Renewal rates'!$A31&amp;RIGHT('Renewal rates'!Z$28,2), 'PR24 forecast'!$A$4:$A$139,0))</f>
        <v>5.2623472469167168E-3</v>
      </c>
      <c r="AA31" s="161">
        <f t="shared" si="13"/>
        <v>4.2470333477459639E-3</v>
      </c>
      <c r="AB31" s="161">
        <f t="shared" si="14"/>
        <v>2.1427040082916834E-3</v>
      </c>
      <c r="AC31" s="161">
        <f t="shared" si="15"/>
        <v>1.5797594292799358E-3</v>
      </c>
      <c r="AD31" s="161">
        <f t="shared" si="16"/>
        <v>4.2303429653846591E-3</v>
      </c>
      <c r="AE31" s="163">
        <f t="shared" si="17"/>
        <v>4.6621293785082743E-3</v>
      </c>
    </row>
    <row r="32" spans="1:35">
      <c r="A32" s="154" t="s">
        <v>81</v>
      </c>
      <c r="B32" s="164">
        <f>INDEX(Base_Enh_PR24Query!$I$2:$I$324, MATCH('Renewal rates'!$A32&amp;RIGHT('Renewal rates'!B$28,2), Base_Enh_PR24Query!$A$2:$A$324, 0))</f>
        <v>5.3355670626459538E-3</v>
      </c>
      <c r="C32" s="155">
        <f>INDEX(Base_Enh_PR24Query!$I$2:$I$324, MATCH('Renewal rates'!$A32&amp;RIGHT('Renewal rates'!C$28,2), Base_Enh_PR24Query!$A$2:$A$324, 0))</f>
        <v>5.7530586842344938E-3</v>
      </c>
      <c r="D32" s="155">
        <f>INDEX(Base_Enh_PR24Query!$I$2:$I$324, MATCH('Renewal rates'!$A32&amp;RIGHT('Renewal rates'!D$28,2), Base_Enh_PR24Query!$A$2:$A$324, 0))</f>
        <v>4.7818221040926631E-3</v>
      </c>
      <c r="E32" s="155">
        <f>INDEX(Base_Enh_PR24Query!$I$2:$I$324, MATCH('Renewal rates'!$A32&amp;RIGHT('Renewal rates'!E$28,2), Base_Enh_PR24Query!$A$2:$A$324, 0))</f>
        <v>2.2906370337106253E-3</v>
      </c>
      <c r="F32" s="155">
        <f>INDEX(Base_Enh_PR24Query!$I$2:$I$324, MATCH('Renewal rates'!$A32&amp;RIGHT('Renewal rates'!F$28,2), Base_Enh_PR24Query!$A$2:$A$324, 0))</f>
        <v>6.2536213162904678E-3</v>
      </c>
      <c r="G32" s="155">
        <f>INDEX(Base_Enh_PR24Query!$I$2:$I$324, MATCH('Renewal rates'!$A32&amp;RIGHT('Renewal rates'!G$28,2), Base_Enh_PR24Query!$A$2:$A$324, 0))</f>
        <v>2.2557747834456208E-3</v>
      </c>
      <c r="H32" s="155">
        <f>INDEX(Base_Enh_PR24Query!$I$2:$I$324, MATCH('Renewal rates'!$A32&amp;RIGHT('Renewal rates'!H$28,2), Base_Enh_PR24Query!$A$2:$A$324, 0))</f>
        <v>2.7293930822291698E-3</v>
      </c>
      <c r="I32" s="155">
        <f>INDEX(Base_Enh_PR24Query!$I$2:$I$324, MATCH('Renewal rates'!$A32&amp;RIGHT('Renewal rates'!I$28,2), Base_Enh_PR24Query!$A$2:$A$324, 0))</f>
        <v>6.2549763342331496E-3</v>
      </c>
      <c r="J32" s="155">
        <f>INDEX(Base_Enh_PR24Query!$I$2:$I$324, MATCH('Renewal rates'!$A32&amp;RIGHT('Renewal rates'!J$28,2), Base_Enh_PR24Query!$A$2:$A$324, 0))</f>
        <v>4.3142400847881804E-3</v>
      </c>
      <c r="K32" s="155">
        <f>INDEX(Base_Enh_PR24Query!$I$2:$I$324, MATCH('Renewal rates'!$A32&amp;RIGHT('Renewal rates'!K$28,2), Base_Enh_PR24Query!$A$2:$A$324, 0))</f>
        <v>1.5217804831653035E-3</v>
      </c>
      <c r="L32" s="155">
        <f>INDEX(Base_Enh_PR24Query!$I$2:$I$324, MATCH('Renewal rates'!$A32&amp;RIGHT('Renewal rates'!L$28,2), Base_Enh_PR24Query!$A$2:$A$324, 0))</f>
        <v>9.4912680334092634E-4</v>
      </c>
      <c r="M32" s="155">
        <f>INDEX(Base_Enh_PR24Query!$I$2:$I$324, MATCH('Renewal rates'!$A32&amp;RIGHT('Renewal rates'!M$28,2), Base_Enh_PR24Query!$A$2:$A$324, 0))</f>
        <v>2.877806808285054E-3</v>
      </c>
      <c r="N32" s="165">
        <f>INDEX(Base_Enh_PR24Query!$I$2:$I$324, MATCH('Renewal rates'!$A32&amp;RIGHT('Renewal rates'!N$28,2), Base_Enh_PR24Query!$A$2:$A$324, 0))</f>
        <v>1.3140404845999012E-4</v>
      </c>
      <c r="O32" s="164">
        <f>INDEX(Base_Enh_PR24Query!$I$2:$I$324, MATCH('Renewal rates'!$A32&amp;RIGHT('Renewal rates'!O$28,2), Base_Enh_PR24Query!$A$2:$A$324, 0))</f>
        <v>1.2090071029167296E-3</v>
      </c>
      <c r="P32" s="155">
        <f>INDEX(Base_Enh_PR24Query!$I$2:$I$324, MATCH('Renewal rates'!$A32&amp;RIGHT('Renewal rates'!P$28,2), Base_Enh_PR24Query!$A$2:$A$324, 0))</f>
        <v>3.8493471205373986E-3</v>
      </c>
      <c r="Q32" s="155">
        <f>INDEX(Base_Enh_PR24Query!$I$2:$I$324, MATCH('Renewal rates'!$A32&amp;RIGHT('Renewal rates'!Q$28,2), Base_Enh_PR24Query!$A$2:$A$324, 0))</f>
        <v>4.7120024125452348E-3</v>
      </c>
      <c r="R32" s="155">
        <f>INDEX(Base_Enh_PR24Query!$I$2:$I$324, MATCH('Renewal rates'!$A32&amp;RIGHT('Renewal rates'!R$28,2), Base_Enh_PR24Query!$A$2:$A$324, 0))</f>
        <v>6.1375103546953838E-3</v>
      </c>
      <c r="S32" s="155">
        <f>INDEX(Base_Enh_PR24Query!$I$2:$I$324, MATCH('Renewal rates'!$A32&amp;RIGHT('Renewal rates'!S$28,2), Base_Enh_PR24Query!$A$2:$A$324, 0))</f>
        <v>5.528809989468933E-3</v>
      </c>
      <c r="T32" s="155">
        <f>INDEX(Base_Enh_PR24Query!$I$2:$I$324, MATCH('Renewal rates'!$A32&amp;RIGHT('Renewal rates'!T$28,2), Base_Enh_PR24Query!$A$2:$A$324, 0))</f>
        <v>5.3723044556315278E-3</v>
      </c>
      <c r="U32" s="164">
        <f>INDEX('PR24 forecast'!$E$4:$E$139, MATCH('Renewal rates'!$A32&amp;RIGHT('Renewal rates'!U$28,2), 'PR24 forecast'!$A$4:$A$139,0)) / INDEX('PR24 forecast'!$D$4:$D$139, MATCH('Renewal rates'!$A32&amp;RIGHT('Renewal rates'!U$28,2), 'PR24 forecast'!$A$4:$A$139,0))</f>
        <v>1.2125345761812741E-3</v>
      </c>
      <c r="V32" s="155">
        <f>INDEX('PR24 forecast'!$E$4:$E$139, MATCH('Renewal rates'!$A32&amp;RIGHT('Renewal rates'!V$28,2), 'PR24 forecast'!$A$4:$A$139,0)) / INDEX('PR24 forecast'!$D$4:$D$139, MATCH('Renewal rates'!$A32&amp;RIGHT('Renewal rates'!V$28,2), 'PR24 forecast'!$A$4:$A$139,0))</f>
        <v>3.8605654592937435E-3</v>
      </c>
      <c r="W32" s="155">
        <f>INDEX('PR24 forecast'!$E$4:$E$139, MATCH('Renewal rates'!$A32&amp;RIGHT('Renewal rates'!W$28,2), 'PR24 forecast'!$A$4:$A$139,0)) / INDEX('PR24 forecast'!$D$4:$D$139, MATCH('Renewal rates'!$A32&amp;RIGHT('Renewal rates'!W$28,2), 'PR24 forecast'!$A$4:$A$139,0))</f>
        <v>4.7257192544705303E-3</v>
      </c>
      <c r="X32" s="155">
        <f>INDEX('PR24 forecast'!$E$4:$E$139, MATCH('Renewal rates'!$A32&amp;RIGHT('Renewal rates'!X$28,2), 'PR24 forecast'!$A$4:$A$139,0)) / INDEX('PR24 forecast'!$D$4:$D$139, MATCH('Renewal rates'!$A32&amp;RIGHT('Renewal rates'!X$28,2), 'PR24 forecast'!$A$4:$A$139,0))</f>
        <v>6.155356670820589E-3</v>
      </c>
      <c r="Y32" s="155">
        <f>INDEX('PR24 forecast'!$E$4:$E$139, MATCH('Renewal rates'!$A32&amp;RIGHT('Renewal rates'!Y$28,2), 'PR24 forecast'!$A$4:$A$139,0)) / INDEX('PR24 forecast'!$D$4:$D$139, MATCH('Renewal rates'!$A32&amp;RIGHT('Renewal rates'!Y$28,2), 'PR24 forecast'!$A$4:$A$139,0))</f>
        <v>5.5448681679302926E-3</v>
      </c>
      <c r="Z32" s="165">
        <f>INDEX('PR24 forecast'!$E$4:$E$139, MATCH('Renewal rates'!$A32&amp;RIGHT('Renewal rates'!Z$28,2), 'PR24 forecast'!$A$4:$A$139,0)) / INDEX('PR24 forecast'!$D$4:$D$139, MATCH('Renewal rates'!$A32&amp;RIGHT('Renewal rates'!Z$28,2), 'PR24 forecast'!$A$4:$A$139,0))</f>
        <v>5.3878904336686637E-3</v>
      </c>
      <c r="AA32" s="161">
        <f t="shared" si="13"/>
        <v>3.4960929714555073E-3</v>
      </c>
      <c r="AB32" s="161">
        <f t="shared" si="14"/>
        <v>1.9588716456078905E-3</v>
      </c>
      <c r="AC32" s="161">
        <f t="shared" si="15"/>
        <v>1.3385305438865095E-3</v>
      </c>
      <c r="AD32" s="161">
        <f t="shared" si="16"/>
        <v>3.807165431120352E-3</v>
      </c>
      <c r="AE32" s="163">
        <f t="shared" si="17"/>
        <v>5.134879997236763E-3</v>
      </c>
    </row>
    <row r="33" spans="1:31">
      <c r="A33" s="154" t="s">
        <v>38</v>
      </c>
      <c r="B33" s="164">
        <f>INDEX(Base_Enh_PR24Query!$I$2:$I$324, MATCH('Renewal rates'!$A33&amp;RIGHT('Renewal rates'!B$28,2), Base_Enh_PR24Query!$A$2:$A$324, 0))</f>
        <v>6.1749571183533445E-3</v>
      </c>
      <c r="C33" s="155">
        <f>INDEX(Base_Enh_PR24Query!$I$2:$I$324, MATCH('Renewal rates'!$A33&amp;RIGHT('Renewal rates'!C$28,2), Base_Enh_PR24Query!$A$2:$A$324, 0))</f>
        <v>5.7268358346420434E-3</v>
      </c>
      <c r="D33" s="155">
        <f>INDEX(Base_Enh_PR24Query!$I$2:$I$324, MATCH('Renewal rates'!$A33&amp;RIGHT('Renewal rates'!D$28,2), Base_Enh_PR24Query!$A$2:$A$324, 0))</f>
        <v>3.6309686487330651E-3</v>
      </c>
      <c r="E33" s="155">
        <f>INDEX(Base_Enh_PR24Query!$I$2:$I$324, MATCH('Renewal rates'!$A33&amp;RIGHT('Renewal rates'!E$28,2), Base_Enh_PR24Query!$A$2:$A$324, 0))</f>
        <v>3.4311797260508717E-3</v>
      </c>
      <c r="F33" s="155">
        <f>INDEX(Base_Enh_PR24Query!$I$2:$I$324, MATCH('Renewal rates'!$A33&amp;RIGHT('Renewal rates'!F$28,2), Base_Enh_PR24Query!$A$2:$A$324, 0))</f>
        <v>2.8104935444050222E-3</v>
      </c>
      <c r="G33" s="155">
        <f>INDEX(Base_Enh_PR24Query!$I$2:$I$324, MATCH('Renewal rates'!$A33&amp;RIGHT('Renewal rates'!G$28,2), Base_Enh_PR24Query!$A$2:$A$324, 0))</f>
        <v>2.9094092853158122E-3</v>
      </c>
      <c r="H33" s="155">
        <f>INDEX(Base_Enh_PR24Query!$I$2:$I$324, MATCH('Renewal rates'!$A33&amp;RIGHT('Renewal rates'!H$28,2), Base_Enh_PR24Query!$A$2:$A$324, 0))</f>
        <v>3.2417412781722754E-3</v>
      </c>
      <c r="I33" s="155">
        <f>INDEX(Base_Enh_PR24Query!$I$2:$I$324, MATCH('Renewal rates'!$A33&amp;RIGHT('Renewal rates'!I$28,2), Base_Enh_PR24Query!$A$2:$A$324, 0))</f>
        <v>4.1448508199429177E-3</v>
      </c>
      <c r="J33" s="155">
        <f>INDEX(Base_Enh_PR24Query!$I$2:$I$324, MATCH('Renewal rates'!$A33&amp;RIGHT('Renewal rates'!J$28,2), Base_Enh_PR24Query!$A$2:$A$324, 0))</f>
        <v>2.9694429813512872E-3</v>
      </c>
      <c r="K33" s="155">
        <f>INDEX(Base_Enh_PR24Query!$I$2:$I$324, MATCH('Renewal rates'!$A33&amp;RIGHT('Renewal rates'!K$28,2), Base_Enh_PR24Query!$A$2:$A$324, 0))</f>
        <v>8.760970258410532E-4</v>
      </c>
      <c r="L33" s="155">
        <f>INDEX(Base_Enh_PR24Query!$I$2:$I$324, MATCH('Renewal rates'!$A33&amp;RIGHT('Renewal rates'!L$28,2), Base_Enh_PR24Query!$A$2:$A$324, 0))</f>
        <v>1.5019343093377836E-3</v>
      </c>
      <c r="M33" s="155">
        <f>INDEX(Base_Enh_PR24Query!$I$2:$I$324, MATCH('Renewal rates'!$A33&amp;RIGHT('Renewal rates'!M$28,2), Base_Enh_PR24Query!$A$2:$A$324, 0))</f>
        <v>1.0132095302185962E-3</v>
      </c>
      <c r="N33" s="165">
        <f>INDEX(Base_Enh_PR24Query!$I$2:$I$324, MATCH('Renewal rates'!$A33&amp;RIGHT('Renewal rates'!N$28,2), Base_Enh_PR24Query!$A$2:$A$324, 0))</f>
        <v>9.910765427632571E-4</v>
      </c>
      <c r="O33" s="164">
        <f>INDEX(Base_Enh_PR24Query!$I$2:$I$324, MATCH('Renewal rates'!$A33&amp;RIGHT('Renewal rates'!O$28,2), Base_Enh_PR24Query!$A$2:$A$324, 0))</f>
        <v>5.4437930430349451E-3</v>
      </c>
      <c r="P33" s="155">
        <f>INDEX(Base_Enh_PR24Query!$I$2:$I$324, MATCH('Renewal rates'!$A33&amp;RIGHT('Renewal rates'!P$28,2), Base_Enh_PR24Query!$A$2:$A$324, 0))</f>
        <v>4.2638778654465661E-3</v>
      </c>
      <c r="Q33" s="155">
        <f>INDEX(Base_Enh_PR24Query!$I$2:$I$324, MATCH('Renewal rates'!$A33&amp;RIGHT('Renewal rates'!Q$28,2), Base_Enh_PR24Query!$A$2:$A$324, 0))</f>
        <v>4.4297367256212819E-3</v>
      </c>
      <c r="R33" s="155">
        <f>INDEX(Base_Enh_PR24Query!$I$2:$I$324, MATCH('Renewal rates'!$A33&amp;RIGHT('Renewal rates'!R$28,2), Base_Enh_PR24Query!$A$2:$A$324, 0))</f>
        <v>5.0456132030028394E-3</v>
      </c>
      <c r="S33" s="155">
        <f>INDEX(Base_Enh_PR24Query!$I$2:$I$324, MATCH('Renewal rates'!$A33&amp;RIGHT('Renewal rates'!S$28,2), Base_Enh_PR24Query!$A$2:$A$324, 0))</f>
        <v>4.0486547565415833E-3</v>
      </c>
      <c r="T33" s="155">
        <f>INDEX(Base_Enh_PR24Query!$I$2:$I$324, MATCH('Renewal rates'!$A33&amp;RIGHT('Renewal rates'!T$28,2), Base_Enh_PR24Query!$A$2:$A$324, 0))</f>
        <v>4.0535965319025225E-3</v>
      </c>
      <c r="U33" s="164">
        <f>INDEX('PR24 forecast'!$E$4:$E$139, MATCH('Renewal rates'!$A33&amp;RIGHT('Renewal rates'!U$28,2), 'PR24 forecast'!$A$4:$A$139,0)) / INDEX('PR24 forecast'!$D$4:$D$139, MATCH('Renewal rates'!$A33&amp;RIGHT('Renewal rates'!U$28,2), 'PR24 forecast'!$A$4:$A$139,0))</f>
        <v>5.4430057175948376E-3</v>
      </c>
      <c r="V33" s="155">
        <f>INDEX('PR24 forecast'!$E$4:$E$139, MATCH('Renewal rates'!$A33&amp;RIGHT('Renewal rates'!V$28,2), 'PR24 forecast'!$A$4:$A$139,0)) / INDEX('PR24 forecast'!$D$4:$D$139, MATCH('Renewal rates'!$A33&amp;RIGHT('Renewal rates'!V$28,2), 'PR24 forecast'!$A$4:$A$139,0))</f>
        <v>4.2637284653812037E-3</v>
      </c>
      <c r="W33" s="155">
        <f>INDEX('PR24 forecast'!$E$4:$E$139, MATCH('Renewal rates'!$A33&amp;RIGHT('Renewal rates'!W$28,2), 'PR24 forecast'!$A$4:$A$139,0)) / INDEX('PR24 forecast'!$D$4:$D$139, MATCH('Renewal rates'!$A33&amp;RIGHT('Renewal rates'!W$28,2), 'PR24 forecast'!$A$4:$A$139,0))</f>
        <v>4.4295880393168214E-3</v>
      </c>
      <c r="X33" s="155">
        <f>INDEX('PR24 forecast'!$E$4:$E$139, MATCH('Renewal rates'!$A33&amp;RIGHT('Renewal rates'!X$28,2), 'PR24 forecast'!$A$4:$A$139,0)) / INDEX('PR24 forecast'!$D$4:$D$139, MATCH('Renewal rates'!$A33&amp;RIGHT('Renewal rates'!X$28,2), 'PR24 forecast'!$A$4:$A$139,0))</f>
        <v>5.0454649878834143E-3</v>
      </c>
      <c r="Y33" s="155">
        <f>INDEX('PR24 forecast'!$E$4:$E$139, MATCH('Renewal rates'!$A33&amp;RIGHT('Renewal rates'!Y$28,2), 'PR24 forecast'!$A$4:$A$139,0)) / INDEX('PR24 forecast'!$D$4:$D$139, MATCH('Renewal rates'!$A33&amp;RIGHT('Renewal rates'!Y$28,2), 'PR24 forecast'!$A$4:$A$139,0))</f>
        <v>4.0486547565415833E-3</v>
      </c>
      <c r="Z33" s="165">
        <f>INDEX('PR24 forecast'!$E$4:$E$139, MATCH('Renewal rates'!$A33&amp;RIGHT('Renewal rates'!Z$28,2), 'PR24 forecast'!$A$4:$A$139,0)) / INDEX('PR24 forecast'!$D$4:$D$139, MATCH('Renewal rates'!$A33&amp;RIGHT('Renewal rates'!Z$28,2), 'PR24 forecast'!$A$4:$A$139,0))</f>
        <v>4.0535965319025225E-3</v>
      </c>
      <c r="AA33" s="161">
        <f t="shared" si="13"/>
        <v>3.0324766650097947E-3</v>
      </c>
      <c r="AB33" s="161">
        <f t="shared" si="14"/>
        <v>1.4703520779023953E-3</v>
      </c>
      <c r="AC33" s="161">
        <f t="shared" si="15"/>
        <v>1.9650646251511057E-3</v>
      </c>
      <c r="AD33" s="161">
        <f t="shared" si="16"/>
        <v>3.5108544812498801E-3</v>
      </c>
      <c r="AE33" s="163">
        <f t="shared" si="17"/>
        <v>4.3682065562051092E-3</v>
      </c>
    </row>
    <row r="34" spans="1:31">
      <c r="A34" s="154" t="s">
        <v>50</v>
      </c>
      <c r="B34" s="164">
        <f>INDEX(Base_Enh_PR24Query!$I$2:$I$324, MATCH('Renewal rates'!$A34&amp;RIGHT('Renewal rates'!B$28,2), Base_Enh_PR24Query!$A$2:$A$324, 0))</f>
        <v>1.2104920106122228E-3</v>
      </c>
      <c r="C34" s="155">
        <f>INDEX(Base_Enh_PR24Query!$I$2:$I$324, MATCH('Renewal rates'!$A34&amp;RIGHT('Renewal rates'!C$28,2), Base_Enh_PR24Query!$A$2:$A$324, 0))</f>
        <v>1.4387369774453243E-3</v>
      </c>
      <c r="D34" s="155">
        <f>INDEX(Base_Enh_PR24Query!$I$2:$I$324, MATCH('Renewal rates'!$A34&amp;RIGHT('Renewal rates'!D$28,2), Base_Enh_PR24Query!$A$2:$A$324, 0))</f>
        <v>1.2095299664949073E-3</v>
      </c>
      <c r="E34" s="155">
        <f>INDEX(Base_Enh_PR24Query!$I$2:$I$324, MATCH('Renewal rates'!$A34&amp;RIGHT('Renewal rates'!E$28,2), Base_Enh_PR24Query!$A$2:$A$324, 0))</f>
        <v>9.1788044970306758E-4</v>
      </c>
      <c r="F34" s="155">
        <f>INDEX(Base_Enh_PR24Query!$I$2:$I$324, MATCH('Renewal rates'!$A34&amp;RIGHT('Renewal rates'!F$28,2), Base_Enh_PR24Query!$A$2:$A$324, 0))</f>
        <v>3.3929305090168419E-4</v>
      </c>
      <c r="G34" s="155">
        <f>INDEX(Base_Enh_PR24Query!$I$2:$I$324, MATCH('Renewal rates'!$A34&amp;RIGHT('Renewal rates'!G$28,2), Base_Enh_PR24Query!$A$2:$A$324, 0))</f>
        <v>4.2465371917154441E-4</v>
      </c>
      <c r="H34" s="155">
        <f>INDEX(Base_Enh_PR24Query!$I$2:$I$324, MATCH('Renewal rates'!$A34&amp;RIGHT('Renewal rates'!H$28,2), Base_Enh_PR24Query!$A$2:$A$324, 0))</f>
        <v>4.565721145868575E-4</v>
      </c>
      <c r="I34" s="155">
        <f>INDEX(Base_Enh_PR24Query!$I$2:$I$324, MATCH('Renewal rates'!$A34&amp;RIGHT('Renewal rates'!I$28,2), Base_Enh_PR24Query!$A$2:$A$324, 0))</f>
        <v>3.2852228953707572E-4</v>
      </c>
      <c r="J34" s="155">
        <f>INDEX(Base_Enh_PR24Query!$I$2:$I$324, MATCH('Renewal rates'!$A34&amp;RIGHT('Renewal rates'!J$28,2), Base_Enh_PR24Query!$A$2:$A$324, 0))</f>
        <v>3.355668276311512E-4</v>
      </c>
      <c r="K34" s="155">
        <f>INDEX(Base_Enh_PR24Query!$I$2:$I$324, MATCH('Renewal rates'!$A34&amp;RIGHT('Renewal rates'!K$28,2), Base_Enh_PR24Query!$A$2:$A$324, 0))</f>
        <v>3.8083300402248982E-4</v>
      </c>
      <c r="L34" s="155">
        <f>INDEX(Base_Enh_PR24Query!$I$2:$I$324, MATCH('Renewal rates'!$A34&amp;RIGHT('Renewal rates'!L$28,2), Base_Enh_PR24Query!$A$2:$A$324, 0))</f>
        <v>5.4285832810665698E-4</v>
      </c>
      <c r="M34" s="155">
        <f>INDEX(Base_Enh_PR24Query!$I$2:$I$324, MATCH('Renewal rates'!$A34&amp;RIGHT('Renewal rates'!M$28,2), Base_Enh_PR24Query!$A$2:$A$324, 0))</f>
        <v>9.1424050869088225E-4</v>
      </c>
      <c r="N34" s="165">
        <f>INDEX(Base_Enh_PR24Query!$I$2:$I$324, MATCH('Renewal rates'!$A34&amp;RIGHT('Renewal rates'!N$28,2), Base_Enh_PR24Query!$A$2:$A$324, 0))</f>
        <v>4.8800591081120566E-4</v>
      </c>
      <c r="O34" s="164">
        <f>INDEX(Base_Enh_PR24Query!$I$2:$I$324, MATCH('Renewal rates'!$A34&amp;RIGHT('Renewal rates'!O$28,2), Base_Enh_PR24Query!$A$2:$A$324, 0))</f>
        <v>1.3034255647694957E-3</v>
      </c>
      <c r="P34" s="155">
        <f>INDEX(Base_Enh_PR24Query!$I$2:$I$324, MATCH('Renewal rates'!$A34&amp;RIGHT('Renewal rates'!P$28,2), Base_Enh_PR24Query!$A$2:$A$324, 0))</f>
        <v>3.1021036856554922E-3</v>
      </c>
      <c r="Q34" s="155">
        <f>INDEX(Base_Enh_PR24Query!$I$2:$I$324, MATCH('Renewal rates'!$A34&amp;RIGHT('Renewal rates'!Q$28,2), Base_Enh_PR24Query!$A$2:$A$324, 0))</f>
        <v>4.666245632403275E-3</v>
      </c>
      <c r="R34" s="155">
        <f>INDEX(Base_Enh_PR24Query!$I$2:$I$324, MATCH('Renewal rates'!$A34&amp;RIGHT('Renewal rates'!R$28,2), Base_Enh_PR24Query!$A$2:$A$324, 0))</f>
        <v>4.2723824046303404E-3</v>
      </c>
      <c r="S34" s="155">
        <f>INDEX(Base_Enh_PR24Query!$I$2:$I$324, MATCH('Renewal rates'!$A34&amp;RIGHT('Renewal rates'!S$28,2), Base_Enh_PR24Query!$A$2:$A$324, 0))</f>
        <v>4.0769189451041812E-3</v>
      </c>
      <c r="T34" s="155">
        <f>INDEX(Base_Enh_PR24Query!$I$2:$I$324, MATCH('Renewal rates'!$A34&amp;RIGHT('Renewal rates'!T$28,2), Base_Enh_PR24Query!$A$2:$A$324, 0))</f>
        <v>5.0851778816693605E-3</v>
      </c>
      <c r="U34" s="164">
        <f>INDEX('PR24 forecast'!$E$4:$E$139, MATCH('Renewal rates'!$A34&amp;RIGHT('Renewal rates'!U$28,2), 'PR24 forecast'!$A$4:$A$139,0)) / INDEX('PR24 forecast'!$D$4:$D$139, MATCH('Renewal rates'!$A34&amp;RIGHT('Renewal rates'!U$28,2), 'PR24 forecast'!$A$4:$A$139,0))</f>
        <v>1.3031601970208485E-3</v>
      </c>
      <c r="V34" s="155">
        <f>INDEX('PR24 forecast'!$E$4:$E$139, MATCH('Renewal rates'!$A34&amp;RIGHT('Renewal rates'!V$28,2), 'PR24 forecast'!$A$4:$A$139,0)) / INDEX('PR24 forecast'!$D$4:$D$139, MATCH('Renewal rates'!$A34&amp;RIGHT('Renewal rates'!V$28,2), 'PR24 forecast'!$A$4:$A$139,0))</f>
        <v>3.101123062511155E-3</v>
      </c>
      <c r="W34" s="155">
        <f>INDEX('PR24 forecast'!$E$4:$E$139, MATCH('Renewal rates'!$A34&amp;RIGHT('Renewal rates'!W$28,2), 'PR24 forecast'!$A$4:$A$139,0)) / INDEX('PR24 forecast'!$D$4:$D$139, MATCH('Renewal rates'!$A34&amp;RIGHT('Renewal rates'!W$28,2), 'PR24 forecast'!$A$4:$A$139,0))</f>
        <v>4.664459947394276E-3</v>
      </c>
      <c r="X34" s="155">
        <f>INDEX('PR24 forecast'!$E$4:$E$139, MATCH('Renewal rates'!$A34&amp;RIGHT('Renewal rates'!X$28,2), 'PR24 forecast'!$A$4:$A$139,0)) / INDEX('PR24 forecast'!$D$4:$D$139, MATCH('Renewal rates'!$A34&amp;RIGHT('Renewal rates'!X$28,2), 'PR24 forecast'!$A$4:$A$139,0))</f>
        <v>4.271015683607984E-3</v>
      </c>
      <c r="Y34" s="155">
        <f>INDEX('PR24 forecast'!$E$4:$E$139, MATCH('Renewal rates'!$A34&amp;RIGHT('Renewal rates'!Y$28,2), 'PR24 forecast'!$A$4:$A$139,0)) / INDEX('PR24 forecast'!$D$4:$D$139, MATCH('Renewal rates'!$A34&amp;RIGHT('Renewal rates'!Y$28,2), 'PR24 forecast'!$A$4:$A$139,0))</f>
        <v>4.0754918099664746E-3</v>
      </c>
      <c r="Z34" s="165">
        <f>INDEX('PR24 forecast'!$E$4:$E$139, MATCH('Renewal rates'!$A34&amp;RIGHT('Renewal rates'!Z$28,2), 'PR24 forecast'!$A$4:$A$139,0)) / INDEX('PR24 forecast'!$D$4:$D$139, MATCH('Renewal rates'!$A34&amp;RIGHT('Renewal rates'!Z$28,2), 'PR24 forecast'!$A$4:$A$139,0))</f>
        <v>5.0834058491696296E-3</v>
      </c>
      <c r="AA34" s="161">
        <f t="shared" si="13"/>
        <v>6.9132193520885139E-4</v>
      </c>
      <c r="AB34" s="161">
        <f t="shared" si="14"/>
        <v>5.3230091585247717E-4</v>
      </c>
      <c r="AC34" s="161">
        <f t="shared" si="15"/>
        <v>7.2581958973041668E-4</v>
      </c>
      <c r="AD34" s="161">
        <f t="shared" si="16"/>
        <v>1.6571495635466019E-3</v>
      </c>
      <c r="AE34" s="163">
        <f t="shared" si="17"/>
        <v>4.2390992705299045E-3</v>
      </c>
    </row>
    <row r="35" spans="1:31">
      <c r="A35" s="154" t="s">
        <v>39</v>
      </c>
      <c r="B35" s="164">
        <f>INDEX(Base_Enh_PR24Query!$I$2:$I$324, MATCH('Renewal rates'!$A35&amp;RIGHT('Renewal rates'!B$28,2), Base_Enh_PR24Query!$A$2:$A$324, 0))</f>
        <v>7.1084964917118611E-3</v>
      </c>
      <c r="C35" s="155">
        <f>INDEX(Base_Enh_PR24Query!$I$2:$I$324, MATCH('Renewal rates'!$A35&amp;RIGHT('Renewal rates'!C$28,2), Base_Enh_PR24Query!$A$2:$A$324, 0))</f>
        <v>5.6260510625286645E-3</v>
      </c>
      <c r="D35" s="155">
        <f>INDEX(Base_Enh_PR24Query!$I$2:$I$324, MATCH('Renewal rates'!$A35&amp;RIGHT('Renewal rates'!D$28,2), Base_Enh_PR24Query!$A$2:$A$324, 0))</f>
        <v>7.3473369714337983E-3</v>
      </c>
      <c r="E35" s="155">
        <f>INDEX(Base_Enh_PR24Query!$I$2:$I$324, MATCH('Renewal rates'!$A35&amp;RIGHT('Renewal rates'!E$28,2), Base_Enh_PR24Query!$A$2:$A$324, 0))</f>
        <v>4.4048848654231728E-3</v>
      </c>
      <c r="F35" s="155">
        <f>INDEX(Base_Enh_PR24Query!$I$2:$I$324, MATCH('Renewal rates'!$A35&amp;RIGHT('Renewal rates'!F$28,2), Base_Enh_PR24Query!$A$2:$A$324, 0))</f>
        <v>3.2659973388169832E-3</v>
      </c>
      <c r="G35" s="155">
        <f>INDEX(Base_Enh_PR24Query!$I$2:$I$324, MATCH('Renewal rates'!$A35&amp;RIGHT('Renewal rates'!G$28,2), Base_Enh_PR24Query!$A$2:$A$324, 0))</f>
        <v>6.2876052948255112E-3</v>
      </c>
      <c r="H35" s="155">
        <f>INDEX(Base_Enh_PR24Query!$I$2:$I$324, MATCH('Renewal rates'!$A35&amp;RIGHT('Renewal rates'!H$28,2), Base_Enh_PR24Query!$A$2:$A$324, 0))</f>
        <v>6.5937359508466955E-3</v>
      </c>
      <c r="I35" s="155">
        <f>INDEX(Base_Enh_PR24Query!$I$2:$I$324, MATCH('Renewal rates'!$A35&amp;RIGHT('Renewal rates'!I$28,2), Base_Enh_PR24Query!$A$2:$A$324, 0))</f>
        <v>6.5400465866332193E-3</v>
      </c>
      <c r="J35" s="155">
        <f>INDEX(Base_Enh_PR24Query!$I$2:$I$324, MATCH('Renewal rates'!$A35&amp;RIGHT('Renewal rates'!J$28,2), Base_Enh_PR24Query!$A$2:$A$324, 0))</f>
        <v>4.4661466087060082E-3</v>
      </c>
      <c r="K35" s="155">
        <f>INDEX(Base_Enh_PR24Query!$I$2:$I$324, MATCH('Renewal rates'!$A35&amp;RIGHT('Renewal rates'!K$28,2), Base_Enh_PR24Query!$A$2:$A$324, 0))</f>
        <v>2.5225546058879394E-3</v>
      </c>
      <c r="L35" s="155">
        <f>INDEX(Base_Enh_PR24Query!$I$2:$I$324, MATCH('Renewal rates'!$A35&amp;RIGHT('Renewal rates'!L$28,2), Base_Enh_PR24Query!$A$2:$A$324, 0))</f>
        <v>4.9425831656209297E-3</v>
      </c>
      <c r="M35" s="155">
        <f>INDEX(Base_Enh_PR24Query!$I$2:$I$324, MATCH('Renewal rates'!$A35&amp;RIGHT('Renewal rates'!M$28,2), Base_Enh_PR24Query!$A$2:$A$324, 0))</f>
        <v>3.3367783847630299E-3</v>
      </c>
      <c r="N35" s="165">
        <f>INDEX(Base_Enh_PR24Query!$I$2:$I$324, MATCH('Renewal rates'!$A35&amp;RIGHT('Renewal rates'!N$28,2), Base_Enh_PR24Query!$A$2:$A$324, 0))</f>
        <v>3.1387503666764445E-3</v>
      </c>
      <c r="O35" s="164">
        <f>INDEX(Base_Enh_PR24Query!$I$2:$I$324, MATCH('Renewal rates'!$A35&amp;RIGHT('Renewal rates'!O$28,2), Base_Enh_PR24Query!$A$2:$A$324, 0))</f>
        <v>3.6737692872887582E-3</v>
      </c>
      <c r="P35" s="155">
        <f>INDEX(Base_Enh_PR24Query!$I$2:$I$324, MATCH('Renewal rates'!$A35&amp;RIGHT('Renewal rates'!P$28,2), Base_Enh_PR24Query!$A$2:$A$324, 0))</f>
        <v>2.4036347647662317E-3</v>
      </c>
      <c r="Q35" s="155">
        <f>INDEX(Base_Enh_PR24Query!$I$2:$I$324, MATCH('Renewal rates'!$A35&amp;RIGHT('Renewal rates'!Q$28,2), Base_Enh_PR24Query!$A$2:$A$324, 0))</f>
        <v>2.3952095808383233E-3</v>
      </c>
      <c r="R35" s="155">
        <f>INDEX(Base_Enh_PR24Query!$I$2:$I$324, MATCH('Renewal rates'!$A35&amp;RIGHT('Renewal rates'!R$28,2), Base_Enh_PR24Query!$A$2:$A$324, 0))</f>
        <v>2.3875382151696024E-3</v>
      </c>
      <c r="S35" s="155">
        <f>INDEX(Base_Enh_PR24Query!$I$2:$I$324, MATCH('Renewal rates'!$A35&amp;RIGHT('Renewal rates'!S$28,2), Base_Enh_PR24Query!$A$2:$A$324, 0))</f>
        <v>2.3799158322449568E-3</v>
      </c>
      <c r="T35" s="155">
        <f>INDEX(Base_Enh_PR24Query!$I$2:$I$324, MATCH('Renewal rates'!$A35&amp;RIGHT('Renewal rates'!T$28,2), Base_Enh_PR24Query!$A$2:$A$324, 0))</f>
        <v>2.3730285052814353E-3</v>
      </c>
      <c r="U35" s="164">
        <f>INDEX('PR24 forecast'!$E$4:$E$139, MATCH('Renewal rates'!$A35&amp;RIGHT('Renewal rates'!U$28,2), 'PR24 forecast'!$A$4:$A$139,0)) / INDEX('PR24 forecast'!$D$4:$D$139, MATCH('Renewal rates'!$A35&amp;RIGHT('Renewal rates'!U$28,2), 'PR24 forecast'!$A$4:$A$139,0))</f>
        <v>3.6737692872887582E-3</v>
      </c>
      <c r="V35" s="155">
        <f>INDEX('PR24 forecast'!$E$4:$E$139, MATCH('Renewal rates'!$A35&amp;RIGHT('Renewal rates'!V$28,2), 'PR24 forecast'!$A$4:$A$139,0)) / INDEX('PR24 forecast'!$D$4:$D$139, MATCH('Renewal rates'!$A35&amp;RIGHT('Renewal rates'!V$28,2), 'PR24 forecast'!$A$4:$A$139,0))</f>
        <v>2.4036347647662317E-3</v>
      </c>
      <c r="W35" s="155">
        <f>INDEX('PR24 forecast'!$E$4:$E$139, MATCH('Renewal rates'!$A35&amp;RIGHT('Renewal rates'!W$28,2), 'PR24 forecast'!$A$4:$A$139,0)) / INDEX('PR24 forecast'!$D$4:$D$139, MATCH('Renewal rates'!$A35&amp;RIGHT('Renewal rates'!W$28,2), 'PR24 forecast'!$A$4:$A$139,0))</f>
        <v>2.3952095808383233E-3</v>
      </c>
      <c r="X35" s="155">
        <f>INDEX('PR24 forecast'!$E$4:$E$139, MATCH('Renewal rates'!$A35&amp;RIGHT('Renewal rates'!X$28,2), 'PR24 forecast'!$A$4:$A$139,0)) / INDEX('PR24 forecast'!$D$4:$D$139, MATCH('Renewal rates'!$A35&amp;RIGHT('Renewal rates'!X$28,2), 'PR24 forecast'!$A$4:$A$139,0))</f>
        <v>2.3875382151696024E-3</v>
      </c>
      <c r="Y35" s="155">
        <f>INDEX('PR24 forecast'!$E$4:$E$139, MATCH('Renewal rates'!$A35&amp;RIGHT('Renewal rates'!Y$28,2), 'PR24 forecast'!$A$4:$A$139,0)) / INDEX('PR24 forecast'!$D$4:$D$139, MATCH('Renewal rates'!$A35&amp;RIGHT('Renewal rates'!Y$28,2), 'PR24 forecast'!$A$4:$A$139,0))</f>
        <v>2.3799158322449568E-3</v>
      </c>
      <c r="Z35" s="165">
        <f>INDEX('PR24 forecast'!$E$4:$E$139, MATCH('Renewal rates'!$A35&amp;RIGHT('Renewal rates'!Z$28,2), 'PR24 forecast'!$A$4:$A$139,0)) / INDEX('PR24 forecast'!$D$4:$D$139, MATCH('Renewal rates'!$A35&amp;RIGHT('Renewal rates'!Z$28,2), 'PR24 forecast'!$A$4:$A$139,0))</f>
        <v>2.3730285052814353E-3</v>
      </c>
      <c r="AA35" s="161">
        <f t="shared" si="13"/>
        <v>5.0446898226057125E-3</v>
      </c>
      <c r="AB35" s="161">
        <f t="shared" si="14"/>
        <v>3.6813626263308705E-3</v>
      </c>
      <c r="AC35" s="161">
        <f t="shared" si="15"/>
        <v>3.5228871620474208E-3</v>
      </c>
      <c r="AD35" s="161">
        <f t="shared" si="16"/>
        <v>4.2733717831296624E-3</v>
      </c>
      <c r="AE35" s="163">
        <f t="shared" si="17"/>
        <v>2.3878653796601101E-3</v>
      </c>
    </row>
    <row r="36" spans="1:31">
      <c r="A36" s="154" t="s">
        <v>41</v>
      </c>
      <c r="B36" s="164">
        <f>INDEX(Base_Enh_PR24Query!$I$2:$I$324, MATCH('Renewal rates'!$A36&amp;RIGHT('Renewal rates'!B$28,2), Base_Enh_PR24Query!$A$2:$A$324, 0))</f>
        <v>4.152372971604648E-3</v>
      </c>
      <c r="C36" s="155">
        <f>INDEX(Base_Enh_PR24Query!$I$2:$I$324, MATCH('Renewal rates'!$A36&amp;RIGHT('Renewal rates'!C$28,2), Base_Enh_PR24Query!$A$2:$A$324, 0))</f>
        <v>3.5733877043048305E-3</v>
      </c>
      <c r="D36" s="155">
        <f>INDEX(Base_Enh_PR24Query!$I$2:$I$324, MATCH('Renewal rates'!$A36&amp;RIGHT('Renewal rates'!D$28,2), Base_Enh_PR24Query!$A$2:$A$324, 0))</f>
        <v>6.2898373287919628E-3</v>
      </c>
      <c r="E36" s="155">
        <f>INDEX(Base_Enh_PR24Query!$I$2:$I$324, MATCH('Renewal rates'!$A36&amp;RIGHT('Renewal rates'!E$28,2), Base_Enh_PR24Query!$A$2:$A$324, 0))</f>
        <v>1.262656928566059E-2</v>
      </c>
      <c r="F36" s="155">
        <f>INDEX(Base_Enh_PR24Query!$I$2:$I$324, MATCH('Renewal rates'!$A36&amp;RIGHT('Renewal rates'!F$28,2), Base_Enh_PR24Query!$A$2:$A$324, 0))</f>
        <v>6.3999984002189765E-3</v>
      </c>
      <c r="G36" s="155">
        <f>INDEX(Base_Enh_PR24Query!$I$2:$I$324, MATCH('Renewal rates'!$A36&amp;RIGHT('Renewal rates'!G$28,2), Base_Enh_PR24Query!$A$2:$A$324, 0))</f>
        <v>3.3005200194192283E-3</v>
      </c>
      <c r="H36" s="155">
        <f>INDEX(Base_Enh_PR24Query!$I$2:$I$324, MATCH('Renewal rates'!$A36&amp;RIGHT('Renewal rates'!H$28,2), Base_Enh_PR24Query!$A$2:$A$324, 0))</f>
        <v>4.4896098902352504E-3</v>
      </c>
      <c r="I36" s="155">
        <f>INDEX(Base_Enh_PR24Query!$I$2:$I$324, MATCH('Renewal rates'!$A36&amp;RIGHT('Renewal rates'!I$28,2), Base_Enh_PR24Query!$A$2:$A$324, 0))</f>
        <v>2.9588778404823924E-3</v>
      </c>
      <c r="J36" s="155">
        <f>INDEX(Base_Enh_PR24Query!$I$2:$I$324, MATCH('Renewal rates'!$A36&amp;RIGHT('Renewal rates'!J$28,2), Base_Enh_PR24Query!$A$2:$A$324, 0))</f>
        <v>4.716903752367026E-3</v>
      </c>
      <c r="K36" s="155">
        <f>INDEX(Base_Enh_PR24Query!$I$2:$I$324, MATCH('Renewal rates'!$A36&amp;RIGHT('Renewal rates'!K$28,2), Base_Enh_PR24Query!$A$2:$A$324, 0))</f>
        <v>1.0289051851699251E-3</v>
      </c>
      <c r="L36" s="155">
        <f>INDEX(Base_Enh_PR24Query!$I$2:$I$324, MATCH('Renewal rates'!$A36&amp;RIGHT('Renewal rates'!L$28,2), Base_Enh_PR24Query!$A$2:$A$324, 0))</f>
        <v>2.2927073107457843E-3</v>
      </c>
      <c r="M36" s="155">
        <f>INDEX(Base_Enh_PR24Query!$I$2:$I$324, MATCH('Renewal rates'!$A36&amp;RIGHT('Renewal rates'!M$28,2), Base_Enh_PR24Query!$A$2:$A$324, 0))</f>
        <v>4.6128728158596538E-3</v>
      </c>
      <c r="N36" s="165">
        <f>INDEX(Base_Enh_PR24Query!$I$2:$I$324, MATCH('Renewal rates'!$A36&amp;RIGHT('Renewal rates'!N$28,2), Base_Enh_PR24Query!$A$2:$A$324, 0))</f>
        <v>1.7579675626630373E-3</v>
      </c>
      <c r="O36" s="164">
        <f>INDEX(Base_Enh_PR24Query!$I$2:$I$324, MATCH('Renewal rates'!$A36&amp;RIGHT('Renewal rates'!O$28,2), Base_Enh_PR24Query!$A$2:$A$324, 0))</f>
        <v>2.9954476224839776E-3</v>
      </c>
      <c r="P36" s="155">
        <f>INDEX(Base_Enh_PR24Query!$I$2:$I$324, MATCH('Renewal rates'!$A36&amp;RIGHT('Renewal rates'!P$28,2), Base_Enh_PR24Query!$A$2:$A$324, 0))</f>
        <v>2.9954409043476673E-3</v>
      </c>
      <c r="Q36" s="155">
        <f>INDEX(Base_Enh_PR24Query!$I$2:$I$324, MATCH('Renewal rates'!$A36&amp;RIGHT('Renewal rates'!Q$28,2), Base_Enh_PR24Query!$A$2:$A$324, 0))</f>
        <v>2.9954341865367942E-3</v>
      </c>
      <c r="R36" s="155">
        <f>INDEX(Base_Enh_PR24Query!$I$2:$I$324, MATCH('Renewal rates'!$A36&amp;RIGHT('Renewal rates'!R$28,2), Base_Enh_PR24Query!$A$2:$A$324, 0))</f>
        <v>2.9954274690814691E-3</v>
      </c>
      <c r="S36" s="155">
        <f>INDEX(Base_Enh_PR24Query!$I$2:$I$324, MATCH('Renewal rates'!$A36&amp;RIGHT('Renewal rates'!S$28,2), Base_Enh_PR24Query!$A$2:$A$324, 0))</f>
        <v>2.9954207520118035E-3</v>
      </c>
      <c r="T36" s="155">
        <f>INDEX(Base_Enh_PR24Query!$I$2:$I$324, MATCH('Renewal rates'!$A36&amp;RIGHT('Renewal rates'!T$28,2), Base_Enh_PR24Query!$A$2:$A$324, 0))</f>
        <v>2.9954140353578972E-3</v>
      </c>
      <c r="U36" s="164">
        <f>INDEX('PR24 forecast'!$E$4:$E$139, MATCH('Renewal rates'!$A36&amp;RIGHT('Renewal rates'!U$28,2), 'PR24 forecast'!$A$4:$A$139,0)) / INDEX('PR24 forecast'!$D$4:$D$139, MATCH('Renewal rates'!$A36&amp;RIGHT('Renewal rates'!U$28,2), 'PR24 forecast'!$A$4:$A$139,0))</f>
        <v>2.9954476224839776E-3</v>
      </c>
      <c r="V36" s="155">
        <f>INDEX('PR24 forecast'!$E$4:$E$139, MATCH('Renewal rates'!$A36&amp;RIGHT('Renewal rates'!V$28,2), 'PR24 forecast'!$A$4:$A$139,0)) / INDEX('PR24 forecast'!$D$4:$D$139, MATCH('Renewal rates'!$A36&amp;RIGHT('Renewal rates'!V$28,2), 'PR24 forecast'!$A$4:$A$139,0))</f>
        <v>2.9954409043476673E-3</v>
      </c>
      <c r="W36" s="155">
        <f>INDEX('PR24 forecast'!$E$4:$E$139, MATCH('Renewal rates'!$A36&amp;RIGHT('Renewal rates'!W$28,2), 'PR24 forecast'!$A$4:$A$139,0)) / INDEX('PR24 forecast'!$D$4:$D$139, MATCH('Renewal rates'!$A36&amp;RIGHT('Renewal rates'!W$28,2), 'PR24 forecast'!$A$4:$A$139,0))</f>
        <v>2.9954341865367942E-3</v>
      </c>
      <c r="X36" s="155">
        <f>INDEX('PR24 forecast'!$E$4:$E$139, MATCH('Renewal rates'!$A36&amp;RIGHT('Renewal rates'!X$28,2), 'PR24 forecast'!$A$4:$A$139,0)) / INDEX('PR24 forecast'!$D$4:$D$139, MATCH('Renewal rates'!$A36&amp;RIGHT('Renewal rates'!X$28,2), 'PR24 forecast'!$A$4:$A$139,0))</f>
        <v>2.9954274690814691E-3</v>
      </c>
      <c r="Y36" s="155">
        <f>INDEX('PR24 forecast'!$E$4:$E$139, MATCH('Renewal rates'!$A36&amp;RIGHT('Renewal rates'!Y$28,2), 'PR24 forecast'!$A$4:$A$139,0)) / INDEX('PR24 forecast'!$D$4:$D$139, MATCH('Renewal rates'!$A36&amp;RIGHT('Renewal rates'!Y$28,2), 'PR24 forecast'!$A$4:$A$139,0))</f>
        <v>2.9954207520118035E-3</v>
      </c>
      <c r="Z36" s="165">
        <f>INDEX('PR24 forecast'!$E$4:$E$139, MATCH('Renewal rates'!$A36&amp;RIGHT('Renewal rates'!Z$28,2), 'PR24 forecast'!$A$4:$A$139,0)) / INDEX('PR24 forecast'!$D$4:$D$139, MATCH('Renewal rates'!$A36&amp;RIGHT('Renewal rates'!Z$28,2), 'PR24 forecast'!$A$4:$A$139,0))</f>
        <v>2.9954140353578972E-3</v>
      </c>
      <c r="AA36" s="161">
        <f t="shared" si="13"/>
        <v>4.4769638513479466E-3</v>
      </c>
      <c r="AB36" s="161">
        <f t="shared" si="14"/>
        <v>2.8818713253610851E-3</v>
      </c>
      <c r="AC36" s="161">
        <f t="shared" si="15"/>
        <v>2.5375800993844757E-3</v>
      </c>
      <c r="AD36" s="161">
        <f t="shared" si="16"/>
        <v>4.0091113177548902E-3</v>
      </c>
      <c r="AE36" s="163">
        <f t="shared" si="17"/>
        <v>2.9954274694671259E-3</v>
      </c>
    </row>
    <row r="37" spans="1:31">
      <c r="A37" s="154" t="s">
        <v>42</v>
      </c>
      <c r="B37" s="164">
        <f>INDEX(Base_Enh_PR24Query!$I$2:$I$324, MATCH('Renewal rates'!$A37&amp;RIGHT('Renewal rates'!B$28,2), Base_Enh_PR24Query!$A$2:$A$324, 0))</f>
        <v>4.3572372304837934E-3</v>
      </c>
      <c r="C37" s="155">
        <f>INDEX(Base_Enh_PR24Query!$I$2:$I$324, MATCH('Renewal rates'!$A37&amp;RIGHT('Renewal rates'!C$28,2), Base_Enh_PR24Query!$A$2:$A$324, 0))</f>
        <v>4.4665495036781307E-3</v>
      </c>
      <c r="D37" s="155">
        <f>INDEX(Base_Enh_PR24Query!$I$2:$I$324, MATCH('Renewal rates'!$A37&amp;RIGHT('Renewal rates'!D$28,2), Base_Enh_PR24Query!$A$2:$A$324, 0))</f>
        <v>2.8467532467532468E-3</v>
      </c>
      <c r="E37" s="155">
        <f>INDEX(Base_Enh_PR24Query!$I$2:$I$324, MATCH('Renewal rates'!$A37&amp;RIGHT('Renewal rates'!E$28,2), Base_Enh_PR24Query!$A$2:$A$324, 0))</f>
        <v>3.1003790886680797E-3</v>
      </c>
      <c r="F37" s="155">
        <f>INDEX(Base_Enh_PR24Query!$I$2:$I$324, MATCH('Renewal rates'!$A37&amp;RIGHT('Renewal rates'!F$28,2), Base_Enh_PR24Query!$A$2:$A$324, 0))</f>
        <v>1.7779923445636057E-3</v>
      </c>
      <c r="G37" s="155">
        <f>INDEX(Base_Enh_PR24Query!$I$2:$I$324, MATCH('Renewal rates'!$A37&amp;RIGHT('Renewal rates'!G$28,2), Base_Enh_PR24Query!$A$2:$A$324, 0))</f>
        <v>9.5760831484292884E-4</v>
      </c>
      <c r="H37" s="155">
        <f>INDEX(Base_Enh_PR24Query!$I$2:$I$324, MATCH('Renewal rates'!$A37&amp;RIGHT('Renewal rates'!H$28,2), Base_Enh_PR24Query!$A$2:$A$324, 0))</f>
        <v>1.3446688599041085E-3</v>
      </c>
      <c r="I37" s="155">
        <f>INDEX(Base_Enh_PR24Query!$I$2:$I$324, MATCH('Renewal rates'!$A37&amp;RIGHT('Renewal rates'!I$28,2), Base_Enh_PR24Query!$A$2:$A$324, 0))</f>
        <v>2.129343998252846E-3</v>
      </c>
      <c r="J37" s="155">
        <f>INDEX(Base_Enh_PR24Query!$I$2:$I$324, MATCH('Renewal rates'!$A37&amp;RIGHT('Renewal rates'!J$28,2), Base_Enh_PR24Query!$A$2:$A$324, 0))</f>
        <v>1.7203513909224012E-3</v>
      </c>
      <c r="K37" s="155">
        <f>INDEX(Base_Enh_PR24Query!$I$2:$I$324, MATCH('Renewal rates'!$A37&amp;RIGHT('Renewal rates'!K$28,2), Base_Enh_PR24Query!$A$2:$A$324, 0))</f>
        <v>1.4842413054316629E-3</v>
      </c>
      <c r="L37" s="155">
        <f>INDEX(Base_Enh_PR24Query!$I$2:$I$324, MATCH('Renewal rates'!$A37&amp;RIGHT('Renewal rates'!L$28,2), Base_Enh_PR24Query!$A$2:$A$324, 0))</f>
        <v>5.8543773862951309E-4</v>
      </c>
      <c r="M37" s="155">
        <f>INDEX(Base_Enh_PR24Query!$I$2:$I$324, MATCH('Renewal rates'!$A37&amp;RIGHT('Renewal rates'!M$28,2), Base_Enh_PR24Query!$A$2:$A$324, 0))</f>
        <v>8.3745970555980191E-4</v>
      </c>
      <c r="N37" s="165">
        <f>INDEX(Base_Enh_PR24Query!$I$2:$I$324, MATCH('Renewal rates'!$A37&amp;RIGHT('Renewal rates'!N$28,2), Base_Enh_PR24Query!$A$2:$A$324, 0))</f>
        <v>5.9608495864663796E-4</v>
      </c>
      <c r="O37" s="164">
        <f>INDEX(Base_Enh_PR24Query!$I$2:$I$324, MATCH('Renewal rates'!$A37&amp;RIGHT('Renewal rates'!O$28,2), Base_Enh_PR24Query!$A$2:$A$324, 0))</f>
        <v>2.2060579563166018E-3</v>
      </c>
      <c r="P37" s="155">
        <f>INDEX(Base_Enh_PR24Query!$I$2:$I$324, MATCH('Renewal rates'!$A37&amp;RIGHT('Renewal rates'!P$28,2), Base_Enh_PR24Query!$A$2:$A$324, 0))</f>
        <v>4.1771703045710611E-3</v>
      </c>
      <c r="Q37" s="155">
        <f>INDEX(Base_Enh_PR24Query!$I$2:$I$324, MATCH('Renewal rates'!$A37&amp;RIGHT('Renewal rates'!Q$28,2), Base_Enh_PR24Query!$A$2:$A$324, 0))</f>
        <v>4.1588152079403027E-3</v>
      </c>
      <c r="R37" s="155">
        <f>INDEX(Base_Enh_PR24Query!$I$2:$I$324, MATCH('Renewal rates'!$A37&amp;RIGHT('Renewal rates'!R$28,2), Base_Enh_PR24Query!$A$2:$A$324, 0))</f>
        <v>4.1505134837696526E-3</v>
      </c>
      <c r="S37" s="155">
        <f>INDEX(Base_Enh_PR24Query!$I$2:$I$324, MATCH('Renewal rates'!$A37&amp;RIGHT('Renewal rates'!S$28,2), Base_Enh_PR24Query!$A$2:$A$324, 0))</f>
        <v>4.1284411479750351E-3</v>
      </c>
      <c r="T37" s="155">
        <f>INDEX(Base_Enh_PR24Query!$I$2:$I$324, MATCH('Renewal rates'!$A37&amp;RIGHT('Renewal rates'!T$28,2), Base_Enh_PR24Query!$A$2:$A$324, 0))</f>
        <v>4.0989293254583767E-3</v>
      </c>
      <c r="U37" s="164">
        <f>INDEX('PR24 forecast'!$E$4:$E$139, MATCH('Renewal rates'!$A37&amp;RIGHT('Renewal rates'!U$28,2), 'PR24 forecast'!$A$4:$A$139,0)) / INDEX('PR24 forecast'!$D$4:$D$139, MATCH('Renewal rates'!$A37&amp;RIGHT('Renewal rates'!U$28,2), 'PR24 forecast'!$A$4:$A$139,0))</f>
        <v>2.8888726697069993E-4</v>
      </c>
      <c r="V37" s="155">
        <f>INDEX('PR24 forecast'!$E$4:$E$139, MATCH('Renewal rates'!$A37&amp;RIGHT('Renewal rates'!V$28,2), 'PR24 forecast'!$A$4:$A$139,0)) / INDEX('PR24 forecast'!$D$4:$D$139, MATCH('Renewal rates'!$A37&amp;RIGHT('Renewal rates'!V$28,2), 'PR24 forecast'!$A$4:$A$139,0))</f>
        <v>5.1356368680379556E-3</v>
      </c>
      <c r="W37" s="155">
        <f>INDEX('PR24 forecast'!$E$4:$E$139, MATCH('Renewal rates'!$A37&amp;RIGHT('Renewal rates'!W$28,2), 'PR24 forecast'!$A$4:$A$139,0)) / INDEX('PR24 forecast'!$D$4:$D$139, MATCH('Renewal rates'!$A37&amp;RIGHT('Renewal rates'!W$28,2), 'PR24 forecast'!$A$4:$A$139,0))</f>
        <v>5.1079229006365679E-3</v>
      </c>
      <c r="X37" s="155">
        <f>INDEX('PR24 forecast'!$E$4:$E$139, MATCH('Renewal rates'!$A37&amp;RIGHT('Renewal rates'!X$28,2), 'PR24 forecast'!$A$4:$A$139,0)) / INDEX('PR24 forecast'!$D$4:$D$139, MATCH('Renewal rates'!$A37&amp;RIGHT('Renewal rates'!X$28,2), 'PR24 forecast'!$A$4:$A$139,0))</f>
        <v>5.0780520294320276E-3</v>
      </c>
      <c r="Y37" s="155">
        <f>INDEX('PR24 forecast'!$E$4:$E$139, MATCH('Renewal rates'!$A37&amp;RIGHT('Renewal rates'!Y$28,2), 'PR24 forecast'!$A$4:$A$139,0)) / INDEX('PR24 forecast'!$D$4:$D$139, MATCH('Renewal rates'!$A37&amp;RIGHT('Renewal rates'!Y$28,2), 'PR24 forecast'!$A$4:$A$139,0))</f>
        <v>5.0450258446651788E-3</v>
      </c>
      <c r="Z37" s="165">
        <f>INDEX('PR24 forecast'!$E$4:$E$139, MATCH('Renewal rates'!$A37&amp;RIGHT('Renewal rates'!Z$28,2), 'PR24 forecast'!$A$4:$A$139,0)) / INDEX('PR24 forecast'!$D$4:$D$139, MATCH('Renewal rates'!$A37&amp;RIGHT('Renewal rates'!Z$28,2), 'PR24 forecast'!$A$4:$A$139,0))</f>
        <v>4.9902115284536763E-3</v>
      </c>
      <c r="AA37" s="161">
        <f t="shared" si="13"/>
        <v>2.0157005912566734E-3</v>
      </c>
      <c r="AB37" s="161">
        <f t="shared" si="14"/>
        <v>1.0447150198380033E-3</v>
      </c>
      <c r="AC37" s="161">
        <f t="shared" si="15"/>
        <v>7.5842219504766316E-4</v>
      </c>
      <c r="AD37" s="161">
        <f t="shared" si="16"/>
        <v>2.7289391644490981E-3</v>
      </c>
      <c r="AE37" s="163">
        <f t="shared" si="17"/>
        <v>5.0713698342450802E-3</v>
      </c>
    </row>
    <row r="38" spans="1:31">
      <c r="A38" s="154" t="s">
        <v>43</v>
      </c>
      <c r="B38" s="164">
        <f>INDEX(Base_Enh_PR24Query!$I$2:$I$324, MATCH('Renewal rates'!$A38&amp;RIGHT('Renewal rates'!B$28,2), Base_Enh_PR24Query!$A$2:$A$324, 0))</f>
        <v>5.8737365378347794E-3</v>
      </c>
      <c r="C38" s="155">
        <f>INDEX(Base_Enh_PR24Query!$I$2:$I$324, MATCH('Renewal rates'!$A38&amp;RIGHT('Renewal rates'!C$28,2), Base_Enh_PR24Query!$A$2:$A$324, 0))</f>
        <v>5.1743456713362205E-3</v>
      </c>
      <c r="D38" s="155">
        <f>INDEX(Base_Enh_PR24Query!$I$2:$I$324, MATCH('Renewal rates'!$A38&amp;RIGHT('Renewal rates'!D$28,2), Base_Enh_PR24Query!$A$2:$A$324, 0))</f>
        <v>2.0177151756902768E-3</v>
      </c>
      <c r="E38" s="155">
        <f>INDEX(Base_Enh_PR24Query!$I$2:$I$324, MATCH('Renewal rates'!$A38&amp;RIGHT('Renewal rates'!E$28,2), Base_Enh_PR24Query!$A$2:$A$324, 0))</f>
        <v>9.0844366851738792E-4</v>
      </c>
      <c r="F38" s="155">
        <f>INDEX(Base_Enh_PR24Query!$I$2:$I$324, MATCH('Renewal rates'!$A38&amp;RIGHT('Renewal rates'!F$28,2), Base_Enh_PR24Query!$A$2:$A$324, 0))</f>
        <v>2.2041681180451269E-4</v>
      </c>
      <c r="G38" s="155">
        <f>INDEX(Base_Enh_PR24Query!$I$2:$I$324, MATCH('Renewal rates'!$A38&amp;RIGHT('Renewal rates'!G$28,2), Base_Enh_PR24Query!$A$2:$A$324, 0))</f>
        <v>1.6733590816265065E-3</v>
      </c>
      <c r="H38" s="155">
        <f>INDEX(Base_Enh_PR24Query!$I$2:$I$324, MATCH('Renewal rates'!$A38&amp;RIGHT('Renewal rates'!H$28,2), Base_Enh_PR24Query!$A$2:$A$324, 0))</f>
        <v>2.3106596706824541E-3</v>
      </c>
      <c r="I38" s="155">
        <f>INDEX(Base_Enh_PR24Query!$I$2:$I$324, MATCH('Renewal rates'!$A38&amp;RIGHT('Renewal rates'!I$28,2), Base_Enh_PR24Query!$A$2:$A$324, 0))</f>
        <v>7.9543500139858019E-4</v>
      </c>
      <c r="J38" s="155">
        <f>INDEX(Base_Enh_PR24Query!$I$2:$I$324, MATCH('Renewal rates'!$A38&amp;RIGHT('Renewal rates'!J$28,2), Base_Enh_PR24Query!$A$2:$A$324, 0))</f>
        <v>0</v>
      </c>
      <c r="K38" s="155">
        <f>INDEX(Base_Enh_PR24Query!$I$2:$I$324, MATCH('Renewal rates'!$A38&amp;RIGHT('Renewal rates'!K$28,2), Base_Enh_PR24Query!$A$2:$A$324, 0))</f>
        <v>0</v>
      </c>
      <c r="L38" s="155">
        <f>INDEX(Base_Enh_PR24Query!$I$2:$I$324, MATCH('Renewal rates'!$A38&amp;RIGHT('Renewal rates'!L$28,2), Base_Enh_PR24Query!$A$2:$A$324, 0))</f>
        <v>0</v>
      </c>
      <c r="M38" s="155">
        <f>INDEX(Base_Enh_PR24Query!$I$2:$I$324, MATCH('Renewal rates'!$A38&amp;RIGHT('Renewal rates'!M$28,2), Base_Enh_PR24Query!$A$2:$A$324, 0))</f>
        <v>3.1611466340972775E-4</v>
      </c>
      <c r="N38" s="165">
        <f>INDEX(Base_Enh_PR24Query!$I$2:$I$324, MATCH('Renewal rates'!$A38&amp;RIGHT('Renewal rates'!N$28,2), Base_Enh_PR24Query!$A$2:$A$324, 0))</f>
        <v>1.0377453015186866E-3</v>
      </c>
      <c r="O38" s="164">
        <f>INDEX(Base_Enh_PR24Query!$I$2:$I$324, MATCH('Renewal rates'!$A38&amp;RIGHT('Renewal rates'!O$28,2), Base_Enh_PR24Query!$A$2:$A$324, 0))</f>
        <v>7.1871797791187519E-4</v>
      </c>
      <c r="P38" s="155">
        <f>INDEX(Base_Enh_PR24Query!$I$2:$I$324, MATCH('Renewal rates'!$A38&amp;RIGHT('Renewal rates'!P$28,2), Base_Enh_PR24Query!$A$2:$A$324, 0))</f>
        <v>3.6326556624816774E-3</v>
      </c>
      <c r="Q38" s="155">
        <f>INDEX(Base_Enh_PR24Query!$I$2:$I$324, MATCH('Renewal rates'!$A38&amp;RIGHT('Renewal rates'!Q$28,2), Base_Enh_PR24Query!$A$2:$A$324, 0))</f>
        <v>4.8482456820311886E-3</v>
      </c>
      <c r="R38" s="155">
        <f>INDEX(Base_Enh_PR24Query!$I$2:$I$324, MATCH('Renewal rates'!$A38&amp;RIGHT('Renewal rates'!R$28,2), Base_Enh_PR24Query!$A$2:$A$324, 0))</f>
        <v>5.7708161582852432E-3</v>
      </c>
      <c r="S38" s="155">
        <f>INDEX(Base_Enh_PR24Query!$I$2:$I$324, MATCH('Renewal rates'!$A38&amp;RIGHT('Renewal rates'!S$28,2), Base_Enh_PR24Query!$A$2:$A$324, 0))</f>
        <v>7.1477242702785385E-3</v>
      </c>
      <c r="T38" s="155">
        <f>INDEX(Base_Enh_PR24Query!$I$2:$I$324, MATCH('Renewal rates'!$A38&amp;RIGHT('Renewal rates'!T$28,2), Base_Enh_PR24Query!$A$2:$A$324, 0))</f>
        <v>8.0271261504394151E-3</v>
      </c>
      <c r="U38" s="164">
        <f>INDEX('PR24 forecast'!$E$4:$E$139, MATCH('Renewal rates'!$A38&amp;RIGHT('Renewal rates'!U$28,2), 'PR24 forecast'!$A$4:$A$139,0)) / INDEX('PR24 forecast'!$D$4:$D$139, MATCH('Renewal rates'!$A38&amp;RIGHT('Renewal rates'!U$28,2), 'PR24 forecast'!$A$4:$A$139,0))</f>
        <v>0</v>
      </c>
      <c r="V38" s="155">
        <f>INDEX('PR24 forecast'!$E$4:$E$139, MATCH('Renewal rates'!$A38&amp;RIGHT('Renewal rates'!V$28,2), 'PR24 forecast'!$A$4:$A$139,0)) / INDEX('PR24 forecast'!$D$4:$D$139, MATCH('Renewal rates'!$A38&amp;RIGHT('Renewal rates'!V$28,2), 'PR24 forecast'!$A$4:$A$139,0))</f>
        <v>2.8861931240276289E-3</v>
      </c>
      <c r="W38" s="155">
        <f>INDEX('PR24 forecast'!$E$4:$E$139, MATCH('Renewal rates'!$A38&amp;RIGHT('Renewal rates'!W$28,2), 'PR24 forecast'!$A$4:$A$139,0)) / INDEX('PR24 forecast'!$D$4:$D$139, MATCH('Renewal rates'!$A38&amp;RIGHT('Renewal rates'!W$28,2), 'PR24 forecast'!$A$4:$A$139,0))</f>
        <v>4.2828878457539668E-3</v>
      </c>
      <c r="X38" s="155">
        <f>INDEX('PR24 forecast'!$E$4:$E$139, MATCH('Renewal rates'!$A38&amp;RIGHT('Renewal rates'!X$28,2), 'PR24 forecast'!$A$4:$A$139,0)) / INDEX('PR24 forecast'!$D$4:$D$139, MATCH('Renewal rates'!$A38&amp;RIGHT('Renewal rates'!X$28,2), 'PR24 forecast'!$A$4:$A$139,0))</f>
        <v>4.7886621999627971E-3</v>
      </c>
      <c r="Y38" s="155">
        <f>INDEX('PR24 forecast'!$E$4:$E$139, MATCH('Renewal rates'!$A38&amp;RIGHT('Renewal rates'!Y$28,2), 'PR24 forecast'!$A$4:$A$139,0)) / INDEX('PR24 forecast'!$D$4:$D$139, MATCH('Renewal rates'!$A38&amp;RIGHT('Renewal rates'!Y$28,2), 'PR24 forecast'!$A$4:$A$139,0))</f>
        <v>6.1627878546554474E-3</v>
      </c>
      <c r="Z38" s="165">
        <f>INDEX('PR24 forecast'!$E$4:$E$139, MATCH('Renewal rates'!$A38&amp;RIGHT('Renewal rates'!Z$28,2), 'PR24 forecast'!$A$4:$A$139,0)) / INDEX('PR24 forecast'!$D$4:$D$139, MATCH('Renewal rates'!$A38&amp;RIGHT('Renewal rates'!Z$28,2), 'PR24 forecast'!$A$4:$A$139,0))</f>
        <v>7.5237681411314851E-3</v>
      </c>
      <c r="AA38" s="161">
        <f t="shared" si="13"/>
        <v>1.5636901218322413E-3</v>
      </c>
      <c r="AB38" s="161">
        <f t="shared" si="14"/>
        <v>2.7077199298568288E-4</v>
      </c>
      <c r="AC38" s="161">
        <f t="shared" si="15"/>
        <v>2.7077199298568288E-4</v>
      </c>
      <c r="AD38" s="161">
        <f t="shared" si="16"/>
        <v>2.4195931973342343E-3</v>
      </c>
      <c r="AE38" s="163">
        <f t="shared" si="17"/>
        <v>5.1288598331062649E-3</v>
      </c>
    </row>
    <row r="39" spans="1:31">
      <c r="A39" s="154" t="s">
        <v>85</v>
      </c>
      <c r="B39" s="164">
        <f>INDEX(Base_Enh_PR24Query!$I$2:$I$324, MATCH('Renewal rates'!$A39&amp;RIGHT('Renewal rates'!B$28,2), Base_Enh_PR24Query!$A$2:$A$324, 0))</f>
        <v>8.7305744718002443E-3</v>
      </c>
      <c r="C39" s="155">
        <f>INDEX(Base_Enh_PR24Query!$I$2:$I$324, MATCH('Renewal rates'!$A39&amp;RIGHT('Renewal rates'!C$28,2), Base_Enh_PR24Query!$A$2:$A$324, 0))</f>
        <v>9.01457476447921E-3</v>
      </c>
      <c r="D39" s="155">
        <f>INDEX(Base_Enh_PR24Query!$I$2:$I$324, MATCH('Renewal rates'!$A39&amp;RIGHT('Renewal rates'!D$28,2), Base_Enh_PR24Query!$A$2:$A$324, 0))</f>
        <v>7.9808494171431307E-3</v>
      </c>
      <c r="E39" s="155">
        <f>INDEX(Base_Enh_PR24Query!$I$2:$I$324, MATCH('Renewal rates'!$A39&amp;RIGHT('Renewal rates'!E$28,2), Base_Enh_PR24Query!$A$2:$A$324, 0))</f>
        <v>4.9874548608081232E-3</v>
      </c>
      <c r="F39" s="155">
        <f>INDEX(Base_Enh_PR24Query!$I$2:$I$324, MATCH('Renewal rates'!$A39&amp;RIGHT('Renewal rates'!F$28,2), Base_Enh_PR24Query!$A$2:$A$324, 0))</f>
        <v>4.2347506406442094E-3</v>
      </c>
      <c r="G39" s="155">
        <f>INDEX(Base_Enh_PR24Query!$I$2:$I$324, MATCH('Renewal rates'!$A39&amp;RIGHT('Renewal rates'!G$28,2), Base_Enh_PR24Query!$A$2:$A$324, 0))</f>
        <v>4.8429403185068359E-3</v>
      </c>
      <c r="H39" s="155">
        <f>INDEX(Base_Enh_PR24Query!$I$2:$I$324, MATCH('Renewal rates'!$A39&amp;RIGHT('Renewal rates'!H$28,2), Base_Enh_PR24Query!$A$2:$A$324, 0))</f>
        <v>6.7425046314234871E-3</v>
      </c>
      <c r="I39" s="155">
        <f>INDEX(Base_Enh_PR24Query!$I$2:$I$324, MATCH('Renewal rates'!$A39&amp;RIGHT('Renewal rates'!I$28,2), Base_Enh_PR24Query!$A$2:$A$324, 0))</f>
        <v>4.6167174880742609E-3</v>
      </c>
      <c r="J39" s="155">
        <f>INDEX(Base_Enh_PR24Query!$I$2:$I$324, MATCH('Renewal rates'!$A39&amp;RIGHT('Renewal rates'!J$28,2), Base_Enh_PR24Query!$A$2:$A$324, 0))</f>
        <v>3.1120694679177109E-3</v>
      </c>
      <c r="K39" s="155">
        <f>INDEX(Base_Enh_PR24Query!$I$2:$I$324, MATCH('Renewal rates'!$A39&amp;RIGHT('Renewal rates'!K$28,2), Base_Enh_PR24Query!$A$2:$A$324, 0))</f>
        <v>3.8389719441899307E-3</v>
      </c>
      <c r="L39" s="155">
        <f>INDEX(Base_Enh_PR24Query!$I$2:$I$324, MATCH('Renewal rates'!$A39&amp;RIGHT('Renewal rates'!L$28,2), Base_Enh_PR24Query!$A$2:$A$324, 0))</f>
        <v>2.8240772759757478E-3</v>
      </c>
      <c r="M39" s="155">
        <f>INDEX(Base_Enh_PR24Query!$I$2:$I$324, MATCH('Renewal rates'!$A39&amp;RIGHT('Renewal rates'!M$28,2), Base_Enh_PR24Query!$A$2:$A$324, 0))</f>
        <v>2.4350038409628786E-3</v>
      </c>
      <c r="N39" s="165">
        <f>INDEX(Base_Enh_PR24Query!$I$2:$I$324, MATCH('Renewal rates'!$A39&amp;RIGHT('Renewal rates'!N$28,2), Base_Enh_PR24Query!$A$2:$A$324, 0))</f>
        <v>8.8022602192297777E-4</v>
      </c>
      <c r="O39" s="164">
        <f>INDEX(Base_Enh_PR24Query!$I$2:$I$324, MATCH('Renewal rates'!$A39&amp;RIGHT('Renewal rates'!O$28,2), Base_Enh_PR24Query!$A$2:$A$324, 0))</f>
        <v>2.1619296701521147E-3</v>
      </c>
      <c r="P39" s="155">
        <f>INDEX(Base_Enh_PR24Query!$I$2:$I$324, MATCH('Renewal rates'!$A39&amp;RIGHT('Renewal rates'!P$28,2), Base_Enh_PR24Query!$A$2:$A$324, 0))</f>
        <v>5.6615235499564345E-3</v>
      </c>
      <c r="Q39" s="155">
        <f>INDEX(Base_Enh_PR24Query!$I$2:$I$324, MATCH('Renewal rates'!$A39&amp;RIGHT('Renewal rates'!Q$28,2), Base_Enh_PR24Query!$A$2:$A$324, 0))</f>
        <v>5.6340281780285295E-3</v>
      </c>
      <c r="R39" s="155">
        <f>INDEX(Base_Enh_PR24Query!$I$2:$I$324, MATCH('Renewal rates'!$A39&amp;RIGHT('Renewal rates'!R$28,2), Base_Enh_PR24Query!$A$2:$A$324, 0))</f>
        <v>5.6067985796857834E-3</v>
      </c>
      <c r="S39" s="155">
        <f>INDEX(Base_Enh_PR24Query!$I$2:$I$324, MATCH('Renewal rates'!$A39&amp;RIGHT('Renewal rates'!S$28,2), Base_Enh_PR24Query!$A$2:$A$324, 0))</f>
        <v>5.5798309199634622E-3</v>
      </c>
      <c r="T39" s="155">
        <f>INDEX(Base_Enh_PR24Query!$I$2:$I$324, MATCH('Renewal rates'!$A39&amp;RIGHT('Renewal rates'!T$28,2), Base_Enh_PR24Query!$A$2:$A$324, 0))</f>
        <v>5.5531214373255268E-3</v>
      </c>
      <c r="U39" s="164">
        <f>INDEX('PR24 forecast'!$E$4:$E$139, MATCH('Renewal rates'!$A39&amp;RIGHT('Renewal rates'!U$28,2), 'PR24 forecast'!$A$4:$A$139,0)) / INDEX('PR24 forecast'!$D$4:$D$139, MATCH('Renewal rates'!$A39&amp;RIGHT('Renewal rates'!U$28,2), 'PR24 forecast'!$A$4:$A$139,0))</f>
        <v>2.1619296701521147E-3</v>
      </c>
      <c r="V39" s="155">
        <f>INDEX('PR24 forecast'!$E$4:$E$139, MATCH('Renewal rates'!$A39&amp;RIGHT('Renewal rates'!V$28,2), 'PR24 forecast'!$A$4:$A$139,0)) / INDEX('PR24 forecast'!$D$4:$D$139, MATCH('Renewal rates'!$A39&amp;RIGHT('Renewal rates'!V$28,2), 'PR24 forecast'!$A$4:$A$139,0))</f>
        <v>5.6615235499564345E-3</v>
      </c>
      <c r="W39" s="155">
        <f>INDEX('PR24 forecast'!$E$4:$E$139, MATCH('Renewal rates'!$A39&amp;RIGHT('Renewal rates'!W$28,2), 'PR24 forecast'!$A$4:$A$139,0)) / INDEX('PR24 forecast'!$D$4:$D$139, MATCH('Renewal rates'!$A39&amp;RIGHT('Renewal rates'!W$28,2), 'PR24 forecast'!$A$4:$A$139,0))</f>
        <v>5.6340281780285295E-3</v>
      </c>
      <c r="X39" s="155">
        <f>INDEX('PR24 forecast'!$E$4:$E$139, MATCH('Renewal rates'!$A39&amp;RIGHT('Renewal rates'!X$28,2), 'PR24 forecast'!$A$4:$A$139,0)) / INDEX('PR24 forecast'!$D$4:$D$139, MATCH('Renewal rates'!$A39&amp;RIGHT('Renewal rates'!X$28,2), 'PR24 forecast'!$A$4:$A$139,0))</f>
        <v>5.6067985796857834E-3</v>
      </c>
      <c r="Y39" s="155">
        <f>INDEX('PR24 forecast'!$E$4:$E$139, MATCH('Renewal rates'!$A39&amp;RIGHT('Renewal rates'!Y$28,2), 'PR24 forecast'!$A$4:$A$139,0)) / INDEX('PR24 forecast'!$D$4:$D$139, MATCH('Renewal rates'!$A39&amp;RIGHT('Renewal rates'!Y$28,2), 'PR24 forecast'!$A$4:$A$139,0))</f>
        <v>5.5798309199634622E-3</v>
      </c>
      <c r="Z39" s="165">
        <f>INDEX('PR24 forecast'!$E$4:$E$139, MATCH('Renewal rates'!$A39&amp;RIGHT('Renewal rates'!Z$28,2), 'PR24 forecast'!$A$4:$A$139,0)) / INDEX('PR24 forecast'!$D$4:$D$139, MATCH('Renewal rates'!$A39&amp;RIGHT('Renewal rates'!Z$28,2), 'PR24 forecast'!$A$4:$A$139,0))</f>
        <v>5.5531214373255268E-3</v>
      </c>
      <c r="AA39" s="161">
        <f t="shared" si="13"/>
        <v>4.9415934726037497E-3</v>
      </c>
      <c r="AB39" s="161">
        <f t="shared" si="14"/>
        <v>2.6180697101938488E-3</v>
      </c>
      <c r="AC39" s="161">
        <f t="shared" si="15"/>
        <v>2.4280417506407298E-3</v>
      </c>
      <c r="AD39" s="161">
        <f t="shared" si="16"/>
        <v>4.9704182883663472E-3</v>
      </c>
      <c r="AE39" s="163">
        <f t="shared" si="17"/>
        <v>5.6070605329919471E-3</v>
      </c>
    </row>
    <row r="40" spans="1:31">
      <c r="A40" s="154" t="s">
        <v>82</v>
      </c>
      <c r="B40" s="164">
        <f>INDEX(Base_Enh_PR24Query!$I$2:$I$324, MATCH('Renewal rates'!$A40&amp;RIGHT('Renewal rates'!B$28,2), Base_Enh_PR24Query!$A$2:$A$324, 0))</f>
        <v>8.015565819974738E-3</v>
      </c>
      <c r="C40" s="155">
        <f>INDEX(Base_Enh_PR24Query!$I$2:$I$324, MATCH('Renewal rates'!$A40&amp;RIGHT('Renewal rates'!C$28,2), Base_Enh_PR24Query!$A$2:$A$324, 0))</f>
        <v>6.2199660394577725E-3</v>
      </c>
      <c r="D40" s="155">
        <f>INDEX(Base_Enh_PR24Query!$I$2:$I$324, MATCH('Renewal rates'!$A40&amp;RIGHT('Renewal rates'!D$28,2), Base_Enh_PR24Query!$A$2:$A$324, 0))</f>
        <v>5.6497591693705209E-3</v>
      </c>
      <c r="E40" s="155">
        <f>INDEX(Base_Enh_PR24Query!$I$2:$I$324, MATCH('Renewal rates'!$A40&amp;RIGHT('Renewal rates'!E$28,2), Base_Enh_PR24Query!$A$2:$A$324, 0))</f>
        <v>4.7702978527752972E-3</v>
      </c>
      <c r="F40" s="155">
        <f>INDEX(Base_Enh_PR24Query!$I$2:$I$324, MATCH('Renewal rates'!$A40&amp;RIGHT('Renewal rates'!F$28,2), Base_Enh_PR24Query!$A$2:$A$324, 0))</f>
        <v>4.0143028566167133E-3</v>
      </c>
      <c r="G40" s="155">
        <f>INDEX(Base_Enh_PR24Query!$I$2:$I$324, MATCH('Renewal rates'!$A40&amp;RIGHT('Renewal rates'!G$28,2), Base_Enh_PR24Query!$A$2:$A$324, 0))</f>
        <v>3.5405238241125567E-3</v>
      </c>
      <c r="H40" s="155">
        <f>INDEX(Base_Enh_PR24Query!$I$2:$I$324, MATCH('Renewal rates'!$A40&amp;RIGHT('Renewal rates'!H$28,2), Base_Enh_PR24Query!$A$2:$A$324, 0))</f>
        <v>2.5280267393969214E-3</v>
      </c>
      <c r="I40" s="155">
        <f>INDEX(Base_Enh_PR24Query!$I$2:$I$324, MATCH('Renewal rates'!$A40&amp;RIGHT('Renewal rates'!I$28,2), Base_Enh_PR24Query!$A$2:$A$324, 0))</f>
        <v>4.9617946553615518E-3</v>
      </c>
      <c r="J40" s="155">
        <f>INDEX(Base_Enh_PR24Query!$I$2:$I$324, MATCH('Renewal rates'!$A40&amp;RIGHT('Renewal rates'!J$28,2), Base_Enh_PR24Query!$A$2:$A$324, 0))</f>
        <v>5.9407947534028368E-3</v>
      </c>
      <c r="K40" s="155">
        <f>INDEX(Base_Enh_PR24Query!$I$2:$I$324, MATCH('Renewal rates'!$A40&amp;RIGHT('Renewal rates'!K$28,2), Base_Enh_PR24Query!$A$2:$A$324, 0))</f>
        <v>9.2410356041728258E-4</v>
      </c>
      <c r="L40" s="155">
        <f>INDEX(Base_Enh_PR24Query!$I$2:$I$324, MATCH('Renewal rates'!$A40&amp;RIGHT('Renewal rates'!L$28,2), Base_Enh_PR24Query!$A$2:$A$324, 0))</f>
        <v>1.4758334890341163E-3</v>
      </c>
      <c r="M40" s="155">
        <f>INDEX(Base_Enh_PR24Query!$I$2:$I$324, MATCH('Renewal rates'!$A40&amp;RIGHT('Renewal rates'!M$28,2), Base_Enh_PR24Query!$A$2:$A$324, 0))</f>
        <v>1.9488901978969532E-3</v>
      </c>
      <c r="N40" s="165">
        <f>INDEX(Base_Enh_PR24Query!$I$2:$I$324, MATCH('Renewal rates'!$A40&amp;RIGHT('Renewal rates'!N$28,2), Base_Enh_PR24Query!$A$2:$A$324, 0))</f>
        <v>1.9045597032633539E-3</v>
      </c>
      <c r="O40" s="164">
        <f>INDEX(Base_Enh_PR24Query!$I$2:$I$324, MATCH('Renewal rates'!$A40&amp;RIGHT('Renewal rates'!O$28,2), Base_Enh_PR24Query!$A$2:$A$324, 0))</f>
        <v>2.6762522518040343E-3</v>
      </c>
      <c r="P40" s="155">
        <f>INDEX(Base_Enh_PR24Query!$I$2:$I$324, MATCH('Renewal rates'!$A40&amp;RIGHT('Renewal rates'!P$28,2), Base_Enh_PR24Query!$A$2:$A$324, 0))</f>
        <v>5.7675014728834403E-3</v>
      </c>
      <c r="Q40" s="155">
        <f>INDEX(Base_Enh_PR24Query!$I$2:$I$324, MATCH('Renewal rates'!$A40&amp;RIGHT('Renewal rates'!Q$28,2), Base_Enh_PR24Query!$A$2:$A$324, 0))</f>
        <v>5.7487369262595707E-3</v>
      </c>
      <c r="R40" s="155">
        <f>INDEX(Base_Enh_PR24Query!$I$2:$I$324, MATCH('Renewal rates'!$A40&amp;RIGHT('Renewal rates'!R$28,2), Base_Enh_PR24Query!$A$2:$A$324, 0))</f>
        <v>5.7308355928025632E-3</v>
      </c>
      <c r="S40" s="155">
        <f>INDEX(Base_Enh_PR24Query!$I$2:$I$324, MATCH('Renewal rates'!$A40&amp;RIGHT('Renewal rates'!S$28,2), Base_Enh_PR24Query!$A$2:$A$324, 0))</f>
        <v>5.7125891952210812E-3</v>
      </c>
      <c r="T40" s="155">
        <f>INDEX(Base_Enh_PR24Query!$I$2:$I$324, MATCH('Renewal rates'!$A40&amp;RIGHT('Renewal rates'!T$28,2), Base_Enh_PR24Query!$A$2:$A$324, 0))</f>
        <v>5.6940286170857595E-3</v>
      </c>
      <c r="U40" s="164">
        <f>INDEX('PR24 forecast'!$E$4:$E$139, MATCH('Renewal rates'!$A40&amp;RIGHT('Renewal rates'!U$28,2), 'PR24 forecast'!$A$4:$A$139,0)) / INDEX('PR24 forecast'!$D$4:$D$139, MATCH('Renewal rates'!$A40&amp;RIGHT('Renewal rates'!U$28,2), 'PR24 forecast'!$A$4:$A$139,0))</f>
        <v>2.6762522518040343E-3</v>
      </c>
      <c r="V40" s="155">
        <f>INDEX('PR24 forecast'!$E$4:$E$139, MATCH('Renewal rates'!$A40&amp;RIGHT('Renewal rates'!V$28,2), 'PR24 forecast'!$A$4:$A$139,0)) / INDEX('PR24 forecast'!$D$4:$D$139, MATCH('Renewal rates'!$A40&amp;RIGHT('Renewal rates'!V$28,2), 'PR24 forecast'!$A$4:$A$139,0))</f>
        <v>5.7675014728834403E-3</v>
      </c>
      <c r="W40" s="155">
        <f>INDEX('PR24 forecast'!$E$4:$E$139, MATCH('Renewal rates'!$A40&amp;RIGHT('Renewal rates'!W$28,2), 'PR24 forecast'!$A$4:$A$139,0)) / INDEX('PR24 forecast'!$D$4:$D$139, MATCH('Renewal rates'!$A40&amp;RIGHT('Renewal rates'!W$28,2), 'PR24 forecast'!$A$4:$A$139,0))</f>
        <v>5.7487369262595707E-3</v>
      </c>
      <c r="X40" s="155">
        <f>INDEX('PR24 forecast'!$E$4:$E$139, MATCH('Renewal rates'!$A40&amp;RIGHT('Renewal rates'!X$28,2), 'PR24 forecast'!$A$4:$A$139,0)) / INDEX('PR24 forecast'!$D$4:$D$139, MATCH('Renewal rates'!$A40&amp;RIGHT('Renewal rates'!X$28,2), 'PR24 forecast'!$A$4:$A$139,0))</f>
        <v>5.7308355928025632E-3</v>
      </c>
      <c r="Y40" s="155">
        <f>INDEX('PR24 forecast'!$E$4:$E$139, MATCH('Renewal rates'!$A40&amp;RIGHT('Renewal rates'!Y$28,2), 'PR24 forecast'!$A$4:$A$139,0)) / INDEX('PR24 forecast'!$D$4:$D$139, MATCH('Renewal rates'!$A40&amp;RIGHT('Renewal rates'!Y$28,2), 'PR24 forecast'!$A$4:$A$139,0))</f>
        <v>5.7125891952210812E-3</v>
      </c>
      <c r="Z40" s="165">
        <f>INDEX('PR24 forecast'!$E$4:$E$139, MATCH('Renewal rates'!$A40&amp;RIGHT('Renewal rates'!Z$28,2), 'PR24 forecast'!$A$4:$A$139,0)) / INDEX('PR24 forecast'!$D$4:$D$139, MATCH('Renewal rates'!$A40&amp;RIGHT('Renewal rates'!Z$28,2), 'PR24 forecast'!$A$4:$A$139,0))</f>
        <v>5.6940286170857595E-3</v>
      </c>
      <c r="AA40" s="161">
        <f t="shared" si="13"/>
        <v>3.9918783585446626E-3</v>
      </c>
      <c r="AB40" s="161">
        <f t="shared" si="14"/>
        <v>2.4388363408029087E-3</v>
      </c>
      <c r="AC40" s="161">
        <f t="shared" si="15"/>
        <v>1.785927840483148E-3</v>
      </c>
      <c r="AD40" s="161">
        <f t="shared" si="16"/>
        <v>4.3802296166914247E-3</v>
      </c>
      <c r="AE40" s="163">
        <f t="shared" si="17"/>
        <v>5.7307383608504832E-3</v>
      </c>
    </row>
    <row r="41" spans="1:31">
      <c r="A41" s="154" t="s">
        <v>83</v>
      </c>
      <c r="B41" s="164">
        <f>INDEX(Base_Enh_PR24Query!$I$2:$I$324, MATCH('Renewal rates'!$A41&amp;RIGHT('Renewal rates'!B$28,2), Base_Enh_PR24Query!$A$2:$A$324, 0))</f>
        <v>2.5011001498431939E-3</v>
      </c>
      <c r="C41" s="155">
        <f>INDEX(Base_Enh_PR24Query!$I$2:$I$324, MATCH('Renewal rates'!$A41&amp;RIGHT('Renewal rates'!C$28,2), Base_Enh_PR24Query!$A$2:$A$324, 0))</f>
        <v>1.7111440779202017E-3</v>
      </c>
      <c r="D41" s="155">
        <f>INDEX(Base_Enh_PR24Query!$I$2:$I$324, MATCH('Renewal rates'!$A41&amp;RIGHT('Renewal rates'!D$28,2), Base_Enh_PR24Query!$A$2:$A$324, 0))</f>
        <v>2.2375472975222199E-3</v>
      </c>
      <c r="E41" s="155">
        <f>INDEX(Base_Enh_PR24Query!$I$2:$I$324, MATCH('Renewal rates'!$A41&amp;RIGHT('Renewal rates'!E$28,2), Base_Enh_PR24Query!$A$2:$A$324, 0))</f>
        <v>2.1856284113720694E-3</v>
      </c>
      <c r="F41" s="155">
        <f>INDEX(Base_Enh_PR24Query!$I$2:$I$324, MATCH('Renewal rates'!$A41&amp;RIGHT('Renewal rates'!F$28,2), Base_Enh_PR24Query!$A$2:$A$324, 0))</f>
        <v>5.4307209131603494E-4</v>
      </c>
      <c r="G41" s="155">
        <f>INDEX(Base_Enh_PR24Query!$I$2:$I$324, MATCH('Renewal rates'!$A41&amp;RIGHT('Renewal rates'!G$28,2), Base_Enh_PR24Query!$A$2:$A$324, 0))</f>
        <v>1.0924235672118883E-3</v>
      </c>
      <c r="H41" s="155">
        <f>INDEX(Base_Enh_PR24Query!$I$2:$I$324, MATCH('Renewal rates'!$A41&amp;RIGHT('Renewal rates'!H$28,2), Base_Enh_PR24Query!$A$2:$A$324, 0))</f>
        <v>3.0165085284922943E-4</v>
      </c>
      <c r="I41" s="155">
        <f>INDEX(Base_Enh_PR24Query!$I$2:$I$324, MATCH('Renewal rates'!$A41&amp;RIGHT('Renewal rates'!I$28,2), Base_Enh_PR24Query!$A$2:$A$324, 0))</f>
        <v>3.825065545230307E-4</v>
      </c>
      <c r="J41" s="155">
        <f>INDEX(Base_Enh_PR24Query!$I$2:$I$324, MATCH('Renewal rates'!$A41&amp;RIGHT('Renewal rates'!J$28,2), Base_Enh_PR24Query!$A$2:$A$324, 0))</f>
        <v>5.0627012832042445E-4</v>
      </c>
      <c r="K41" s="155">
        <f>INDEX(Base_Enh_PR24Query!$I$2:$I$324, MATCH('Renewal rates'!$A41&amp;RIGHT('Renewal rates'!K$28,2), Base_Enh_PR24Query!$A$2:$A$324, 0))</f>
        <v>4.2858592144074314E-4</v>
      </c>
      <c r="L41" s="155">
        <f>INDEX(Base_Enh_PR24Query!$I$2:$I$324, MATCH('Renewal rates'!$A41&amp;RIGHT('Renewal rates'!L$28,2), Base_Enh_PR24Query!$A$2:$A$324, 0))</f>
        <v>9.0318602928053399E-4</v>
      </c>
      <c r="M41" s="155">
        <f>INDEX(Base_Enh_PR24Query!$I$2:$I$324, MATCH('Renewal rates'!$A41&amp;RIGHT('Renewal rates'!M$28,2), Base_Enh_PR24Query!$A$2:$A$324, 0))</f>
        <v>5.4459476218463379E-4</v>
      </c>
      <c r="N41" s="165">
        <f>INDEX(Base_Enh_PR24Query!$I$2:$I$324, MATCH('Renewal rates'!$A41&amp;RIGHT('Renewal rates'!N$28,2), Base_Enh_PR24Query!$A$2:$A$324, 0))</f>
        <v>5.5802490394653282E-4</v>
      </c>
      <c r="O41" s="164">
        <f>INDEX(Base_Enh_PR24Query!$I$2:$I$324, MATCH('Renewal rates'!$A41&amp;RIGHT('Renewal rates'!O$28,2), Base_Enh_PR24Query!$A$2:$A$324, 0))</f>
        <v>5.4203450774143347E-4</v>
      </c>
      <c r="P41" s="155">
        <f>INDEX(Base_Enh_PR24Query!$I$2:$I$324, MATCH('Renewal rates'!$A41&amp;RIGHT('Renewal rates'!P$28,2), Base_Enh_PR24Query!$A$2:$A$324, 0))</f>
        <v>1.9279069891983656E-3</v>
      </c>
      <c r="Q41" s="155">
        <f>INDEX(Base_Enh_PR24Query!$I$2:$I$324, MATCH('Renewal rates'!$A41&amp;RIGHT('Renewal rates'!Q$28,2), Base_Enh_PR24Query!$A$2:$A$324, 0))</f>
        <v>1.9243104554201411E-3</v>
      </c>
      <c r="R41" s="155">
        <f>INDEX(Base_Enh_PR24Query!$I$2:$I$324, MATCH('Renewal rates'!$A41&amp;RIGHT('Renewal rates'!R$28,2), Base_Enh_PR24Query!$A$2:$A$324, 0))</f>
        <v>1.9190481521165503E-3</v>
      </c>
      <c r="S41" s="155">
        <f>INDEX(Base_Enh_PR24Query!$I$2:$I$324, MATCH('Renewal rates'!$A41&amp;RIGHT('Renewal rates'!S$28,2), Base_Enh_PR24Query!$A$2:$A$324, 0))</f>
        <v>1.913936648696928E-3</v>
      </c>
      <c r="T41" s="155">
        <f>INDEX(Base_Enh_PR24Query!$I$2:$I$324, MATCH('Renewal rates'!$A41&amp;RIGHT('Renewal rates'!T$28,2), Base_Enh_PR24Query!$A$2:$A$324, 0))</f>
        <v>1.9093585085788538E-3</v>
      </c>
      <c r="U41" s="164">
        <f>INDEX('PR24 forecast'!$E$4:$E$139, MATCH('Renewal rates'!$A41&amp;RIGHT('Renewal rates'!U$28,2), 'PR24 forecast'!$A$4:$A$139,0)) / INDEX('PR24 forecast'!$D$4:$D$139, MATCH('Renewal rates'!$A41&amp;RIGHT('Renewal rates'!U$28,2), 'PR24 forecast'!$A$4:$A$139,0))</f>
        <v>5.4042392419682383E-4</v>
      </c>
      <c r="V41" s="155">
        <f>INDEX('PR24 forecast'!$E$4:$E$139, MATCH('Renewal rates'!$A41&amp;RIGHT('Renewal rates'!V$28,2), 'PR24 forecast'!$A$4:$A$139,0)) / INDEX('PR24 forecast'!$D$4:$D$139, MATCH('Renewal rates'!$A41&amp;RIGHT('Renewal rates'!V$28,2), 'PR24 forecast'!$A$4:$A$139,0))</f>
        <v>1.6464451284951378E-3</v>
      </c>
      <c r="W41" s="155">
        <f>INDEX('PR24 forecast'!$E$4:$E$139, MATCH('Renewal rates'!$A41&amp;RIGHT('Renewal rates'!W$28,2), 'PR24 forecast'!$A$4:$A$139,0)) / INDEX('PR24 forecast'!$D$4:$D$139, MATCH('Renewal rates'!$A41&amp;RIGHT('Renewal rates'!W$28,2), 'PR24 forecast'!$A$4:$A$139,0))</f>
        <v>2.7389531751122512E-3</v>
      </c>
      <c r="X41" s="155">
        <f>INDEX('PR24 forecast'!$E$4:$E$139, MATCH('Renewal rates'!$A41&amp;RIGHT('Renewal rates'!X$28,2), 'PR24 forecast'!$A$4:$A$139,0)) / INDEX('PR24 forecast'!$D$4:$D$139, MATCH('Renewal rates'!$A41&amp;RIGHT('Renewal rates'!X$28,2), 'PR24 forecast'!$A$4:$A$139,0))</f>
        <v>3.0947477084965857E-3</v>
      </c>
      <c r="Y41" s="155">
        <f>INDEX('PR24 forecast'!$E$4:$E$139, MATCH('Renewal rates'!$A41&amp;RIGHT('Renewal rates'!Y$28,2), 'PR24 forecast'!$A$4:$A$139,0)) / INDEX('PR24 forecast'!$D$4:$D$139, MATCH('Renewal rates'!$A41&amp;RIGHT('Renewal rates'!Y$28,2), 'PR24 forecast'!$A$4:$A$139,0))</f>
        <v>3.0878667504545603E-3</v>
      </c>
      <c r="Z41" s="165">
        <f>INDEX('PR24 forecast'!$E$4:$E$139, MATCH('Renewal rates'!$A41&amp;RIGHT('Renewal rates'!Z$28,2), 'PR24 forecast'!$A$4:$A$139,0)) / INDEX('PR24 forecast'!$D$4:$D$139, MATCH('Renewal rates'!$A41&amp;RIGHT('Renewal rates'!Z$28,2), 'PR24 forecast'!$A$4:$A$139,0))</f>
        <v>3.0804805672916286E-3</v>
      </c>
      <c r="AA41" s="161">
        <f t="shared" si="13"/>
        <v>1.0689026729023645E-3</v>
      </c>
      <c r="AB41" s="161">
        <f t="shared" si="14"/>
        <v>5.881323490345737E-4</v>
      </c>
      <c r="AC41" s="161">
        <f t="shared" si="15"/>
        <v>5.9496310820985351E-4</v>
      </c>
      <c r="AD41" s="161">
        <f t="shared" si="16"/>
        <v>1.4781395790409329E-3</v>
      </c>
      <c r="AE41" s="163">
        <f t="shared" si="17"/>
        <v>2.7296986659700326E-3</v>
      </c>
    </row>
    <row r="42" spans="1:31">
      <c r="A42" s="154" t="s">
        <v>48</v>
      </c>
      <c r="B42" s="164">
        <f>INDEX(Base_Enh_PR24Query!$I$2:$I$324, MATCH('Renewal rates'!$A42&amp;RIGHT('Renewal rates'!B$28,2), Base_Enh_PR24Query!$A$2:$A$324, 0))</f>
        <v>6.4675042993916701E-3</v>
      </c>
      <c r="C42" s="155">
        <f>INDEX(Base_Enh_PR24Query!$I$2:$I$324, MATCH('Renewal rates'!$A42&amp;RIGHT('Renewal rates'!C$28,2), Base_Enh_PR24Query!$A$2:$A$324, 0))</f>
        <v>2.9159321177390277E-3</v>
      </c>
      <c r="D42" s="155">
        <f>INDEX(Base_Enh_PR24Query!$I$2:$I$324, MATCH('Renewal rates'!$A42&amp;RIGHT('Renewal rates'!D$28,2), Base_Enh_PR24Query!$A$2:$A$324, 0))</f>
        <v>7.2345225890013394E-4</v>
      </c>
      <c r="E42" s="155">
        <f>INDEX(Base_Enh_PR24Query!$I$2:$I$324, MATCH('Renewal rates'!$A42&amp;RIGHT('Renewal rates'!E$28,2), Base_Enh_PR24Query!$A$2:$A$324, 0))</f>
        <v>4.0067163867637097E-4</v>
      </c>
      <c r="F42" s="155">
        <f>INDEX(Base_Enh_PR24Query!$I$2:$I$324, MATCH('Renewal rates'!$A42&amp;RIGHT('Renewal rates'!F$28,2), Base_Enh_PR24Query!$A$2:$A$324, 0))</f>
        <v>1.5780443596124527E-3</v>
      </c>
      <c r="G42" s="155">
        <f>INDEX(Base_Enh_PR24Query!$I$2:$I$324, MATCH('Renewal rates'!$A42&amp;RIGHT('Renewal rates'!G$28,2), Base_Enh_PR24Query!$A$2:$A$324, 0))</f>
        <v>1.168174758987614E-3</v>
      </c>
      <c r="H42" s="155">
        <f>INDEX(Base_Enh_PR24Query!$I$2:$I$324, MATCH('Renewal rates'!$A42&amp;RIGHT('Renewal rates'!H$28,2), Base_Enh_PR24Query!$A$2:$A$324, 0))</f>
        <v>4.0110505265415191E-3</v>
      </c>
      <c r="I42" s="155">
        <f>INDEX(Base_Enh_PR24Query!$I$2:$I$324, MATCH('Renewal rates'!$A42&amp;RIGHT('Renewal rates'!I$28,2), Base_Enh_PR24Query!$A$2:$A$324, 0))</f>
        <v>4.8450084290080344E-3</v>
      </c>
      <c r="J42" s="155">
        <f>INDEX(Base_Enh_PR24Query!$I$2:$I$324, MATCH('Renewal rates'!$A42&amp;RIGHT('Renewal rates'!J$28,2), Base_Enh_PR24Query!$A$2:$A$324, 0))</f>
        <v>4.7900988508763672E-3</v>
      </c>
      <c r="K42" s="155">
        <f>INDEX(Base_Enh_PR24Query!$I$2:$I$324, MATCH('Renewal rates'!$A42&amp;RIGHT('Renewal rates'!K$28,2), Base_Enh_PR24Query!$A$2:$A$324, 0))</f>
        <v>9.0708526882187022E-4</v>
      </c>
      <c r="L42" s="155">
        <f>INDEX(Base_Enh_PR24Query!$I$2:$I$324, MATCH('Renewal rates'!$A42&amp;RIGHT('Renewal rates'!L$28,2), Base_Enh_PR24Query!$A$2:$A$324, 0))</f>
        <v>1.5613808009852094E-3</v>
      </c>
      <c r="M42" s="155">
        <f>INDEX(Base_Enh_PR24Query!$I$2:$I$324, MATCH('Renewal rates'!$A42&amp;RIGHT('Renewal rates'!M$28,2), Base_Enh_PR24Query!$A$2:$A$324, 0))</f>
        <v>1.8705346935323727E-3</v>
      </c>
      <c r="N42" s="165">
        <f>INDEX(Base_Enh_PR24Query!$I$2:$I$324, MATCH('Renewal rates'!$A42&amp;RIGHT('Renewal rates'!N$28,2), Base_Enh_PR24Query!$A$2:$A$324, 0))</f>
        <v>2.4398549207906256E-3</v>
      </c>
      <c r="O42" s="164">
        <f>INDEX(Base_Enh_PR24Query!$I$2:$I$324, MATCH('Renewal rates'!$A42&amp;RIGHT('Renewal rates'!O$28,2), Base_Enh_PR24Query!$A$2:$A$324, 0))</f>
        <v>2.4204553542262561E-3</v>
      </c>
      <c r="P42" s="155">
        <f>INDEX(Base_Enh_PR24Query!$I$2:$I$324, MATCH('Renewal rates'!$A42&amp;RIGHT('Renewal rates'!P$28,2), Base_Enh_PR24Query!$A$2:$A$324, 0))</f>
        <v>1.7094017094017094E-3</v>
      </c>
      <c r="Q42" s="155">
        <f>INDEX(Base_Enh_PR24Query!$I$2:$I$324, MATCH('Renewal rates'!$A42&amp;RIGHT('Renewal rates'!Q$28,2), Base_Enh_PR24Query!$A$2:$A$324, 0))</f>
        <v>2.479297862845242E-3</v>
      </c>
      <c r="R42" s="155">
        <f>INDEX(Base_Enh_PR24Query!$I$2:$I$324, MATCH('Renewal rates'!$A42&amp;RIGHT('Renewal rates'!R$28,2), Base_Enh_PR24Query!$A$2:$A$324, 0))</f>
        <v>2.9369937550238049E-3</v>
      </c>
      <c r="S42" s="155">
        <f>INDEX(Base_Enh_PR24Query!$I$2:$I$324, MATCH('Renewal rates'!$A42&amp;RIGHT('Renewal rates'!S$28,2), Base_Enh_PR24Query!$A$2:$A$324, 0))</f>
        <v>3.5471383846640242E-3</v>
      </c>
      <c r="T42" s="155">
        <f>INDEX(Base_Enh_PR24Query!$I$2:$I$324, MATCH('Renewal rates'!$A42&amp;RIGHT('Renewal rates'!T$28,2), Base_Enh_PR24Query!$A$2:$A$324, 0))</f>
        <v>4.7708895708353984E-3</v>
      </c>
      <c r="U42" s="164">
        <f>INDEX('PR24 forecast'!$E$4:$E$139, MATCH('Renewal rates'!$A42&amp;RIGHT('Renewal rates'!U$28,2), 'PR24 forecast'!$A$4:$A$139,0)) / INDEX('PR24 forecast'!$D$4:$D$139, MATCH('Renewal rates'!$A42&amp;RIGHT('Renewal rates'!U$28,2), 'PR24 forecast'!$A$4:$A$139,0))</f>
        <v>9.4468745810482604E-4</v>
      </c>
      <c r="V42" s="155">
        <f>INDEX('PR24 forecast'!$E$4:$E$139, MATCH('Renewal rates'!$A42&amp;RIGHT('Renewal rates'!V$28,2), 'PR24 forecast'!$A$4:$A$139,0)) / INDEX('PR24 forecast'!$D$4:$D$139, MATCH('Renewal rates'!$A42&amp;RIGHT('Renewal rates'!V$28,2), 'PR24 forecast'!$A$4:$A$139,0))</f>
        <v>1.7175875362887042E-3</v>
      </c>
      <c r="W42" s="155">
        <f>INDEX('PR24 forecast'!$E$4:$E$139, MATCH('Renewal rates'!$A42&amp;RIGHT('Renewal rates'!W$28,2), 'PR24 forecast'!$A$4:$A$139,0)) / INDEX('PR24 forecast'!$D$4:$D$139, MATCH('Renewal rates'!$A42&amp;RIGHT('Renewal rates'!W$28,2), 'PR24 forecast'!$A$4:$A$139,0))</f>
        <v>1.6959629248837521E-3</v>
      </c>
      <c r="X42" s="155">
        <f>INDEX('PR24 forecast'!$E$4:$E$139, MATCH('Renewal rates'!$A42&amp;RIGHT('Renewal rates'!X$28,2), 'PR24 forecast'!$A$4:$A$139,0)) / INDEX('PR24 forecast'!$D$4:$D$139, MATCH('Renewal rates'!$A42&amp;RIGHT('Renewal rates'!X$28,2), 'PR24 forecast'!$A$4:$A$139,0))</f>
        <v>1.8514440953819342E-3</v>
      </c>
      <c r="Y42" s="155">
        <f>INDEX('PR24 forecast'!$E$4:$E$139, MATCH('Renewal rates'!$A42&amp;RIGHT('Renewal rates'!Y$28,2), 'PR24 forecast'!$A$4:$A$139,0)) / INDEX('PR24 forecast'!$D$4:$D$139, MATCH('Renewal rates'!$A42&amp;RIGHT('Renewal rates'!Y$28,2), 'PR24 forecast'!$A$4:$A$139,0))</f>
        <v>2.2606148252978285E-3</v>
      </c>
      <c r="Z42" s="165">
        <f>INDEX('PR24 forecast'!$E$4:$E$139, MATCH('Renewal rates'!$A42&amp;RIGHT('Renewal rates'!Z$28,2), 'PR24 forecast'!$A$4:$A$139,0)) / INDEX('PR24 forecast'!$D$4:$D$139, MATCH('Renewal rates'!$A42&amp;RIGHT('Renewal rates'!Z$28,2), 'PR24 forecast'!$A$4:$A$139,0))</f>
        <v>3.0772466219873137E-3</v>
      </c>
      <c r="AA42" s="161">
        <f t="shared" si="13"/>
        <v>2.5906763787587129E-3</v>
      </c>
      <c r="AB42" s="161">
        <f t="shared" si="14"/>
        <v>2.3137909070012888E-3</v>
      </c>
      <c r="AC42" s="161">
        <f t="shared" si="15"/>
        <v>1.5447086284469808E-3</v>
      </c>
      <c r="AD42" s="161">
        <f t="shared" si="16"/>
        <v>2.3803334939898756E-3</v>
      </c>
      <c r="AE42" s="163">
        <f t="shared" si="17"/>
        <v>2.1205712007679066E-3</v>
      </c>
    </row>
    <row r="43" spans="1:31">
      <c r="A43" s="154" t="s">
        <v>51</v>
      </c>
      <c r="B43" s="164">
        <f>INDEX(Base_Enh_PR24Query!$I$2:$I$324, MATCH('Renewal rates'!$A43&amp;RIGHT('Renewal rates'!B$28,2), Base_Enh_PR24Query!$A$2:$A$324, 0))</f>
        <v>7.0362909112142704E-3</v>
      </c>
      <c r="C43" s="155">
        <f>INDEX(Base_Enh_PR24Query!$I$2:$I$324, MATCH('Renewal rates'!$A43&amp;RIGHT('Renewal rates'!C$28,2), Base_Enh_PR24Query!$A$2:$A$324, 0))</f>
        <v>6.3138872462416024E-3</v>
      </c>
      <c r="D43" s="155">
        <f>INDEX(Base_Enh_PR24Query!$I$2:$I$324, MATCH('Renewal rates'!$A43&amp;RIGHT('Renewal rates'!D$28,2), Base_Enh_PR24Query!$A$2:$A$324, 0))</f>
        <v>4.7063232263113222E-3</v>
      </c>
      <c r="E43" s="155">
        <f>INDEX(Base_Enh_PR24Query!$I$2:$I$324, MATCH('Renewal rates'!$A43&amp;RIGHT('Renewal rates'!E$28,2), Base_Enh_PR24Query!$A$2:$A$324, 0))</f>
        <v>2.4124390932455373E-3</v>
      </c>
      <c r="F43" s="155">
        <f>INDEX(Base_Enh_PR24Query!$I$2:$I$324, MATCH('Renewal rates'!$A43&amp;RIGHT('Renewal rates'!F$28,2), Base_Enh_PR24Query!$A$2:$A$324, 0))</f>
        <v>2.6279431867192015E-3</v>
      </c>
      <c r="G43" s="155">
        <f>INDEX(Base_Enh_PR24Query!$I$2:$I$324, MATCH('Renewal rates'!$A43&amp;RIGHT('Renewal rates'!G$28,2), Base_Enh_PR24Query!$A$2:$A$324, 0))</f>
        <v>4.0633298988521091E-3</v>
      </c>
      <c r="H43" s="155">
        <f>INDEX(Base_Enh_PR24Query!$I$2:$I$324, MATCH('Renewal rates'!$A43&amp;RIGHT('Renewal rates'!H$28,2), Base_Enh_PR24Query!$A$2:$A$324, 0))</f>
        <v>3.5148748052324526E-3</v>
      </c>
      <c r="I43" s="155">
        <f>INDEX(Base_Enh_PR24Query!$I$2:$I$324, MATCH('Renewal rates'!$A43&amp;RIGHT('Renewal rates'!I$28,2), Base_Enh_PR24Query!$A$2:$A$324, 0))</f>
        <v>1.7797456266006859E-3</v>
      </c>
      <c r="J43" s="155">
        <f>INDEX(Base_Enh_PR24Query!$I$2:$I$324, MATCH('Renewal rates'!$A43&amp;RIGHT('Renewal rates'!J$28,2), Base_Enh_PR24Query!$A$2:$A$324, 0))</f>
        <v>2.1886966617868705E-3</v>
      </c>
      <c r="K43" s="155">
        <f>INDEX(Base_Enh_PR24Query!$I$2:$I$324, MATCH('Renewal rates'!$A43&amp;RIGHT('Renewal rates'!K$28,2), Base_Enh_PR24Query!$A$2:$A$324, 0))</f>
        <v>1.5624268737422283E-3</v>
      </c>
      <c r="L43" s="155">
        <f>INDEX(Base_Enh_PR24Query!$I$2:$I$324, MATCH('Renewal rates'!$A43&amp;RIGHT('Renewal rates'!L$28,2), Base_Enh_PR24Query!$A$2:$A$324, 0))</f>
        <v>8.6949023440306987E-4</v>
      </c>
      <c r="M43" s="155">
        <f>INDEX(Base_Enh_PR24Query!$I$2:$I$324, MATCH('Renewal rates'!$A43&amp;RIGHT('Renewal rates'!M$28,2), Base_Enh_PR24Query!$A$2:$A$324, 0))</f>
        <v>1.0188231158050317E-3</v>
      </c>
      <c r="N43" s="165">
        <f>INDEX(Base_Enh_PR24Query!$I$2:$I$324, MATCH('Renewal rates'!$A43&amp;RIGHT('Renewal rates'!N$28,2), Base_Enh_PR24Query!$A$2:$A$324, 0))</f>
        <v>5.4818668443794738E-4</v>
      </c>
      <c r="O43" s="164">
        <f>INDEX(Base_Enh_PR24Query!$I$2:$I$324, MATCH('Renewal rates'!$A43&amp;RIGHT('Renewal rates'!O$28,2), Base_Enh_PR24Query!$A$2:$A$324, 0))</f>
        <v>9.1137828989692495E-4</v>
      </c>
      <c r="P43" s="155">
        <f>INDEX(Base_Enh_PR24Query!$I$2:$I$324, MATCH('Renewal rates'!$A43&amp;RIGHT('Renewal rates'!P$28,2), Base_Enh_PR24Query!$A$2:$A$324, 0))</f>
        <v>2.061510038269901E-3</v>
      </c>
      <c r="Q43" s="155">
        <f>INDEX(Base_Enh_PR24Query!$I$2:$I$324, MATCH('Renewal rates'!$A43&amp;RIGHT('Renewal rates'!Q$28,2), Base_Enh_PR24Query!$A$2:$A$324, 0))</f>
        <v>2.2459032731103803E-3</v>
      </c>
      <c r="R43" s="155">
        <f>INDEX(Base_Enh_PR24Query!$I$2:$I$324, MATCH('Renewal rates'!$A43&amp;RIGHT('Renewal rates'!R$28,2), Base_Enh_PR24Query!$A$2:$A$324, 0))</f>
        <v>2.3431093060491269E-3</v>
      </c>
      <c r="S43" s="155">
        <f>INDEX(Base_Enh_PR24Query!$I$2:$I$324, MATCH('Renewal rates'!$A43&amp;RIGHT('Renewal rates'!S$28,2), Base_Enh_PR24Query!$A$2:$A$324, 0))</f>
        <v>2.2032751578954825E-3</v>
      </c>
      <c r="T43" s="155">
        <f>INDEX(Base_Enh_PR24Query!$I$2:$I$324, MATCH('Renewal rates'!$A43&amp;RIGHT('Renewal rates'!T$28,2), Base_Enh_PR24Query!$A$2:$A$324, 0))</f>
        <v>2.0249424852723428E-3</v>
      </c>
      <c r="U43" s="164">
        <f>INDEX('PR24 forecast'!$E$4:$E$139, MATCH('Renewal rates'!$A43&amp;RIGHT('Renewal rates'!U$28,2), 'PR24 forecast'!$A$4:$A$139,0)) / INDEX('PR24 forecast'!$D$4:$D$139, MATCH('Renewal rates'!$A43&amp;RIGHT('Renewal rates'!U$28,2), 'PR24 forecast'!$A$4:$A$139,0))</f>
        <v>9.1137828989692495E-4</v>
      </c>
      <c r="V43" s="155">
        <f>INDEX('PR24 forecast'!$E$4:$E$139, MATCH('Renewal rates'!$A43&amp;RIGHT('Renewal rates'!V$28,2), 'PR24 forecast'!$A$4:$A$139,0)) / INDEX('PR24 forecast'!$D$4:$D$139, MATCH('Renewal rates'!$A43&amp;RIGHT('Renewal rates'!V$28,2), 'PR24 forecast'!$A$4:$A$139,0))</f>
        <v>2.8533010910310047E-3</v>
      </c>
      <c r="W43" s="155">
        <f>INDEX('PR24 forecast'!$E$4:$E$139, MATCH('Renewal rates'!$A43&amp;RIGHT('Renewal rates'!W$28,2), 'PR24 forecast'!$A$4:$A$139,0)) / INDEX('PR24 forecast'!$D$4:$D$139, MATCH('Renewal rates'!$A43&amp;RIGHT('Renewal rates'!W$28,2), 'PR24 forecast'!$A$4:$A$139,0))</f>
        <v>4.662651803129316E-3</v>
      </c>
      <c r="X43" s="155">
        <f>INDEX('PR24 forecast'!$E$4:$E$139, MATCH('Renewal rates'!$A43&amp;RIGHT('Renewal rates'!X$28,2), 'PR24 forecast'!$A$4:$A$139,0)) / INDEX('PR24 forecast'!$D$4:$D$139, MATCH('Renewal rates'!$A43&amp;RIGHT('Renewal rates'!X$28,2), 'PR24 forecast'!$A$4:$A$139,0))</f>
        <v>4.6507169559459952E-3</v>
      </c>
      <c r="Y43" s="155">
        <f>INDEX('PR24 forecast'!$E$4:$E$139, MATCH('Renewal rates'!$A43&amp;RIGHT('Renewal rates'!Y$28,2), 'PR24 forecast'!$A$4:$A$139,0)) / INDEX('PR24 forecast'!$D$4:$D$139, MATCH('Renewal rates'!$A43&amp;RIGHT('Renewal rates'!Y$28,2), 'PR24 forecast'!$A$4:$A$139,0))</f>
        <v>4.6403383550531864E-3</v>
      </c>
      <c r="Z43" s="165">
        <f>INDEX('PR24 forecast'!$E$4:$E$139, MATCH('Renewal rates'!$A43&amp;RIGHT('Renewal rates'!Z$28,2), 'PR24 forecast'!$A$4:$A$139,0)) / INDEX('PR24 forecast'!$D$4:$D$139, MATCH('Renewal rates'!$A43&amp;RIGHT('Renewal rates'!Z$28,2), 'PR24 forecast'!$A$4:$A$139,0))</f>
        <v>4.6294496609193174E-3</v>
      </c>
      <c r="AA43" s="161">
        <f t="shared" si="13"/>
        <v>2.9724967357378719E-3</v>
      </c>
      <c r="AB43" s="161">
        <f t="shared" si="14"/>
        <v>1.2375247140350295E-3</v>
      </c>
      <c r="AC43" s="161">
        <f t="shared" si="15"/>
        <v>9.8206103965704046E-4</v>
      </c>
      <c r="AD43" s="161">
        <f t="shared" si="16"/>
        <v>3.2100154589772677E-3</v>
      </c>
      <c r="AE43" s="163">
        <f t="shared" si="17"/>
        <v>4.2872915732157634E-3</v>
      </c>
    </row>
    <row r="44" spans="1:31">
      <c r="A44" s="154" t="s">
        <v>52</v>
      </c>
      <c r="B44" s="164">
        <f>INDEX(Base_Enh_PR24Query!$I$2:$I$324, MATCH('Renewal rates'!$A44&amp;RIGHT('Renewal rates'!B$28,2), Base_Enh_PR24Query!$A$2:$A$324, 0))</f>
        <v>7.2680721849262917E-3</v>
      </c>
      <c r="C44" s="155">
        <f>INDEX(Base_Enh_PR24Query!$I$2:$I$324, MATCH('Renewal rates'!$A44&amp;RIGHT('Renewal rates'!C$28,2), Base_Enh_PR24Query!$A$2:$A$324, 0))</f>
        <v>5.9923171004806104E-3</v>
      </c>
      <c r="D44" s="155">
        <f>INDEX(Base_Enh_PR24Query!$I$2:$I$324, MATCH('Renewal rates'!$A44&amp;RIGHT('Renewal rates'!D$28,2), Base_Enh_PR24Query!$A$2:$A$324, 0))</f>
        <v>6.834973465917874E-3</v>
      </c>
      <c r="E44" s="155">
        <f>INDEX(Base_Enh_PR24Query!$I$2:$I$324, MATCH('Renewal rates'!$A44&amp;RIGHT('Renewal rates'!E$28,2), Base_Enh_PR24Query!$A$2:$A$324, 0))</f>
        <v>4.4882314188177518E-3</v>
      </c>
      <c r="F44" s="155">
        <f>INDEX(Base_Enh_PR24Query!$I$2:$I$324, MATCH('Renewal rates'!$A44&amp;RIGHT('Renewal rates'!F$28,2), Base_Enh_PR24Query!$A$2:$A$324, 0))</f>
        <v>3.9388709403162725E-3</v>
      </c>
      <c r="G44" s="155">
        <f>INDEX(Base_Enh_PR24Query!$I$2:$I$324, MATCH('Renewal rates'!$A44&amp;RIGHT('Renewal rates'!G$28,2), Base_Enh_PR24Query!$A$2:$A$324, 0))</f>
        <v>4.0108116288063494E-3</v>
      </c>
      <c r="H44" s="155">
        <f>INDEX(Base_Enh_PR24Query!$I$2:$I$324, MATCH('Renewal rates'!$A44&amp;RIGHT('Renewal rates'!H$28,2), Base_Enh_PR24Query!$A$2:$A$324, 0))</f>
        <v>4.8580563752720985E-3</v>
      </c>
      <c r="I44" s="155">
        <f>INDEX(Base_Enh_PR24Query!$I$2:$I$324, MATCH('Renewal rates'!$A44&amp;RIGHT('Renewal rates'!I$28,2), Base_Enh_PR24Query!$A$2:$A$324, 0))</f>
        <v>3.8732100660377796E-3</v>
      </c>
      <c r="J44" s="155">
        <f>INDEX(Base_Enh_PR24Query!$I$2:$I$324, MATCH('Renewal rates'!$A44&amp;RIGHT('Renewal rates'!J$28,2), Base_Enh_PR24Query!$A$2:$A$324, 0))</f>
        <v>2.2411529454487893E-3</v>
      </c>
      <c r="K44" s="155">
        <f>INDEX(Base_Enh_PR24Query!$I$2:$I$324, MATCH('Renewal rates'!$A44&amp;RIGHT('Renewal rates'!K$28,2), Base_Enh_PR24Query!$A$2:$A$324, 0))</f>
        <v>2.1815919366211787E-3</v>
      </c>
      <c r="L44" s="155">
        <f>INDEX(Base_Enh_PR24Query!$I$2:$I$324, MATCH('Renewal rates'!$A44&amp;RIGHT('Renewal rates'!L$28,2), Base_Enh_PR24Query!$A$2:$A$324, 0))</f>
        <v>2.3628087888442916E-3</v>
      </c>
      <c r="M44" s="155">
        <f>INDEX(Base_Enh_PR24Query!$I$2:$I$324, MATCH('Renewal rates'!$A44&amp;RIGHT('Renewal rates'!M$28,2), Base_Enh_PR24Query!$A$2:$A$324, 0))</f>
        <v>2.140504939626784E-3</v>
      </c>
      <c r="N44" s="165">
        <f>INDEX(Base_Enh_PR24Query!$I$2:$I$324, MATCH('Renewal rates'!$A44&amp;RIGHT('Renewal rates'!N$28,2), Base_Enh_PR24Query!$A$2:$A$324, 0))</f>
        <v>1.6133147857007632E-3</v>
      </c>
      <c r="O44" s="164">
        <f>INDEX(Base_Enh_PR24Query!$I$2:$I$324, MATCH('Renewal rates'!$A44&amp;RIGHT('Renewal rates'!O$28,2), Base_Enh_PR24Query!$A$2:$A$324, 0))</f>
        <v>2.2092096942420932E-3</v>
      </c>
      <c r="P44" s="155">
        <f>INDEX(Base_Enh_PR24Query!$I$2:$I$324, MATCH('Renewal rates'!$A44&amp;RIGHT('Renewal rates'!P$28,2), Base_Enh_PR24Query!$A$2:$A$324, 0))</f>
        <v>4.0143204738536655E-3</v>
      </c>
      <c r="Q44" s="155">
        <f>INDEX(Base_Enh_PR24Query!$I$2:$I$324, MATCH('Renewal rates'!$A44&amp;RIGHT('Renewal rates'!Q$28,2), Base_Enh_PR24Query!$A$2:$A$324, 0))</f>
        <v>4.004478477971282E-3</v>
      </c>
      <c r="R44" s="155">
        <f>INDEX(Base_Enh_PR24Query!$I$2:$I$324, MATCH('Renewal rates'!$A44&amp;RIGHT('Renewal rates'!R$28,2), Base_Enh_PR24Query!$A$2:$A$324, 0))</f>
        <v>3.9946846237251662E-3</v>
      </c>
      <c r="S44" s="155">
        <f>INDEX(Base_Enh_PR24Query!$I$2:$I$324, MATCH('Renewal rates'!$A44&amp;RIGHT('Renewal rates'!S$28,2), Base_Enh_PR24Query!$A$2:$A$324, 0))</f>
        <v>3.9849385587534467E-3</v>
      </c>
      <c r="T44" s="155">
        <f>INDEX(Base_Enh_PR24Query!$I$2:$I$324, MATCH('Renewal rates'!$A44&amp;RIGHT('Renewal rates'!T$28,2), Base_Enh_PR24Query!$A$2:$A$324, 0))</f>
        <v>3.9752399341245956E-3</v>
      </c>
      <c r="U44" s="164">
        <f>INDEX('PR24 forecast'!$E$4:$E$139, MATCH('Renewal rates'!$A44&amp;RIGHT('Renewal rates'!U$28,2), 'PR24 forecast'!$A$4:$A$139,0)) / INDEX('PR24 forecast'!$D$4:$D$139, MATCH('Renewal rates'!$A44&amp;RIGHT('Renewal rates'!U$28,2), 'PR24 forecast'!$A$4:$A$139,0))</f>
        <v>2.211475037428121E-3</v>
      </c>
      <c r="V44" s="155">
        <f>INDEX('PR24 forecast'!$E$4:$E$139, MATCH('Renewal rates'!$A44&amp;RIGHT('Renewal rates'!V$28,2), 'PR24 forecast'!$A$4:$A$139,0)) / INDEX('PR24 forecast'!$D$4:$D$139, MATCH('Renewal rates'!$A44&amp;RIGHT('Renewal rates'!V$28,2), 'PR24 forecast'!$A$4:$A$139,0))</f>
        <v>4.0134655865802817E-3</v>
      </c>
      <c r="W44" s="155">
        <f>INDEX('PR24 forecast'!$E$4:$E$139, MATCH('Renewal rates'!$A44&amp;RIGHT('Renewal rates'!W$28,2), 'PR24 forecast'!$A$4:$A$139,0)) / INDEX('PR24 forecast'!$D$4:$D$139, MATCH('Renewal rates'!$A44&amp;RIGHT('Renewal rates'!W$28,2), 'PR24 forecast'!$A$4:$A$139,0))</f>
        <v>4.0036277770061036E-3</v>
      </c>
      <c r="X44" s="155">
        <f>INDEX('PR24 forecast'!$E$4:$E$139, MATCH('Renewal rates'!$A44&amp;RIGHT('Renewal rates'!X$28,2), 'PR24 forecast'!$A$4:$A$139,0)) / INDEX('PR24 forecast'!$D$4:$D$139, MATCH('Renewal rates'!$A44&amp;RIGHT('Renewal rates'!X$28,2), 'PR24 forecast'!$A$4:$A$139,0))</f>
        <v>3.9938380783933365E-3</v>
      </c>
      <c r="Y44" s="155">
        <f>INDEX('PR24 forecast'!$E$4:$E$139, MATCH('Renewal rates'!$A44&amp;RIGHT('Renewal rates'!Y$28,2), 'PR24 forecast'!$A$4:$A$139,0)) / INDEX('PR24 forecast'!$D$4:$D$139, MATCH('Renewal rates'!$A44&amp;RIGHT('Renewal rates'!Y$28,2), 'PR24 forecast'!$A$4:$A$139,0))</f>
        <v>3.9840961386790686E-3</v>
      </c>
      <c r="Z44" s="165">
        <f>INDEX('PR24 forecast'!$E$4:$E$139, MATCH('Renewal rates'!$A44&amp;RIGHT('Renewal rates'!Z$28,2), 'PR24 forecast'!$A$4:$A$139,0)) / INDEX('PR24 forecast'!$D$4:$D$139, MATCH('Renewal rates'!$A44&amp;RIGHT('Renewal rates'!Z$28,2), 'PR24 forecast'!$A$4:$A$139,0))</f>
        <v>3.9744016092271009E-3</v>
      </c>
      <c r="AA44" s="161">
        <f t="shared" si="13"/>
        <v>3.9849166597551418E-3</v>
      </c>
      <c r="AB44" s="161">
        <f t="shared" si="14"/>
        <v>2.1078746792483611E-3</v>
      </c>
      <c r="AC44" s="161">
        <f t="shared" si="15"/>
        <v>2.1019390976442275E-3</v>
      </c>
      <c r="AD44" s="161">
        <f t="shared" si="16"/>
        <v>3.893937937059519E-3</v>
      </c>
      <c r="AE44" s="163">
        <f t="shared" si="17"/>
        <v>3.9938858379771781E-3</v>
      </c>
    </row>
    <row r="45" spans="1:31">
      <c r="A45" s="154" t="s">
        <v>53</v>
      </c>
      <c r="B45" s="164">
        <f>INDEX(Base_Enh_PR24Query!$I$2:$I$324, MATCH('Renewal rates'!$A45&amp;RIGHT('Renewal rates'!B$28,2), Base_Enh_PR24Query!$A$2:$A$324, 0))</f>
        <v>5.1675231769442572E-3</v>
      </c>
      <c r="C45" s="155">
        <f>INDEX(Base_Enh_PR24Query!$I$2:$I$324, MATCH('Renewal rates'!$A45&amp;RIGHT('Renewal rates'!C$28,2), Base_Enh_PR24Query!$A$2:$A$324, 0))</f>
        <v>2.9103955029880957E-3</v>
      </c>
      <c r="D45" s="155">
        <f>INDEX(Base_Enh_PR24Query!$I$2:$I$324, MATCH('Renewal rates'!$A45&amp;RIGHT('Renewal rates'!D$28,2), Base_Enh_PR24Query!$A$2:$A$324, 0))</f>
        <v>2.4008876588635158E-3</v>
      </c>
      <c r="E45" s="155">
        <f>INDEX(Base_Enh_PR24Query!$I$2:$I$324, MATCH('Renewal rates'!$A45&amp;RIGHT('Renewal rates'!E$28,2), Base_Enh_PR24Query!$A$2:$A$324, 0))</f>
        <v>1.9965037303096002E-4</v>
      </c>
      <c r="F45" s="155">
        <f>INDEX(Base_Enh_PR24Query!$I$2:$I$324, MATCH('Renewal rates'!$A45&amp;RIGHT('Renewal rates'!F$28,2), Base_Enh_PR24Query!$A$2:$A$324, 0))</f>
        <v>9.2604338449828747E-4</v>
      </c>
      <c r="G45" s="155">
        <f>INDEX(Base_Enh_PR24Query!$I$2:$I$324, MATCH('Renewal rates'!$A45&amp;RIGHT('Renewal rates'!G$28,2), Base_Enh_PR24Query!$A$2:$A$324, 0))</f>
        <v>1.3808705667195068E-3</v>
      </c>
      <c r="H45" s="155">
        <f>INDEX(Base_Enh_PR24Query!$I$2:$I$324, MATCH('Renewal rates'!$A45&amp;RIGHT('Renewal rates'!H$28,2), Base_Enh_PR24Query!$A$2:$A$324, 0))</f>
        <v>8.1341856664163519E-4</v>
      </c>
      <c r="I45" s="155">
        <f>INDEX(Base_Enh_PR24Query!$I$2:$I$324, MATCH('Renewal rates'!$A45&amp;RIGHT('Renewal rates'!I$28,2), Base_Enh_PR24Query!$A$2:$A$324, 0))</f>
        <v>1.4973214931692571E-4</v>
      </c>
      <c r="J45" s="155">
        <f>INDEX(Base_Enh_PR24Query!$I$2:$I$324, MATCH('Renewal rates'!$A45&amp;RIGHT('Renewal rates'!J$28,2), Base_Enh_PR24Query!$A$2:$A$324, 0))</f>
        <v>6.0518831390772912E-4</v>
      </c>
      <c r="K45" s="155">
        <f>INDEX(Base_Enh_PR24Query!$I$2:$I$324, MATCH('Renewal rates'!$A45&amp;RIGHT('Renewal rates'!K$28,2), Base_Enh_PR24Query!$A$2:$A$324, 0))</f>
        <v>9.5588855464027675E-4</v>
      </c>
      <c r="L45" s="155">
        <f>INDEX(Base_Enh_PR24Query!$I$2:$I$324, MATCH('Renewal rates'!$A45&amp;RIGHT('Renewal rates'!L$28,2), Base_Enh_PR24Query!$A$2:$A$324, 0))</f>
        <v>2.584494279860251E-4</v>
      </c>
      <c r="M45" s="155">
        <f>INDEX(Base_Enh_PR24Query!$I$2:$I$324, MATCH('Renewal rates'!$A45&amp;RIGHT('Renewal rates'!M$28,2), Base_Enh_PR24Query!$A$2:$A$324, 0))</f>
        <v>5.5783856152029603E-4</v>
      </c>
      <c r="N45" s="165">
        <f>INDEX(Base_Enh_PR24Query!$I$2:$I$324, MATCH('Renewal rates'!$A45&amp;RIGHT('Renewal rates'!N$28,2), Base_Enh_PR24Query!$A$2:$A$324, 0))</f>
        <v>3.7732119250299609E-4</v>
      </c>
      <c r="O45" s="166">
        <f>INDEX(Base_Enh_PR24Query!$I$2:$I$324, MATCH('Renewal rates'!$A45&amp;RIGHT('Renewal rates'!O$28,2), Base_Enh_PR24Query!$A$2:$A$324, 0))</f>
        <v>2.5555446081087737E-4</v>
      </c>
      <c r="P45" s="156">
        <f>INDEX(Base_Enh_PR24Query!$I$2:$I$324, MATCH('Renewal rates'!$A45&amp;RIGHT('Renewal rates'!P$28,2), Base_Enh_PR24Query!$A$2:$A$324, 0))</f>
        <v>6.6000000000000008E-3</v>
      </c>
      <c r="Q45" s="156">
        <f>INDEX(Base_Enh_PR24Query!$I$2:$I$324, MATCH('Renewal rates'!$A45&amp;RIGHT('Renewal rates'!Q$28,2), Base_Enh_PR24Query!$A$2:$A$324, 0))</f>
        <v>6.6E-3</v>
      </c>
      <c r="R45" s="156">
        <f>INDEX(Base_Enh_PR24Query!$I$2:$I$324, MATCH('Renewal rates'!$A45&amp;RIGHT('Renewal rates'!R$28,2), Base_Enh_PR24Query!$A$2:$A$324, 0))</f>
        <v>6.6E-3</v>
      </c>
      <c r="S45" s="156">
        <f>INDEX(Base_Enh_PR24Query!$I$2:$I$324, MATCH('Renewal rates'!$A45&amp;RIGHT('Renewal rates'!S$28,2), Base_Enh_PR24Query!$A$2:$A$324, 0))</f>
        <v>6.6E-3</v>
      </c>
      <c r="T45" s="156">
        <f>INDEX(Base_Enh_PR24Query!$I$2:$I$324, MATCH('Renewal rates'!$A45&amp;RIGHT('Renewal rates'!T$28,2), Base_Enh_PR24Query!$A$2:$A$324, 0))</f>
        <v>6.6000000000000008E-3</v>
      </c>
      <c r="U45" s="166">
        <f>INDEX('PR24 forecast'!$E$4:$E$139, MATCH('Renewal rates'!$A45&amp;RIGHT('Renewal rates'!U$28,2), 'PR24 forecast'!$A$4:$A$139,0)) / INDEX('PR24 forecast'!$D$4:$D$139, MATCH('Renewal rates'!$A45&amp;RIGHT('Renewal rates'!U$28,2), 'PR24 forecast'!$A$4:$A$139,0))</f>
        <v>2.5555446081087737E-4</v>
      </c>
      <c r="V45" s="156">
        <f>INDEX('PR24 forecast'!$E$4:$E$139, MATCH('Renewal rates'!$A45&amp;RIGHT('Renewal rates'!V$28,2), 'PR24 forecast'!$A$4:$A$139,0)) / INDEX('PR24 forecast'!$D$4:$D$139, MATCH('Renewal rates'!$A45&amp;RIGHT('Renewal rates'!V$28,2), 'PR24 forecast'!$A$4:$A$139,0))</f>
        <v>6.601419719554749E-3</v>
      </c>
      <c r="W45" s="156">
        <f>INDEX('PR24 forecast'!$E$4:$E$139, MATCH('Renewal rates'!$A45&amp;RIGHT('Renewal rates'!W$28,2), 'PR24 forecast'!$A$4:$A$139,0)) / INDEX('PR24 forecast'!$D$4:$D$139, MATCH('Renewal rates'!$A45&amp;RIGHT('Renewal rates'!W$28,2), 'PR24 forecast'!$A$4:$A$139,0))</f>
        <v>6.6015283241662439E-3</v>
      </c>
      <c r="X45" s="156">
        <f>INDEX('PR24 forecast'!$E$4:$E$139, MATCH('Renewal rates'!$A45&amp;RIGHT('Renewal rates'!X$28,2), 'PR24 forecast'!$A$4:$A$139,0)) / INDEX('PR24 forecast'!$D$4:$D$139, MATCH('Renewal rates'!$A45&amp;RIGHT('Renewal rates'!X$28,2), 'PR24 forecast'!$A$4:$A$139,0))</f>
        <v>6.59858697541386E-3</v>
      </c>
      <c r="Y45" s="156">
        <f>INDEX('PR24 forecast'!$E$4:$E$139, MATCH('Renewal rates'!$A45&amp;RIGHT('Renewal rates'!Y$28,2), 'PR24 forecast'!$A$4:$A$139,0)) / INDEX('PR24 forecast'!$D$4:$D$139, MATCH('Renewal rates'!$A45&amp;RIGHT('Renewal rates'!Y$28,2), 'PR24 forecast'!$A$4:$A$139,0))</f>
        <v>6.598703967125019E-3</v>
      </c>
      <c r="Z45" s="167">
        <f>INDEX('PR24 forecast'!$E$4:$E$139, MATCH('Renewal rates'!$A45&amp;RIGHT('Renewal rates'!Z$28,2), 'PR24 forecast'!$A$4:$A$139,0)) / INDEX('PR24 forecast'!$D$4:$D$139, MATCH('Renewal rates'!$A45&amp;RIGHT('Renewal rates'!Z$28,2), 'PR24 forecast'!$A$4:$A$139,0))</f>
        <v>6.5988202109319846E-3</v>
      </c>
      <c r="AA45" s="161">
        <f t="shared" si="13"/>
        <v>1.2848621099661932E-3</v>
      </c>
      <c r="AB45" s="161">
        <f t="shared" si="14"/>
        <v>5.5093721011146462E-4</v>
      </c>
      <c r="AC45" s="161">
        <f t="shared" si="15"/>
        <v>4.8101043949209422E-4</v>
      </c>
      <c r="AD45" s="161">
        <f t="shared" si="16"/>
        <v>2.6293590046085917E-3</v>
      </c>
      <c r="AE45" s="163">
        <f t="shared" si="17"/>
        <v>6.5998118394383718E-3</v>
      </c>
    </row>
    <row r="46" spans="1:31">
      <c r="A46" s="157" t="s">
        <v>20</v>
      </c>
      <c r="B46" s="218">
        <f>AVERAGE(B29:B45)</f>
        <v>6.0770047894320332E-3</v>
      </c>
      <c r="C46" s="217">
        <f t="shared" ref="C46" si="18">AVERAGE(C29:C45)</f>
        <v>5.2389611439614646E-3</v>
      </c>
      <c r="D46" s="217">
        <f t="shared" ref="D46" si="19">AVERAGE(D29:D45)</f>
        <v>4.7410239365635737E-3</v>
      </c>
      <c r="E46" s="217">
        <f t="shared" ref="E46" si="20">AVERAGE(E29:E45)</f>
        <v>3.5812459596177861E-3</v>
      </c>
      <c r="F46" s="217">
        <f t="shared" ref="F46" si="21">AVERAGE(F29:F45)</f>
        <v>2.7782539458402573E-3</v>
      </c>
      <c r="G46" s="217">
        <f t="shared" ref="G46" si="22">AVERAGE(G29:G45)</f>
        <v>2.7646695137142877E-3</v>
      </c>
      <c r="H46" s="217">
        <f t="shared" ref="H46" si="23">AVERAGE(H29:H45)</f>
        <v>3.1152355598886767E-3</v>
      </c>
      <c r="I46" s="217">
        <f t="shared" ref="I46" si="24">AVERAGE(I29:I45)</f>
        <v>3.0511617345937241E-3</v>
      </c>
      <c r="J46" s="217">
        <f t="shared" ref="J46" si="25">AVERAGE(J29:J45)</f>
        <v>2.6534680023419573E-3</v>
      </c>
      <c r="K46" s="217">
        <f t="shared" ref="K46" si="26">AVERAGE(K29:K45)</f>
        <v>1.3441896367850461E-3</v>
      </c>
      <c r="L46" s="217">
        <f t="shared" ref="L46" si="27">AVERAGE(L29:L45)</f>
        <v>1.4088108228768775E-3</v>
      </c>
      <c r="M46" s="217">
        <f t="shared" ref="M46" si="28">AVERAGE(M29:M45)</f>
        <v>1.6135042122229454E-3</v>
      </c>
      <c r="N46" s="169">
        <f t="shared" ref="N46" si="29">AVERAGE(N29:N45)</f>
        <v>1.1273941764232561E-3</v>
      </c>
      <c r="O46" s="168">
        <f t="shared" ref="O46" si="30">AVERAGE(O29:O45)</f>
        <v>1.9232229251523088E-3</v>
      </c>
      <c r="P46" s="158">
        <f t="shared" ref="P46" si="31">AVERAGE(P29:P45)</f>
        <v>3.6546680159856766E-3</v>
      </c>
      <c r="Q46" s="158">
        <f t="shared" ref="Q46" si="32">AVERAGE(Q29:Q45)</f>
        <v>4.0010728245282899E-3</v>
      </c>
      <c r="R46" s="158">
        <f t="shared" ref="R46" si="33">AVERAGE(R29:R45)</f>
        <v>4.1913105725767093E-3</v>
      </c>
      <c r="S46" s="158">
        <f t="shared" ref="S46" si="34">AVERAGE(S29:S45)</f>
        <v>4.178229798329049E-3</v>
      </c>
      <c r="T46" s="158">
        <f t="shared" ref="T46:Z46" si="35">AVERAGE(T29:T45)</f>
        <v>4.3735203097072448E-3</v>
      </c>
      <c r="U46" s="168">
        <f t="shared" si="35"/>
        <v>1.667020313984183E-3</v>
      </c>
      <c r="V46" s="158">
        <f t="shared" si="35"/>
        <v>3.4634447733528817E-3</v>
      </c>
      <c r="W46" s="158">
        <f t="shared" si="35"/>
        <v>4.2954484098679351E-3</v>
      </c>
      <c r="X46" s="158">
        <f t="shared" si="35"/>
        <v>4.6517051162265552E-3</v>
      </c>
      <c r="Y46" s="158">
        <f t="shared" si="35"/>
        <v>4.6412982778612664E-3</v>
      </c>
      <c r="Z46" s="158">
        <f t="shared" si="35"/>
        <v>4.6660682210604883E-3</v>
      </c>
      <c r="AA46" s="217">
        <f t="shared" ref="AA46" si="36">AVERAGE(AA29:AA45)</f>
        <v>3.038071033404761E-3</v>
      </c>
      <c r="AB46" s="217">
        <f t="shared" ref="AB46" si="37">AVERAGE(AB29:AB45)</f>
        <v>1.6294733701300165E-3</v>
      </c>
      <c r="AC46" s="217">
        <f t="shared" ref="AC46" si="38">AVERAGE(AC29:AC45)</f>
        <v>1.4321838324584618E-3</v>
      </c>
      <c r="AD46" s="217">
        <f t="shared" ref="AD46" si="39">AVERAGE(AD29:AD45)</f>
        <v>3.3094688708744844E-3</v>
      </c>
      <c r="AE46" s="169">
        <f t="shared" ref="AE46" si="40">AVERAGE(AE29:AE45)</f>
        <v>4.3435929596738251E-3</v>
      </c>
    </row>
    <row r="48" spans="1:31">
      <c r="A48" s="151" t="s">
        <v>450</v>
      </c>
    </row>
    <row r="50" spans="1:7" ht="26.25">
      <c r="A50" s="174" t="s">
        <v>86</v>
      </c>
      <c r="B50" s="172" t="s">
        <v>451</v>
      </c>
      <c r="C50" s="272" t="s">
        <v>452</v>
      </c>
      <c r="D50" s="272"/>
      <c r="E50" s="272"/>
      <c r="F50" s="272"/>
      <c r="G50" s="272"/>
    </row>
    <row r="51" spans="1:7">
      <c r="A51" s="244" t="s">
        <v>84</v>
      </c>
      <c r="B51" s="246">
        <v>3.0000000000000001E-3</v>
      </c>
      <c r="C51" s="271" t="s">
        <v>453</v>
      </c>
      <c r="D51" s="271"/>
      <c r="E51" s="271"/>
      <c r="F51" s="271"/>
      <c r="G51" s="271"/>
    </row>
    <row r="52" spans="1:7">
      <c r="A52" s="244" t="s">
        <v>21</v>
      </c>
      <c r="B52" s="246">
        <v>2E-3</v>
      </c>
      <c r="C52" s="271" t="s">
        <v>454</v>
      </c>
      <c r="D52" s="271"/>
      <c r="E52" s="271"/>
      <c r="F52" s="271"/>
      <c r="G52" s="271"/>
    </row>
    <row r="53" spans="1:7">
      <c r="A53" s="244" t="s">
        <v>34</v>
      </c>
      <c r="B53" s="246">
        <v>2.8E-3</v>
      </c>
      <c r="C53" s="271" t="s">
        <v>455</v>
      </c>
      <c r="D53" s="271"/>
      <c r="E53" s="271"/>
      <c r="F53" s="271"/>
      <c r="G53" s="271"/>
    </row>
    <row r="54" spans="1:7">
      <c r="A54" s="244" t="s">
        <v>81</v>
      </c>
      <c r="B54" s="246">
        <v>3.8E-3</v>
      </c>
      <c r="C54" s="271" t="s">
        <v>456</v>
      </c>
      <c r="D54" s="271"/>
      <c r="E54" s="271"/>
      <c r="F54" s="271"/>
      <c r="G54" s="271"/>
    </row>
    <row r="55" spans="1:7">
      <c r="A55" s="244" t="s">
        <v>38</v>
      </c>
      <c r="B55" s="246">
        <v>1.8E-3</v>
      </c>
      <c r="C55" s="271" t="s">
        <v>457</v>
      </c>
      <c r="D55" s="271"/>
      <c r="E55" s="271"/>
      <c r="F55" s="271"/>
      <c r="G55" s="271"/>
    </row>
    <row r="56" spans="1:7">
      <c r="A56" s="244" t="s">
        <v>50</v>
      </c>
      <c r="B56" s="246">
        <v>1E-3</v>
      </c>
      <c r="C56" s="271" t="s">
        <v>456</v>
      </c>
      <c r="D56" s="271"/>
      <c r="E56" s="271"/>
      <c r="F56" s="271"/>
      <c r="G56" s="271"/>
    </row>
    <row r="57" spans="1:7">
      <c r="A57" s="244" t="s">
        <v>39</v>
      </c>
      <c r="B57" s="246">
        <v>3.0000000000000001E-3</v>
      </c>
      <c r="C57" s="271" t="s">
        <v>458</v>
      </c>
      <c r="D57" s="271"/>
      <c r="E57" s="271"/>
      <c r="F57" s="271"/>
      <c r="G57" s="271"/>
    </row>
    <row r="58" spans="1:7">
      <c r="A58" s="244" t="s">
        <v>41</v>
      </c>
      <c r="B58" s="246">
        <v>3.0000000000000001E-3</v>
      </c>
      <c r="C58" s="271" t="s">
        <v>456</v>
      </c>
      <c r="D58" s="271"/>
      <c r="E58" s="271"/>
      <c r="F58" s="271"/>
      <c r="G58" s="271"/>
    </row>
    <row r="59" spans="1:7">
      <c r="A59" s="244" t="s">
        <v>42</v>
      </c>
      <c r="B59" s="246">
        <v>1.5E-3</v>
      </c>
      <c r="C59" s="271" t="s">
        <v>459</v>
      </c>
      <c r="D59" s="271"/>
      <c r="E59" s="271"/>
      <c r="F59" s="271"/>
      <c r="G59" s="271"/>
    </row>
    <row r="60" spans="1:7">
      <c r="A60" s="244" t="s">
        <v>43</v>
      </c>
      <c r="B60" s="246">
        <v>1.6999999999999999E-3</v>
      </c>
      <c r="C60" s="271" t="s">
        <v>460</v>
      </c>
      <c r="D60" s="271"/>
      <c r="E60" s="271"/>
      <c r="F60" s="271"/>
      <c r="G60" s="271"/>
    </row>
    <row r="61" spans="1:7">
      <c r="A61" s="244" t="s">
        <v>85</v>
      </c>
      <c r="B61" s="246">
        <v>5.5999999999999999E-3</v>
      </c>
      <c r="C61" s="271" t="s">
        <v>456</v>
      </c>
      <c r="D61" s="271"/>
      <c r="E61" s="271"/>
      <c r="F61" s="271"/>
      <c r="G61" s="271"/>
    </row>
    <row r="62" spans="1:7">
      <c r="A62" s="244" t="s">
        <v>82</v>
      </c>
      <c r="B62" s="246">
        <v>3.8999999999999998E-3</v>
      </c>
      <c r="C62" s="271" t="s">
        <v>456</v>
      </c>
      <c r="D62" s="271"/>
      <c r="E62" s="271"/>
      <c r="F62" s="271"/>
      <c r="G62" s="271"/>
    </row>
    <row r="63" spans="1:7">
      <c r="A63" s="244" t="s">
        <v>83</v>
      </c>
      <c r="B63" s="246">
        <v>2E-3</v>
      </c>
      <c r="C63" s="271" t="s">
        <v>455</v>
      </c>
      <c r="D63" s="271"/>
      <c r="E63" s="271"/>
      <c r="F63" s="271"/>
      <c r="G63" s="271"/>
    </row>
    <row r="64" spans="1:7">
      <c r="A64" s="244" t="s">
        <v>48</v>
      </c>
      <c r="B64" s="246">
        <v>1.6999999999999999E-3</v>
      </c>
      <c r="C64" s="271" t="s">
        <v>461</v>
      </c>
      <c r="D64" s="271"/>
      <c r="E64" s="271"/>
      <c r="F64" s="271"/>
      <c r="G64" s="271"/>
    </row>
    <row r="65" spans="1:7">
      <c r="A65" s="244" t="s">
        <v>51</v>
      </c>
      <c r="B65" s="246">
        <v>3.0000000000000001E-3</v>
      </c>
      <c r="C65" s="271" t="s">
        <v>462</v>
      </c>
      <c r="D65" s="271"/>
      <c r="E65" s="271"/>
      <c r="F65" s="271"/>
      <c r="G65" s="271"/>
    </row>
    <row r="66" spans="1:7">
      <c r="A66" s="244" t="s">
        <v>52</v>
      </c>
      <c r="B66" s="246">
        <v>2.3999999999999998E-3</v>
      </c>
      <c r="C66" s="271" t="s">
        <v>463</v>
      </c>
      <c r="D66" s="271"/>
      <c r="E66" s="271"/>
      <c r="F66" s="271"/>
      <c r="G66" s="271"/>
    </row>
    <row r="67" spans="1:7">
      <c r="A67" s="244" t="s">
        <v>53</v>
      </c>
      <c r="B67" s="246">
        <v>2.0999999999999999E-3</v>
      </c>
      <c r="C67" s="271" t="s">
        <v>464</v>
      </c>
      <c r="D67" s="271"/>
      <c r="E67" s="271"/>
      <c r="F67" s="271"/>
      <c r="G67" s="271"/>
    </row>
    <row r="68" spans="1:7">
      <c r="A68" s="252" t="s">
        <v>465</v>
      </c>
      <c r="B68" s="253">
        <f>AVERAGE(B51:B67)</f>
        <v>2.6058823529411766E-3</v>
      </c>
    </row>
  </sheetData>
  <mergeCells count="25">
    <mergeCell ref="AA27:AE27"/>
    <mergeCell ref="U3:AA3"/>
    <mergeCell ref="B3:N3"/>
    <mergeCell ref="O3:T3"/>
    <mergeCell ref="B27:N27"/>
    <mergeCell ref="O27:T27"/>
    <mergeCell ref="U27:Z27"/>
    <mergeCell ref="C50:G50"/>
    <mergeCell ref="C51:G51"/>
    <mergeCell ref="C52:G52"/>
    <mergeCell ref="C53:G53"/>
    <mergeCell ref="C54:G54"/>
    <mergeCell ref="C55:G55"/>
    <mergeCell ref="C56:G56"/>
    <mergeCell ref="C57:G57"/>
    <mergeCell ref="C58:G58"/>
    <mergeCell ref="C59:G59"/>
    <mergeCell ref="C65:G65"/>
    <mergeCell ref="C66:G66"/>
    <mergeCell ref="C67:G67"/>
    <mergeCell ref="C60:G60"/>
    <mergeCell ref="C61:G61"/>
    <mergeCell ref="C62:G62"/>
    <mergeCell ref="C63:G63"/>
    <mergeCell ref="C64:G6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56660-F613-42EB-9AB0-EAA9504BFFC7}">
  <sheetPr>
    <tabColor rgb="FFCCCCCE"/>
  </sheetPr>
  <dimension ref="A1:AT77"/>
  <sheetViews>
    <sheetView zoomScale="80" zoomScaleNormal="80" workbookViewId="0"/>
  </sheetViews>
  <sheetFormatPr defaultRowHeight="14.25"/>
  <cols>
    <col min="1" max="1" width="13.28515625" bestFit="1" customWidth="1"/>
    <col min="2" max="2" width="31.140625" bestFit="1" customWidth="1"/>
    <col min="3" max="6" width="10.85546875" bestFit="1" customWidth="1"/>
    <col min="7" max="7" width="11.5703125" bestFit="1" customWidth="1"/>
    <col min="8" max="8" width="5.7109375" bestFit="1" customWidth="1"/>
    <col min="9" max="9" width="9.5703125" bestFit="1" customWidth="1"/>
    <col min="10" max="10" width="18.85546875" customWidth="1"/>
    <col min="11" max="11" width="13.7109375" bestFit="1" customWidth="1"/>
    <col min="12" max="12" width="16.28515625" customWidth="1"/>
    <col min="13" max="14" width="11" bestFit="1" customWidth="1"/>
    <col min="15" max="15" width="10.28515625" bestFit="1" customWidth="1"/>
    <col min="16" max="16" width="13.140625" bestFit="1" customWidth="1"/>
    <col min="17" max="17" width="11.42578125" bestFit="1" customWidth="1"/>
    <col min="18" max="18" width="11" bestFit="1" customWidth="1"/>
    <col min="19" max="20" width="10.42578125" customWidth="1"/>
    <col min="21" max="21" width="8" customWidth="1"/>
    <col min="22" max="22" width="7.85546875" customWidth="1"/>
    <col min="23" max="25" width="6.7109375" customWidth="1"/>
    <col min="26" max="27" width="6.7109375" bestFit="1" customWidth="1"/>
    <col min="28" max="28" width="10.28515625" bestFit="1" customWidth="1"/>
    <col min="29" max="31" width="9.140625" bestFit="1" customWidth="1"/>
    <col min="32" max="32" width="6.85546875" bestFit="1" customWidth="1"/>
    <col min="33" max="33" width="10.28515625" bestFit="1" customWidth="1"/>
    <col min="34" max="34" width="6.7109375" bestFit="1" customWidth="1"/>
    <col min="35" max="35" width="8.85546875" customWidth="1"/>
    <col min="36" max="36" width="7.42578125" customWidth="1"/>
    <col min="37" max="37" width="8.85546875" customWidth="1"/>
    <col min="38" max="38" width="9.85546875" customWidth="1"/>
    <col min="39" max="39" width="7" customWidth="1"/>
    <col min="40" max="40" width="8" customWidth="1"/>
    <col min="41" max="41" width="5.7109375" bestFit="1" customWidth="1"/>
    <col min="42" max="49" width="6.7109375" bestFit="1" customWidth="1"/>
    <col min="50" max="50" width="5.7109375" bestFit="1" customWidth="1"/>
    <col min="51" max="51" width="6.7109375" bestFit="1" customWidth="1"/>
    <col min="52" max="52" width="3.7109375" bestFit="1" customWidth="1"/>
    <col min="53" max="54" width="6.7109375" bestFit="1" customWidth="1"/>
    <col min="55" max="56" width="3.7109375" bestFit="1" customWidth="1"/>
    <col min="57" max="57" width="5.7109375" bestFit="1" customWidth="1"/>
    <col min="58" max="59" width="7.7109375" bestFit="1" customWidth="1"/>
    <col min="60" max="60" width="3.7109375" bestFit="1" customWidth="1"/>
    <col min="61" max="61" width="7.7109375" bestFit="1" customWidth="1"/>
    <col min="62" max="62" width="6.7109375" bestFit="1" customWidth="1"/>
    <col min="63" max="63" width="7.7109375" bestFit="1" customWidth="1"/>
    <col min="64" max="65" width="3.7109375" bestFit="1" customWidth="1"/>
    <col min="66" max="66" width="7.7109375" bestFit="1" customWidth="1"/>
    <col min="67" max="70" width="3.7109375" bestFit="1" customWidth="1"/>
    <col min="71" max="71" width="6.7109375" bestFit="1" customWidth="1"/>
    <col min="72" max="73" width="7.7109375" bestFit="1" customWidth="1"/>
    <col min="74" max="78" width="3.7109375" bestFit="1" customWidth="1"/>
    <col min="79" max="79" width="7.7109375" bestFit="1" customWidth="1"/>
    <col min="80" max="83" width="4.7109375" bestFit="1" customWidth="1"/>
    <col min="84" max="84" width="7.7109375" bestFit="1" customWidth="1"/>
    <col min="85" max="86" width="6.7109375" bestFit="1" customWidth="1"/>
    <col min="87" max="88" width="7.7109375" bestFit="1" customWidth="1"/>
    <col min="89" max="89" width="4.7109375" bestFit="1" customWidth="1"/>
    <col min="90" max="90" width="6.7109375" bestFit="1" customWidth="1"/>
    <col min="91" max="92" width="7.7109375" bestFit="1" customWidth="1"/>
    <col min="93" max="94" width="4.7109375" bestFit="1" customWidth="1"/>
    <col min="95" max="97" width="7.7109375" bestFit="1" customWidth="1"/>
    <col min="98" max="98" width="8.7109375" bestFit="1" customWidth="1"/>
    <col min="99" max="100" width="7.7109375" bestFit="1" customWidth="1"/>
    <col min="101" max="101" width="8.7109375" bestFit="1" customWidth="1"/>
    <col min="102" max="102" width="7.7109375" bestFit="1" customWidth="1"/>
    <col min="103" max="103" width="8.7109375" bestFit="1" customWidth="1"/>
    <col min="104" max="105" width="7.7109375" bestFit="1" customWidth="1"/>
    <col min="106" max="108" width="8.7109375" bestFit="1" customWidth="1"/>
    <col min="109" max="109" width="7.7109375" bestFit="1" customWidth="1"/>
    <col min="110" max="111" width="8.7109375" bestFit="1" customWidth="1"/>
    <col min="112" max="112" width="10.42578125" bestFit="1" customWidth="1"/>
    <col min="113" max="113" width="5.5703125" bestFit="1" customWidth="1"/>
    <col min="114" max="114" width="8.28515625" bestFit="1" customWidth="1"/>
    <col min="115" max="115" width="7.5703125" bestFit="1" customWidth="1"/>
    <col min="116" max="116" width="9.85546875" bestFit="1" customWidth="1"/>
    <col min="117" max="117" width="8.5703125" bestFit="1" customWidth="1"/>
    <col min="118" max="118" width="10.85546875" bestFit="1" customWidth="1"/>
    <col min="119" max="119" width="5.5703125" bestFit="1" customWidth="1"/>
    <col min="120" max="120" width="8.28515625" bestFit="1" customWidth="1"/>
    <col min="121" max="121" width="5.5703125" bestFit="1" customWidth="1"/>
    <col min="122" max="122" width="8.28515625" bestFit="1" customWidth="1"/>
    <col min="123" max="123" width="5.5703125" bestFit="1" customWidth="1"/>
    <col min="124" max="124" width="8.28515625" bestFit="1" customWidth="1"/>
    <col min="125" max="125" width="5.5703125" bestFit="1" customWidth="1"/>
    <col min="126" max="126" width="8.28515625" bestFit="1" customWidth="1"/>
    <col min="127" max="127" width="5.5703125" bestFit="1" customWidth="1"/>
    <col min="128" max="128" width="8.28515625" bestFit="1" customWidth="1"/>
    <col min="129" max="129" width="5.5703125" bestFit="1" customWidth="1"/>
    <col min="130" max="130" width="8.28515625" bestFit="1" customWidth="1"/>
    <col min="131" max="131" width="5.5703125" bestFit="1" customWidth="1"/>
    <col min="132" max="132" width="8.28515625" bestFit="1" customWidth="1"/>
    <col min="133" max="133" width="5.5703125" bestFit="1" customWidth="1"/>
    <col min="134" max="134" width="8.28515625" bestFit="1" customWidth="1"/>
    <col min="135" max="135" width="5.5703125" bestFit="1" customWidth="1"/>
    <col min="136" max="136" width="8.28515625" bestFit="1" customWidth="1"/>
    <col min="137" max="137" width="7.5703125" bestFit="1" customWidth="1"/>
    <col min="138" max="138" width="9.85546875" bestFit="1" customWidth="1"/>
    <col min="139" max="139" width="5.5703125" bestFit="1" customWidth="1"/>
    <col min="140" max="140" width="8.28515625" bestFit="1" customWidth="1"/>
    <col min="141" max="141" width="5.5703125" bestFit="1" customWidth="1"/>
    <col min="142" max="142" width="8.28515625" bestFit="1" customWidth="1"/>
    <col min="143" max="143" width="8.5703125" bestFit="1" customWidth="1"/>
    <col min="144" max="144" width="10.85546875" bestFit="1" customWidth="1"/>
    <col min="145" max="145" width="8.5703125" bestFit="1" customWidth="1"/>
    <col min="146" max="146" width="10.85546875" bestFit="1" customWidth="1"/>
    <col min="147" max="147" width="5.5703125" bestFit="1" customWidth="1"/>
    <col min="148" max="148" width="8.28515625" bestFit="1" customWidth="1"/>
    <col min="149" max="149" width="5.5703125" bestFit="1" customWidth="1"/>
    <col min="150" max="150" width="8.28515625" bestFit="1" customWidth="1"/>
    <col min="151" max="151" width="5.5703125" bestFit="1" customWidth="1"/>
    <col min="152" max="152" width="8.28515625" bestFit="1" customWidth="1"/>
    <col min="153" max="153" width="8.5703125" bestFit="1" customWidth="1"/>
    <col min="154" max="154" width="10.85546875" bestFit="1" customWidth="1"/>
    <col min="155" max="155" width="7.5703125" bestFit="1" customWidth="1"/>
    <col min="156" max="156" width="9.85546875" bestFit="1" customWidth="1"/>
    <col min="157" max="157" width="5.5703125" bestFit="1" customWidth="1"/>
    <col min="158" max="158" width="8.28515625" bestFit="1" customWidth="1"/>
    <col min="159" max="159" width="8.5703125" bestFit="1" customWidth="1"/>
    <col min="160" max="160" width="10.85546875" bestFit="1" customWidth="1"/>
    <col min="161" max="161" width="7.5703125" bestFit="1" customWidth="1"/>
    <col min="162" max="162" width="9.85546875" bestFit="1" customWidth="1"/>
    <col min="163" max="163" width="7.5703125" bestFit="1" customWidth="1"/>
    <col min="164" max="164" width="9.85546875" bestFit="1" customWidth="1"/>
    <col min="165" max="165" width="9.5703125" bestFit="1" customWidth="1"/>
    <col min="166" max="166" width="11.85546875" bestFit="1" customWidth="1"/>
    <col min="167" max="167" width="9.5703125" bestFit="1" customWidth="1"/>
    <col min="168" max="168" width="11.85546875" bestFit="1" customWidth="1"/>
    <col min="169" max="169" width="6.5703125" bestFit="1" customWidth="1"/>
    <col min="170" max="170" width="9.28515625" bestFit="1" customWidth="1"/>
    <col min="171" max="171" width="6.5703125" bestFit="1" customWidth="1"/>
    <col min="172" max="172" width="9.28515625" bestFit="1" customWidth="1"/>
    <col min="173" max="173" width="9.5703125" bestFit="1" customWidth="1"/>
    <col min="174" max="174" width="11.85546875" bestFit="1" customWidth="1"/>
    <col min="175" max="175" width="9.5703125" bestFit="1" customWidth="1"/>
    <col min="176" max="176" width="11.85546875" bestFit="1" customWidth="1"/>
    <col min="177" max="177" width="9.5703125" bestFit="1" customWidth="1"/>
    <col min="178" max="178" width="11.85546875" bestFit="1" customWidth="1"/>
    <col min="179" max="179" width="9.5703125" bestFit="1" customWidth="1"/>
    <col min="180" max="180" width="11.85546875" bestFit="1" customWidth="1"/>
    <col min="181" max="181" width="9.5703125" bestFit="1" customWidth="1"/>
    <col min="182" max="182" width="11.85546875" bestFit="1" customWidth="1"/>
    <col min="183" max="183" width="9.5703125" bestFit="1" customWidth="1"/>
    <col min="184" max="184" width="11.85546875" bestFit="1" customWidth="1"/>
    <col min="185" max="185" width="9.5703125" bestFit="1" customWidth="1"/>
    <col min="186" max="186" width="11.85546875" bestFit="1" customWidth="1"/>
    <col min="187" max="187" width="9.5703125" bestFit="1" customWidth="1"/>
    <col min="188" max="188" width="11.85546875" bestFit="1" customWidth="1"/>
    <col min="189" max="189" width="9.5703125" bestFit="1" customWidth="1"/>
    <col min="190" max="190" width="11.85546875" bestFit="1" customWidth="1"/>
    <col min="191" max="191" width="9.5703125" bestFit="1" customWidth="1"/>
    <col min="192" max="192" width="11.85546875" bestFit="1" customWidth="1"/>
    <col min="193" max="193" width="9.5703125" bestFit="1" customWidth="1"/>
    <col min="194" max="194" width="11.85546875" bestFit="1" customWidth="1"/>
    <col min="195" max="195" width="9.5703125" bestFit="1" customWidth="1"/>
    <col min="196" max="196" width="11.85546875" bestFit="1" customWidth="1"/>
    <col min="197" max="197" width="9.5703125" bestFit="1" customWidth="1"/>
    <col min="198" max="198" width="11.85546875" bestFit="1" customWidth="1"/>
    <col min="199" max="199" width="9.5703125" bestFit="1" customWidth="1"/>
    <col min="200" max="200" width="11.85546875" bestFit="1" customWidth="1"/>
    <col min="201" max="201" width="9.5703125" bestFit="1" customWidth="1"/>
    <col min="202" max="202" width="11.85546875" bestFit="1" customWidth="1"/>
    <col min="203" max="203" width="9.5703125" bestFit="1" customWidth="1"/>
    <col min="204" max="204" width="11.85546875" bestFit="1" customWidth="1"/>
    <col min="205" max="205" width="9.5703125" bestFit="1" customWidth="1"/>
    <col min="206" max="206" width="11.85546875" bestFit="1" customWidth="1"/>
    <col min="207" max="207" width="6.5703125" bestFit="1" customWidth="1"/>
    <col min="208" max="208" width="9.28515625" bestFit="1" customWidth="1"/>
    <col min="209" max="209" width="6.5703125" bestFit="1" customWidth="1"/>
    <col min="210" max="210" width="9.28515625" bestFit="1" customWidth="1"/>
    <col min="211" max="211" width="9.5703125" bestFit="1" customWidth="1"/>
    <col min="212" max="212" width="11.85546875" bestFit="1" customWidth="1"/>
    <col min="213" max="213" width="9.5703125" bestFit="1" customWidth="1"/>
    <col min="214" max="214" width="11.85546875" bestFit="1" customWidth="1"/>
    <col min="215" max="215" width="9.5703125" bestFit="1" customWidth="1"/>
    <col min="216" max="216" width="11.85546875" bestFit="1" customWidth="1"/>
    <col min="217" max="217" width="8.5703125" bestFit="1" customWidth="1"/>
    <col min="218" max="218" width="10.85546875" bestFit="1" customWidth="1"/>
    <col min="219" max="219" width="10.5703125" bestFit="1" customWidth="1"/>
    <col min="220" max="220" width="12.85546875" bestFit="1" customWidth="1"/>
    <col min="221" max="221" width="10.5703125" bestFit="1" customWidth="1"/>
    <col min="222" max="222" width="12.85546875" bestFit="1" customWidth="1"/>
    <col min="223" max="223" width="10.5703125" bestFit="1" customWidth="1"/>
    <col min="224" max="224" width="12.85546875" bestFit="1" customWidth="1"/>
    <col min="225" max="225" width="10.5703125" bestFit="1" customWidth="1"/>
    <col min="226" max="226" width="12.85546875" bestFit="1" customWidth="1"/>
    <col min="227" max="227" width="10.5703125" bestFit="1" customWidth="1"/>
    <col min="228" max="228" width="12.85546875" bestFit="1" customWidth="1"/>
    <col min="229" max="229" width="10.5703125" bestFit="1" customWidth="1"/>
    <col min="230" max="230" width="12.85546875" bestFit="1" customWidth="1"/>
    <col min="231" max="231" width="10.5703125" bestFit="1" customWidth="1"/>
    <col min="232" max="232" width="12.85546875" bestFit="1" customWidth="1"/>
    <col min="233" max="233" width="10.5703125" bestFit="1" customWidth="1"/>
    <col min="234" max="234" width="12.85546875" bestFit="1" customWidth="1"/>
    <col min="235" max="235" width="10.5703125" bestFit="1" customWidth="1"/>
    <col min="236" max="236" width="12.85546875" bestFit="1" customWidth="1"/>
    <col min="237" max="237" width="7.7109375" bestFit="1" customWidth="1"/>
    <col min="238" max="238" width="10.28515625" bestFit="1" customWidth="1"/>
    <col min="239" max="239" width="10.42578125" bestFit="1" customWidth="1"/>
  </cols>
  <sheetData>
    <row r="1" spans="1:25">
      <c r="A1" s="7" t="s">
        <v>466</v>
      </c>
    </row>
    <row r="2" spans="1:25">
      <c r="T2" s="7" t="s">
        <v>467</v>
      </c>
    </row>
    <row r="3" spans="1:25">
      <c r="A3" s="30" t="s">
        <v>13</v>
      </c>
      <c r="B3" t="s">
        <v>30</v>
      </c>
      <c r="J3" s="7" t="s">
        <v>468</v>
      </c>
    </row>
    <row r="4" spans="1:25">
      <c r="A4" s="30" t="s">
        <v>14</v>
      </c>
      <c r="B4" t="s">
        <v>23</v>
      </c>
    </row>
    <row r="6" spans="1:25">
      <c r="A6" s="30" t="s">
        <v>469</v>
      </c>
      <c r="B6" t="s">
        <v>470</v>
      </c>
      <c r="C6" t="s">
        <v>471</v>
      </c>
      <c r="D6" t="s">
        <v>472</v>
      </c>
      <c r="E6" t="s">
        <v>473</v>
      </c>
      <c r="F6" t="s">
        <v>474</v>
      </c>
      <c r="G6" t="s">
        <v>475</v>
      </c>
      <c r="J6" s="31" t="s">
        <v>86</v>
      </c>
      <c r="K6" s="39" t="s">
        <v>470</v>
      </c>
      <c r="L6" s="39" t="s">
        <v>471</v>
      </c>
      <c r="M6" s="39" t="s">
        <v>472</v>
      </c>
      <c r="N6" s="39" t="s">
        <v>473</v>
      </c>
      <c r="O6" s="39" t="s">
        <v>474</v>
      </c>
      <c r="P6" s="39" t="s">
        <v>475</v>
      </c>
      <c r="Q6" s="39" t="s">
        <v>476</v>
      </c>
      <c r="R6" s="39" t="s">
        <v>477</v>
      </c>
      <c r="S6" s="35"/>
      <c r="T6" s="39" t="s">
        <v>478</v>
      </c>
      <c r="U6" s="39" t="s">
        <v>479</v>
      </c>
      <c r="V6" s="39" t="s">
        <v>480</v>
      </c>
      <c r="W6" s="39" t="s">
        <v>481</v>
      </c>
      <c r="X6" s="39" t="s">
        <v>482</v>
      </c>
      <c r="Y6" s="39" t="s">
        <v>483</v>
      </c>
    </row>
    <row r="7" spans="1:25">
      <c r="A7" s="32" t="s">
        <v>21</v>
      </c>
      <c r="B7">
        <v>19452.93</v>
      </c>
      <c r="C7">
        <v>11094.81</v>
      </c>
      <c r="D7">
        <v>3807.16</v>
      </c>
      <c r="E7">
        <v>485.22</v>
      </c>
      <c r="F7">
        <v>57.13</v>
      </c>
      <c r="G7">
        <v>34897.26</v>
      </c>
      <c r="J7" t="s">
        <v>84</v>
      </c>
      <c r="K7" s="40">
        <v>8944.408932999997</v>
      </c>
      <c r="L7" s="40">
        <v>4365.0338230000007</v>
      </c>
      <c r="M7" s="40">
        <v>1892.4685019999999</v>
      </c>
      <c r="N7" s="40">
        <v>422.10198300000008</v>
      </c>
      <c r="O7" s="40">
        <v>38.995328999999991</v>
      </c>
      <c r="P7" s="40">
        <f>SUM(K7:O7)</f>
        <v>15663.008569999996</v>
      </c>
      <c r="Q7" s="40">
        <f>SUM(N7:O7)</f>
        <v>461.09731200000004</v>
      </c>
      <c r="R7" s="41">
        <f>Q7/P7</f>
        <v>2.9438617104708648E-2</v>
      </c>
      <c r="S7" s="35"/>
      <c r="T7" s="37">
        <f t="shared" ref="T7:T23" si="0">K7/$P7</f>
        <v>0.57105305746506396</v>
      </c>
      <c r="U7" s="37">
        <f t="shared" ref="U7:U23" si="1">L7/$P7</f>
        <v>0.2786842517190809</v>
      </c>
      <c r="V7" s="37">
        <f t="shared" ref="V7:V23" si="2">M7/$P7</f>
        <v>0.12082407371114656</v>
      </c>
      <c r="W7" s="37">
        <f t="shared" ref="W7:W23" si="3">N7/$P7</f>
        <v>2.6948972230562994E-2</v>
      </c>
      <c r="X7" s="37">
        <f t="shared" ref="X7:X23" si="4">O7/$P7</f>
        <v>2.4896448741456574E-3</v>
      </c>
      <c r="Y7" s="42">
        <f>SUM(T7:X7)</f>
        <v>1.0000000000000002</v>
      </c>
    </row>
    <row r="8" spans="1:25">
      <c r="A8" s="32" t="s">
        <v>34</v>
      </c>
      <c r="B8">
        <v>3238.66</v>
      </c>
      <c r="C8">
        <v>1734.06</v>
      </c>
      <c r="D8">
        <v>953.61</v>
      </c>
      <c r="E8">
        <v>180.29</v>
      </c>
      <c r="F8">
        <v>7.36</v>
      </c>
      <c r="G8">
        <v>6113.98</v>
      </c>
      <c r="J8" t="s">
        <v>21</v>
      </c>
      <c r="K8" s="40">
        <v>18827.693754000011</v>
      </c>
      <c r="L8" s="40">
        <v>12403.113977999996</v>
      </c>
      <c r="M8" s="40">
        <v>4761.1413469999916</v>
      </c>
      <c r="N8" s="40">
        <v>154.8480959999998</v>
      </c>
      <c r="O8" s="40">
        <v>13.760204999999962</v>
      </c>
      <c r="P8" s="40">
        <f t="shared" ref="P8:P23" si="5">SUM(K8:O8)</f>
        <v>36160.557379999998</v>
      </c>
      <c r="Q8" s="40">
        <f t="shared" ref="Q8:Q23" si="6">SUM(N8:O8)</f>
        <v>168.60830099999976</v>
      </c>
      <c r="R8" s="41">
        <f t="shared" ref="R8:R24" si="7">Q8/P8</f>
        <v>4.6627683093528622E-3</v>
      </c>
      <c r="S8" s="35"/>
      <c r="T8" s="37">
        <f t="shared" si="0"/>
        <v>0.52066934577765656</v>
      </c>
      <c r="U8" s="37">
        <f t="shared" si="1"/>
        <v>0.34300118351770814</v>
      </c>
      <c r="V8" s="37">
        <f t="shared" si="2"/>
        <v>0.13166670239528239</v>
      </c>
      <c r="W8" s="37">
        <f t="shared" si="3"/>
        <v>4.2822375322578562E-3</v>
      </c>
      <c r="X8" s="37">
        <f t="shared" si="4"/>
        <v>3.8053077709500625E-4</v>
      </c>
      <c r="Y8" s="42">
        <f t="shared" ref="Y8:Y23" si="8">SUM(T8:X8)</f>
        <v>0.99999999999999989</v>
      </c>
    </row>
    <row r="9" spans="1:25">
      <c r="A9" s="32" t="s">
        <v>35</v>
      </c>
      <c r="B9">
        <v>1593.46</v>
      </c>
      <c r="C9">
        <v>437.16</v>
      </c>
      <c r="D9">
        <v>121.37</v>
      </c>
      <c r="E9">
        <v>18.75</v>
      </c>
      <c r="F9">
        <v>0.61</v>
      </c>
      <c r="G9">
        <v>2041.81</v>
      </c>
      <c r="J9" t="s">
        <v>34</v>
      </c>
      <c r="K9" s="40">
        <v>3904.7757147708903</v>
      </c>
      <c r="L9" s="40">
        <v>1769.2759817930771</v>
      </c>
      <c r="M9" s="40">
        <v>864.88927516207002</v>
      </c>
      <c r="N9" s="40">
        <v>221.53253739574089</v>
      </c>
      <c r="O9" s="40">
        <v>19.428340194255487</v>
      </c>
      <c r="P9" s="40">
        <f t="shared" si="5"/>
        <v>6779.9018493160338</v>
      </c>
      <c r="Q9" s="40">
        <f t="shared" si="6"/>
        <v>240.96087758999639</v>
      </c>
      <c r="R9" s="41">
        <f t="shared" si="7"/>
        <v>3.554046694854511E-2</v>
      </c>
      <c r="S9" s="35"/>
      <c r="T9" s="37">
        <f t="shared" si="0"/>
        <v>0.57593395915677004</v>
      </c>
      <c r="U9" s="37">
        <f t="shared" si="1"/>
        <v>0.26095893732909486</v>
      </c>
      <c r="V9" s="37">
        <f t="shared" si="2"/>
        <v>0.12756663656559</v>
      </c>
      <c r="W9" s="37">
        <f t="shared" si="3"/>
        <v>3.2674888563186122E-2</v>
      </c>
      <c r="X9" s="37">
        <f t="shared" si="4"/>
        <v>2.8655783853589922E-3</v>
      </c>
      <c r="Y9" s="42">
        <f t="shared" si="8"/>
        <v>0.99999999999999989</v>
      </c>
    </row>
    <row r="10" spans="1:25">
      <c r="A10" s="32" t="s">
        <v>36</v>
      </c>
      <c r="B10">
        <v>1234.17</v>
      </c>
      <c r="C10">
        <v>558.54</v>
      </c>
      <c r="D10">
        <v>215.85</v>
      </c>
      <c r="E10">
        <v>42.55</v>
      </c>
      <c r="F10">
        <v>5.03</v>
      </c>
      <c r="G10">
        <v>1916.2</v>
      </c>
      <c r="J10" t="s">
        <v>81</v>
      </c>
      <c r="K10" s="40">
        <v>1751.7396599999995</v>
      </c>
      <c r="L10" s="40">
        <v>600.95258999999987</v>
      </c>
      <c r="M10" s="40">
        <v>82.430529999999962</v>
      </c>
      <c r="N10" s="40">
        <v>9.6960899999999963</v>
      </c>
      <c r="O10" s="40">
        <v>0.13836999999999999</v>
      </c>
      <c r="P10" s="40">
        <f t="shared" si="5"/>
        <v>2444.9572399999993</v>
      </c>
      <c r="Q10" s="40">
        <f t="shared" si="6"/>
        <v>9.8344599999999964</v>
      </c>
      <c r="R10" s="41">
        <f t="shared" si="7"/>
        <v>4.0223443744153171E-3</v>
      </c>
      <c r="S10" s="35"/>
      <c r="T10" s="37">
        <f t="shared" si="0"/>
        <v>0.71647046882504994</v>
      </c>
      <c r="U10" s="37">
        <f t="shared" si="1"/>
        <v>0.24579267897544091</v>
      </c>
      <c r="V10" s="37">
        <f t="shared" si="2"/>
        <v>3.3714507825093901E-2</v>
      </c>
      <c r="W10" s="37">
        <f t="shared" si="3"/>
        <v>3.9657503376214461E-3</v>
      </c>
      <c r="X10" s="37">
        <f t="shared" si="4"/>
        <v>5.6594036793870489E-5</v>
      </c>
      <c r="Y10" s="42">
        <f t="shared" si="8"/>
        <v>1</v>
      </c>
    </row>
    <row r="11" spans="1:25">
      <c r="A11" s="32" t="s">
        <v>37</v>
      </c>
      <c r="B11">
        <v>895.82</v>
      </c>
      <c r="C11">
        <v>115.68</v>
      </c>
      <c r="D11">
        <v>28.88</v>
      </c>
      <c r="E11">
        <v>0</v>
      </c>
      <c r="F11">
        <v>0</v>
      </c>
      <c r="G11">
        <v>1041.3800000000001</v>
      </c>
      <c r="J11" t="s">
        <v>38</v>
      </c>
      <c r="K11" s="40">
        <v>15411.866000000007</v>
      </c>
      <c r="L11" s="40">
        <v>4578.4040000000023</v>
      </c>
      <c r="M11" s="40">
        <v>2783.7639999999992</v>
      </c>
      <c r="N11" s="40">
        <v>760.11999999999989</v>
      </c>
      <c r="O11" s="40">
        <v>203.87400000000005</v>
      </c>
      <c r="P11" s="40">
        <f t="shared" si="5"/>
        <v>23738.028000000009</v>
      </c>
      <c r="Q11" s="40">
        <f t="shared" si="6"/>
        <v>963.99399999999991</v>
      </c>
      <c r="R11" s="41">
        <f t="shared" si="7"/>
        <v>4.0609691757040621E-2</v>
      </c>
      <c r="S11" s="35"/>
      <c r="T11" s="37">
        <f t="shared" si="0"/>
        <v>0.64924794932418151</v>
      </c>
      <c r="U11" s="37">
        <f t="shared" si="1"/>
        <v>0.19287212905806667</v>
      </c>
      <c r="V11" s="37">
        <f t="shared" si="2"/>
        <v>0.11727022986071119</v>
      </c>
      <c r="W11" s="37">
        <f t="shared" si="3"/>
        <v>3.2021194009881508E-2</v>
      </c>
      <c r="X11" s="37">
        <f t="shared" si="4"/>
        <v>8.5884977471591146E-3</v>
      </c>
      <c r="Y11" s="42">
        <f t="shared" si="8"/>
        <v>1</v>
      </c>
    </row>
    <row r="12" spans="1:25">
      <c r="A12" s="32" t="s">
        <v>38</v>
      </c>
      <c r="B12">
        <v>13930.47</v>
      </c>
      <c r="C12">
        <v>4285.46</v>
      </c>
      <c r="D12">
        <v>3136.71</v>
      </c>
      <c r="E12">
        <v>1249.32</v>
      </c>
      <c r="F12">
        <v>477.14</v>
      </c>
      <c r="G12">
        <v>23079.11</v>
      </c>
      <c r="J12" t="s">
        <v>50</v>
      </c>
      <c r="K12" s="40">
        <v>26586.365270441056</v>
      </c>
      <c r="L12" s="40">
        <v>6745.3737852233135</v>
      </c>
      <c r="M12" s="40">
        <v>4828.6187938304474</v>
      </c>
      <c r="N12" s="40">
        <v>859.57034892491549</v>
      </c>
      <c r="O12" s="40">
        <v>189.60137196143148</v>
      </c>
      <c r="P12" s="40">
        <f t="shared" si="5"/>
        <v>39209.529570381164</v>
      </c>
      <c r="Q12" s="40">
        <f t="shared" si="6"/>
        <v>1049.171720886347</v>
      </c>
      <c r="R12" s="41">
        <f t="shared" si="7"/>
        <v>2.6758079792900402E-2</v>
      </c>
      <c r="S12" s="35"/>
      <c r="T12" s="37">
        <f t="shared" si="0"/>
        <v>0.67805876688008948</v>
      </c>
      <c r="U12" s="37">
        <f t="shared" si="1"/>
        <v>0.17203404017167198</v>
      </c>
      <c r="V12" s="37">
        <f t="shared" si="2"/>
        <v>0.12314911315533815</v>
      </c>
      <c r="W12" s="37">
        <f t="shared" si="3"/>
        <v>2.1922485639160383E-2</v>
      </c>
      <c r="X12" s="37">
        <f t="shared" si="4"/>
        <v>4.8355941537400167E-3</v>
      </c>
      <c r="Y12" s="42">
        <f t="shared" si="8"/>
        <v>1</v>
      </c>
    </row>
    <row r="13" spans="1:25">
      <c r="A13" s="32" t="s">
        <v>50</v>
      </c>
      <c r="B13">
        <v>22277.45</v>
      </c>
      <c r="C13">
        <v>8869.83</v>
      </c>
      <c r="D13">
        <v>5430.66</v>
      </c>
      <c r="E13">
        <v>1094.42</v>
      </c>
      <c r="F13">
        <v>108.74</v>
      </c>
      <c r="G13">
        <v>37781.1</v>
      </c>
      <c r="J13" t="s">
        <v>39</v>
      </c>
      <c r="K13" s="40">
        <v>2385.4409999999993</v>
      </c>
      <c r="L13" s="40">
        <v>490.83199999999999</v>
      </c>
      <c r="M13" s="40">
        <v>148.96700000000001</v>
      </c>
      <c r="N13" s="40">
        <v>1.6639999999999999</v>
      </c>
      <c r="O13" s="40">
        <v>5.2999999999999999E-2</v>
      </c>
      <c r="P13" s="40">
        <f t="shared" si="5"/>
        <v>3026.9569999999994</v>
      </c>
      <c r="Q13" s="40">
        <f t="shared" si="6"/>
        <v>1.7169999999999999</v>
      </c>
      <c r="R13" s="41">
        <f t="shared" si="7"/>
        <v>5.6723633669061044E-4</v>
      </c>
      <c r="S13" s="35"/>
      <c r="T13" s="37">
        <f t="shared" si="0"/>
        <v>0.78806570426999778</v>
      </c>
      <c r="U13" s="37">
        <f t="shared" si="1"/>
        <v>0.16215360839285134</v>
      </c>
      <c r="V13" s="37">
        <f t="shared" si="2"/>
        <v>4.9213451000460214E-2</v>
      </c>
      <c r="W13" s="37">
        <f t="shared" si="3"/>
        <v>5.4972700305950834E-4</v>
      </c>
      <c r="X13" s="37">
        <f t="shared" si="4"/>
        <v>1.750933363110213E-5</v>
      </c>
      <c r="Y13" s="42">
        <f t="shared" si="8"/>
        <v>1</v>
      </c>
    </row>
    <row r="14" spans="1:25">
      <c r="A14" s="32" t="s">
        <v>39</v>
      </c>
      <c r="B14">
        <v>2335.3200000000002</v>
      </c>
      <c r="C14">
        <v>324.25</v>
      </c>
      <c r="D14">
        <v>182.91</v>
      </c>
      <c r="E14">
        <v>56.57</v>
      </c>
      <c r="F14">
        <v>2.59</v>
      </c>
      <c r="G14">
        <v>2908.86</v>
      </c>
      <c r="J14" t="s">
        <v>41</v>
      </c>
      <c r="K14" s="40">
        <v>2597.8106473338048</v>
      </c>
      <c r="L14" s="40">
        <v>586.27003343952731</v>
      </c>
      <c r="M14" s="40">
        <v>43.091072739707435</v>
      </c>
      <c r="N14" s="40">
        <v>0.25289118076436601</v>
      </c>
      <c r="O14" s="40">
        <v>0.52031201880658717</v>
      </c>
      <c r="P14" s="40">
        <f t="shared" si="5"/>
        <v>3227.9449567126103</v>
      </c>
      <c r="Q14" s="40">
        <f t="shared" si="6"/>
        <v>0.77320319957095318</v>
      </c>
      <c r="R14" s="41">
        <f t="shared" si="7"/>
        <v>2.3953419588616388E-4</v>
      </c>
      <c r="S14" s="35"/>
      <c r="T14" s="37">
        <f t="shared" si="0"/>
        <v>0.80478777741596186</v>
      </c>
      <c r="U14" s="37">
        <f t="shared" si="1"/>
        <v>0.18162330563300369</v>
      </c>
      <c r="V14" s="37">
        <f t="shared" si="2"/>
        <v>1.3349382755148359E-2</v>
      </c>
      <c r="W14" s="37">
        <f t="shared" si="3"/>
        <v>7.834432871554115E-5</v>
      </c>
      <c r="X14" s="37">
        <f t="shared" si="4"/>
        <v>1.6118986717062272E-4</v>
      </c>
      <c r="Y14" s="42">
        <f t="shared" si="8"/>
        <v>1.0000000000000002</v>
      </c>
    </row>
    <row r="15" spans="1:25">
      <c r="A15" s="32" t="s">
        <v>40</v>
      </c>
      <c r="B15">
        <v>1636.83</v>
      </c>
      <c r="C15">
        <v>748.9</v>
      </c>
      <c r="D15">
        <v>143.5</v>
      </c>
      <c r="E15">
        <v>23.83</v>
      </c>
      <c r="F15">
        <v>2.93</v>
      </c>
      <c r="G15">
        <v>2580.38</v>
      </c>
      <c r="J15" t="s">
        <v>42</v>
      </c>
      <c r="K15" s="40">
        <v>7122.8286429975296</v>
      </c>
      <c r="L15" s="40">
        <v>3866.6174044914401</v>
      </c>
      <c r="M15" s="40">
        <v>2638.7060700625689</v>
      </c>
      <c r="N15" s="40">
        <v>511.33762812535014</v>
      </c>
      <c r="O15" s="40">
        <v>80.302141674039987</v>
      </c>
      <c r="P15" s="40">
        <f t="shared" si="5"/>
        <v>14219.791887350926</v>
      </c>
      <c r="Q15" s="40">
        <f t="shared" si="6"/>
        <v>591.63976979939014</v>
      </c>
      <c r="R15" s="41">
        <f t="shared" si="7"/>
        <v>4.1606781202309817E-2</v>
      </c>
      <c r="S15" s="35"/>
      <c r="T15" s="37">
        <f t="shared" si="0"/>
        <v>0.50090948583667882</v>
      </c>
      <c r="U15" s="37">
        <f t="shared" si="1"/>
        <v>0.27191800239572783</v>
      </c>
      <c r="V15" s="37">
        <f t="shared" si="2"/>
        <v>0.18556573056528369</v>
      </c>
      <c r="W15" s="37">
        <f t="shared" si="3"/>
        <v>3.5959571854227025E-2</v>
      </c>
      <c r="X15" s="37">
        <f t="shared" si="4"/>
        <v>5.6472093480827911E-3</v>
      </c>
      <c r="Y15" s="42">
        <f t="shared" si="8"/>
        <v>1.0000000000000002</v>
      </c>
    </row>
    <row r="16" spans="1:25">
      <c r="A16" s="32" t="s">
        <v>41</v>
      </c>
      <c r="B16">
        <v>2678.43</v>
      </c>
      <c r="C16">
        <v>331.23</v>
      </c>
      <c r="D16">
        <v>198.11</v>
      </c>
      <c r="E16">
        <v>26.64</v>
      </c>
      <c r="F16">
        <v>0</v>
      </c>
      <c r="G16">
        <v>3234.41</v>
      </c>
      <c r="J16" t="s">
        <v>43</v>
      </c>
      <c r="K16" s="40">
        <v>8014.1</v>
      </c>
      <c r="L16" s="40">
        <v>2313.0519000000004</v>
      </c>
      <c r="M16" s="40">
        <v>2073.5418899999991</v>
      </c>
      <c r="N16" s="40">
        <v>467.2155800000001</v>
      </c>
      <c r="O16" s="40">
        <v>85.288180000000011</v>
      </c>
      <c r="P16" s="40">
        <f t="shared" si="5"/>
        <v>12953.197549999999</v>
      </c>
      <c r="Q16" s="40">
        <f t="shared" si="6"/>
        <v>552.50376000000006</v>
      </c>
      <c r="R16" s="41">
        <f t="shared" si="7"/>
        <v>4.2653851133460104E-2</v>
      </c>
      <c r="S16" s="35"/>
      <c r="T16" s="37">
        <f t="shared" si="0"/>
        <v>0.61869665532893858</v>
      </c>
      <c r="U16" s="37">
        <f t="shared" si="1"/>
        <v>0.17856995472133447</v>
      </c>
      <c r="V16" s="37">
        <f t="shared" si="2"/>
        <v>0.16007953881626696</v>
      </c>
      <c r="W16" s="37">
        <f t="shared" si="3"/>
        <v>3.6069517059129551E-2</v>
      </c>
      <c r="X16" s="37">
        <f t="shared" si="4"/>
        <v>6.5843340743305511E-3</v>
      </c>
      <c r="Y16" s="42">
        <f t="shared" si="8"/>
        <v>1</v>
      </c>
    </row>
    <row r="17" spans="1:25">
      <c r="A17" s="32" t="s">
        <v>42</v>
      </c>
      <c r="B17">
        <v>8718.1</v>
      </c>
      <c r="C17">
        <v>2493.79</v>
      </c>
      <c r="D17">
        <v>1125.6300000000001</v>
      </c>
      <c r="E17">
        <v>672.06</v>
      </c>
      <c r="F17">
        <v>372.48</v>
      </c>
      <c r="G17">
        <v>13382.05</v>
      </c>
      <c r="J17" t="s">
        <v>85</v>
      </c>
      <c r="K17" s="40">
        <v>3904.7001636049999</v>
      </c>
      <c r="L17" s="40">
        <v>2757.8831203109994</v>
      </c>
      <c r="M17" s="40">
        <v>773.76580269200008</v>
      </c>
      <c r="N17" s="40">
        <v>118.93505925499997</v>
      </c>
      <c r="O17" s="40">
        <v>3.5309078640000005</v>
      </c>
      <c r="P17" s="40">
        <f t="shared" si="5"/>
        <v>7558.8150537269994</v>
      </c>
      <c r="Q17" s="40">
        <f t="shared" si="6"/>
        <v>122.46596711899997</v>
      </c>
      <c r="R17" s="41">
        <f t="shared" si="7"/>
        <v>1.620174144340469E-2</v>
      </c>
      <c r="S17" s="35"/>
      <c r="T17" s="37">
        <f t="shared" si="0"/>
        <v>0.516575698155192</v>
      </c>
      <c r="U17" s="37">
        <f t="shared" si="1"/>
        <v>0.36485654176062682</v>
      </c>
      <c r="V17" s="37">
        <f t="shared" si="2"/>
        <v>0.1023660186407765</v>
      </c>
      <c r="W17" s="37">
        <f t="shared" si="3"/>
        <v>1.5734616922047466E-2</v>
      </c>
      <c r="X17" s="37">
        <f t="shared" si="4"/>
        <v>4.6712452135722353E-4</v>
      </c>
      <c r="Y17" s="42">
        <f t="shared" si="8"/>
        <v>1</v>
      </c>
    </row>
    <row r="18" spans="1:25">
      <c r="A18" s="32" t="s">
        <v>43</v>
      </c>
      <c r="B18">
        <v>7627</v>
      </c>
      <c r="C18">
        <v>3012</v>
      </c>
      <c r="D18">
        <v>1331</v>
      </c>
      <c r="E18">
        <v>306</v>
      </c>
      <c r="F18">
        <v>39</v>
      </c>
      <c r="G18">
        <v>12315</v>
      </c>
      <c r="J18" t="s">
        <v>82</v>
      </c>
      <c r="K18" s="40">
        <v>27734.692629100005</v>
      </c>
      <c r="L18" s="40">
        <v>10270.416041600005</v>
      </c>
      <c r="M18" s="40">
        <v>5878.3215214000002</v>
      </c>
      <c r="N18" s="40">
        <v>31.997429000000004</v>
      </c>
      <c r="O18" s="40">
        <v>0</v>
      </c>
      <c r="P18" s="40">
        <f t="shared" si="5"/>
        <v>43915.427621100011</v>
      </c>
      <c r="Q18" s="40">
        <f t="shared" si="6"/>
        <v>31.997429000000004</v>
      </c>
      <c r="R18" s="41">
        <f t="shared" si="7"/>
        <v>7.286147655459974E-4</v>
      </c>
      <c r="S18" s="35"/>
      <c r="T18" s="37">
        <f t="shared" si="0"/>
        <v>0.63154782115281827</v>
      </c>
      <c r="U18" s="37">
        <f t="shared" si="1"/>
        <v>0.23386806409384447</v>
      </c>
      <c r="V18" s="37">
        <f t="shared" si="2"/>
        <v>0.13385549998779125</v>
      </c>
      <c r="W18" s="37">
        <f t="shared" si="3"/>
        <v>7.286147655459974E-4</v>
      </c>
      <c r="X18" s="37">
        <f t="shared" si="4"/>
        <v>0</v>
      </c>
      <c r="Y18" s="42">
        <f t="shared" si="8"/>
        <v>0.99999999999999989</v>
      </c>
    </row>
    <row r="19" spans="1:25">
      <c r="A19" s="32" t="s">
        <v>44</v>
      </c>
      <c r="B19">
        <v>1990.19</v>
      </c>
      <c r="C19">
        <v>1394.73</v>
      </c>
      <c r="D19">
        <v>1413.89</v>
      </c>
      <c r="E19">
        <v>427.48</v>
      </c>
      <c r="F19">
        <v>92.34</v>
      </c>
      <c r="G19">
        <v>5318.63</v>
      </c>
      <c r="J19" t="s">
        <v>83</v>
      </c>
      <c r="K19" s="40">
        <v>14330.481823932711</v>
      </c>
      <c r="L19" s="40">
        <v>2530.515990838684</v>
      </c>
      <c r="M19" s="40">
        <v>823.718597527464</v>
      </c>
      <c r="N19" s="40">
        <v>288.09869419271121</v>
      </c>
      <c r="O19" s="40">
        <v>87.612338454921613</v>
      </c>
      <c r="P19" s="40">
        <f t="shared" si="5"/>
        <v>18060.42744494649</v>
      </c>
      <c r="Q19" s="40">
        <f t="shared" si="6"/>
        <v>375.71103264763281</v>
      </c>
      <c r="R19" s="41">
        <f t="shared" si="7"/>
        <v>2.0802997813474285E-2</v>
      </c>
      <c r="S19" s="35"/>
      <c r="T19" s="37">
        <f t="shared" si="0"/>
        <v>0.79347412278121576</v>
      </c>
      <c r="U19" s="37">
        <f t="shared" si="1"/>
        <v>0.14011384827698253</v>
      </c>
      <c r="V19" s="37">
        <f t="shared" si="2"/>
        <v>4.5609031128327454E-2</v>
      </c>
      <c r="W19" s="37">
        <f t="shared" si="3"/>
        <v>1.5951931097473799E-2</v>
      </c>
      <c r="X19" s="37">
        <f t="shared" si="4"/>
        <v>4.8510667160004857E-3</v>
      </c>
      <c r="Y19" s="42">
        <f t="shared" si="8"/>
        <v>1</v>
      </c>
    </row>
    <row r="20" spans="1:25">
      <c r="A20" s="32" t="s">
        <v>45</v>
      </c>
      <c r="B20">
        <v>25037</v>
      </c>
      <c r="C20">
        <v>9317.27</v>
      </c>
      <c r="D20">
        <v>6857.5</v>
      </c>
      <c r="E20">
        <v>1346.99</v>
      </c>
      <c r="F20">
        <v>125.94</v>
      </c>
      <c r="G20">
        <v>42685</v>
      </c>
      <c r="J20" t="s">
        <v>48</v>
      </c>
      <c r="K20" s="40">
        <v>10214.698000447006</v>
      </c>
      <c r="L20" s="40">
        <v>5614.4784036376168</v>
      </c>
      <c r="M20" s="40">
        <v>8531.8288272215323</v>
      </c>
      <c r="N20" s="40">
        <v>4763.8875487118585</v>
      </c>
      <c r="O20" s="40">
        <v>291.14848924933256</v>
      </c>
      <c r="P20" s="40">
        <f t="shared" si="5"/>
        <v>29416.041269267342</v>
      </c>
      <c r="Q20" s="40">
        <f t="shared" si="6"/>
        <v>5055.0360379611911</v>
      </c>
      <c r="R20" s="41">
        <f t="shared" ref="R20" si="9">Q20/P20</f>
        <v>0.1718462383054406</v>
      </c>
      <c r="S20" s="35"/>
      <c r="T20" s="37">
        <f t="shared" si="0"/>
        <v>0.34724924087997178</v>
      </c>
      <c r="U20" s="37">
        <f t="shared" si="1"/>
        <v>0.19086451342123287</v>
      </c>
      <c r="V20" s="37">
        <f t="shared" si="2"/>
        <v>0.29004000739335489</v>
      </c>
      <c r="W20" s="37">
        <f t="shared" si="3"/>
        <v>0.16194862881461111</v>
      </c>
      <c r="X20" s="37">
        <f t="shared" si="4"/>
        <v>9.897609490829495E-3</v>
      </c>
      <c r="Y20" s="42">
        <f t="shared" ref="Y20" si="10">SUM(T20:X20)</f>
        <v>1.0000000000000002</v>
      </c>
    </row>
    <row r="21" spans="1:25">
      <c r="A21" s="32" t="s">
        <v>46</v>
      </c>
      <c r="B21">
        <v>8710.91</v>
      </c>
      <c r="C21">
        <v>4533.09</v>
      </c>
      <c r="D21">
        <v>71.05</v>
      </c>
      <c r="E21">
        <v>468.94</v>
      </c>
      <c r="F21">
        <v>426.31</v>
      </c>
      <c r="G21">
        <v>14210.3</v>
      </c>
      <c r="J21" t="s">
        <v>51</v>
      </c>
      <c r="K21" s="40">
        <v>17017.951095834425</v>
      </c>
      <c r="L21" s="40">
        <v>4497.4552304893678</v>
      </c>
      <c r="M21" s="40">
        <v>3026.1043493091547</v>
      </c>
      <c r="N21" s="40">
        <v>935.37625289194477</v>
      </c>
      <c r="O21" s="40">
        <v>388.01102373069756</v>
      </c>
      <c r="P21" s="40">
        <f t="shared" si="5"/>
        <v>25864.897952255589</v>
      </c>
      <c r="Q21" s="40">
        <f t="shared" si="6"/>
        <v>1323.3872766226423</v>
      </c>
      <c r="R21" s="41">
        <f t="shared" si="7"/>
        <v>5.1165377843960684E-2</v>
      </c>
      <c r="S21" s="35"/>
      <c r="T21" s="37">
        <f t="shared" si="0"/>
        <v>0.65795547027667078</v>
      </c>
      <c r="U21" s="37">
        <f t="shared" si="1"/>
        <v>0.1738825816669097</v>
      </c>
      <c r="V21" s="37">
        <f t="shared" si="2"/>
        <v>0.11699657021245886</v>
      </c>
      <c r="W21" s="37">
        <f t="shared" si="3"/>
        <v>3.6163925897506735E-2</v>
      </c>
      <c r="X21" s="37">
        <f t="shared" si="4"/>
        <v>1.5001451946453956E-2</v>
      </c>
      <c r="Y21" s="42">
        <f t="shared" si="8"/>
        <v>1</v>
      </c>
    </row>
    <row r="22" spans="1:25">
      <c r="A22" s="32" t="s">
        <v>47</v>
      </c>
      <c r="B22">
        <v>637.51</v>
      </c>
      <c r="C22">
        <v>104.33</v>
      </c>
      <c r="D22">
        <v>57.45</v>
      </c>
      <c r="E22">
        <v>0</v>
      </c>
      <c r="F22">
        <v>0</v>
      </c>
      <c r="G22">
        <v>791.08</v>
      </c>
      <c r="J22" t="s">
        <v>52</v>
      </c>
      <c r="K22" s="40">
        <v>5392.8260063756807</v>
      </c>
      <c r="L22" s="40">
        <v>2891.786535989349</v>
      </c>
      <c r="M22" s="40">
        <v>2250.1808399210081</v>
      </c>
      <c r="N22" s="40">
        <v>405.88015994868391</v>
      </c>
      <c r="O22" s="40">
        <v>34.269107134165992</v>
      </c>
      <c r="P22" s="40">
        <f t="shared" si="5"/>
        <v>10974.942649368886</v>
      </c>
      <c r="Q22" s="40">
        <f t="shared" si="6"/>
        <v>440.14926708284992</v>
      </c>
      <c r="R22" s="41">
        <f t="shared" si="7"/>
        <v>4.0104926389584433E-2</v>
      </c>
      <c r="S22" s="35"/>
      <c r="T22" s="37">
        <f t="shared" si="0"/>
        <v>0.49137623572782818</v>
      </c>
      <c r="U22" s="37">
        <f t="shared" si="1"/>
        <v>0.26348989952632157</v>
      </c>
      <c r="V22" s="37">
        <f t="shared" si="2"/>
        <v>0.20502893835626601</v>
      </c>
      <c r="W22" s="37">
        <f t="shared" si="3"/>
        <v>3.6982440174484557E-2</v>
      </c>
      <c r="X22" s="37">
        <f t="shared" si="4"/>
        <v>3.12248621509987E-3</v>
      </c>
      <c r="Y22" s="42">
        <f t="shared" si="8"/>
        <v>1.0000000000000002</v>
      </c>
    </row>
    <row r="23" spans="1:25">
      <c r="A23" s="32" t="s">
        <v>48</v>
      </c>
      <c r="B23">
        <v>5891.17</v>
      </c>
      <c r="C23">
        <v>8151.64</v>
      </c>
      <c r="D23">
        <v>7781.78</v>
      </c>
      <c r="E23">
        <v>3971.38</v>
      </c>
      <c r="F23">
        <v>2699.45</v>
      </c>
      <c r="G23">
        <v>28495.41</v>
      </c>
      <c r="J23" t="s">
        <v>53</v>
      </c>
      <c r="K23" s="40">
        <v>13644.199819360994</v>
      </c>
      <c r="L23" s="40">
        <v>8382.7593765099919</v>
      </c>
      <c r="M23" s="40">
        <v>5040.5677621180039</v>
      </c>
      <c r="N23" s="40">
        <v>1943.0262036570007</v>
      </c>
      <c r="O23" s="40">
        <v>507.37062234299998</v>
      </c>
      <c r="P23" s="40">
        <f t="shared" si="5"/>
        <v>29517.923783988994</v>
      </c>
      <c r="Q23" s="40">
        <f t="shared" si="6"/>
        <v>2450.3968260000006</v>
      </c>
      <c r="R23" s="41">
        <f t="shared" si="7"/>
        <v>8.3013861135082134E-2</v>
      </c>
      <c r="S23" s="35"/>
      <c r="T23" s="37">
        <f t="shared" si="0"/>
        <v>0.46223440101033908</v>
      </c>
      <c r="U23" s="37">
        <f t="shared" si="1"/>
        <v>0.28398878721466642</v>
      </c>
      <c r="V23" s="37">
        <f t="shared" si="2"/>
        <v>0.17076295063991223</v>
      </c>
      <c r="W23" s="37">
        <f t="shared" si="3"/>
        <v>6.5825300514900376E-2</v>
      </c>
      <c r="X23" s="37">
        <f t="shared" si="4"/>
        <v>1.7188560620181766E-2</v>
      </c>
      <c r="Y23" s="42">
        <f t="shared" si="8"/>
        <v>0.99999999999999978</v>
      </c>
    </row>
    <row r="24" spans="1:25" ht="14.65" thickBot="1">
      <c r="A24" s="32" t="s">
        <v>49</v>
      </c>
      <c r="B24">
        <v>3277.09</v>
      </c>
      <c r="C24">
        <v>4359.8599999999997</v>
      </c>
      <c r="D24">
        <v>3715.46</v>
      </c>
      <c r="E24">
        <v>1629.7</v>
      </c>
      <c r="F24">
        <v>418.41</v>
      </c>
      <c r="G24">
        <v>13400.52</v>
      </c>
      <c r="J24" s="38" t="s">
        <v>20</v>
      </c>
      <c r="K24" s="43">
        <f>SUM(K7:K23)</f>
        <v>187786.57916119913</v>
      </c>
      <c r="L24" s="43">
        <f t="shared" ref="L24:Q24" si="11">SUM(L7:L23)</f>
        <v>74664.22019532336</v>
      </c>
      <c r="M24" s="43">
        <f t="shared" si="11"/>
        <v>46442.106180983945</v>
      </c>
      <c r="N24" s="43">
        <f t="shared" si="11"/>
        <v>11895.54050228397</v>
      </c>
      <c r="O24" s="43">
        <f t="shared" si="11"/>
        <v>1943.9037386246512</v>
      </c>
      <c r="P24" s="43">
        <f t="shared" si="11"/>
        <v>322732.34977841511</v>
      </c>
      <c r="Q24" s="43">
        <f t="shared" si="11"/>
        <v>13839.44424090862</v>
      </c>
      <c r="R24" s="44">
        <f t="shared" si="7"/>
        <v>4.2882110363000943E-2</v>
      </c>
      <c r="S24" s="35"/>
      <c r="T24" s="45"/>
      <c r="U24" s="45"/>
      <c r="V24" s="45"/>
      <c r="W24" s="45"/>
      <c r="X24" s="45"/>
      <c r="Y24" s="42"/>
    </row>
    <row r="25" spans="1:25" ht="14.65" thickTop="1">
      <c r="A25" s="32" t="s">
        <v>51</v>
      </c>
      <c r="B25">
        <v>13359.74</v>
      </c>
      <c r="C25">
        <v>4433.6099999999997</v>
      </c>
      <c r="D25">
        <v>6066.07</v>
      </c>
      <c r="E25">
        <v>1077.6500000000001</v>
      </c>
      <c r="F25">
        <v>84.81</v>
      </c>
      <c r="G25">
        <v>25021.88</v>
      </c>
      <c r="J25" t="s">
        <v>484</v>
      </c>
      <c r="K25" s="37">
        <f>K24/$P$24</f>
        <v>0.58186475353379219</v>
      </c>
      <c r="L25" s="37">
        <f>L24/$P$24</f>
        <v>0.23135028219695697</v>
      </c>
      <c r="M25" s="37">
        <f>M24/$P$24</f>
        <v>0.14390285390624968</v>
      </c>
      <c r="N25" s="37">
        <f>N24/$P$24</f>
        <v>3.6858841422160907E-2</v>
      </c>
      <c r="O25" s="37">
        <f>O24/$P$24</f>
        <v>6.0232689408400387E-3</v>
      </c>
      <c r="P25" s="35"/>
      <c r="Q25" s="35"/>
      <c r="R25" s="41"/>
      <c r="S25" s="35"/>
      <c r="T25" s="35"/>
      <c r="U25" s="35"/>
      <c r="V25" s="35"/>
      <c r="W25" s="35"/>
      <c r="X25" s="35"/>
      <c r="Y25" s="35"/>
    </row>
    <row r="26" spans="1:25">
      <c r="A26" s="32" t="s">
        <v>52</v>
      </c>
      <c r="B26">
        <v>6038.83</v>
      </c>
      <c r="C26">
        <v>3331.65</v>
      </c>
      <c r="D26">
        <v>1053.1300000000001</v>
      </c>
      <c r="E26">
        <v>135.36000000000001</v>
      </c>
      <c r="F26">
        <v>9.51</v>
      </c>
      <c r="G26">
        <v>10577</v>
      </c>
      <c r="J26" t="s">
        <v>485</v>
      </c>
      <c r="K26" s="37">
        <f>SUM(K7:K19,K21:K23)/SUM($P$7:$P$19,$P$21:$P$23)</f>
        <v>0.60539382233229677</v>
      </c>
      <c r="L26" s="37">
        <f>SUM(L7:L19,L21:L23)/SUM($P$7:$P$19,$P$21:$P$23)</f>
        <v>0.23541051004851399</v>
      </c>
      <c r="M26" s="37">
        <f>SUM(M7:M19,M21:M23)/SUM($P$7:$P$19,$P$21:$P$23)</f>
        <v>0.12924708328169929</v>
      </c>
      <c r="N26" s="37">
        <f>SUM(N7:N19,N21:N23)/SUM($P$7:$P$19,$P$21:$P$23)</f>
        <v>2.4313864407405409E-2</v>
      </c>
      <c r="O26" s="37">
        <f>SUM(O7:O19,O21:O23)/SUM($P$7:$P$19,$P$21:$P$23)</f>
        <v>5.6347199300845353E-3</v>
      </c>
      <c r="P26" s="35"/>
      <c r="Q26" s="35"/>
      <c r="R26" s="35"/>
      <c r="S26" s="35"/>
      <c r="T26" s="35"/>
      <c r="U26" s="35"/>
      <c r="V26" s="35"/>
      <c r="W26" s="35"/>
      <c r="X26" s="35"/>
      <c r="Y26" s="35"/>
    </row>
    <row r="27" spans="1:25">
      <c r="A27" s="32" t="s">
        <v>53</v>
      </c>
      <c r="B27">
        <v>10535.73</v>
      </c>
      <c r="C27">
        <v>10023.51</v>
      </c>
      <c r="D27">
        <v>6246.04</v>
      </c>
      <c r="E27">
        <v>1564.05</v>
      </c>
      <c r="F27">
        <v>200.09</v>
      </c>
      <c r="G27">
        <v>28602</v>
      </c>
    </row>
    <row r="28" spans="1:25">
      <c r="A28" s="32" t="s">
        <v>486</v>
      </c>
      <c r="B28">
        <v>161096.81</v>
      </c>
      <c r="C28">
        <v>79655.399999999994</v>
      </c>
      <c r="D28">
        <v>49937.759999999995</v>
      </c>
      <c r="E28">
        <v>14777.199999999999</v>
      </c>
      <c r="F28">
        <v>5129.87</v>
      </c>
      <c r="G28">
        <v>310393.36</v>
      </c>
    </row>
    <row r="29" spans="1:25">
      <c r="A29" s="32" t="s">
        <v>487</v>
      </c>
      <c r="B29" s="33">
        <f>B28/$G28</f>
        <v>0.51900855739955265</v>
      </c>
      <c r="C29" s="33">
        <f t="shared" ref="C29:G29" si="12">C28/$G28</f>
        <v>0.25662726805753833</v>
      </c>
      <c r="D29" s="33">
        <f t="shared" si="12"/>
        <v>0.16088540038356489</v>
      </c>
      <c r="E29" s="33">
        <f t="shared" si="12"/>
        <v>4.7607977180955156E-2</v>
      </c>
      <c r="F29" s="33">
        <f t="shared" si="12"/>
        <v>1.6526996582658857E-2</v>
      </c>
      <c r="G29" s="33">
        <f t="shared" si="12"/>
        <v>1</v>
      </c>
    </row>
    <row r="30" spans="1:25">
      <c r="A30" t="s">
        <v>488</v>
      </c>
      <c r="B30" s="34">
        <f>SUM(B7:B22,B24:B27)/SUM($G7:$G22,$G24:$G27)</f>
        <v>0.55057385128199765</v>
      </c>
      <c r="C30" s="34">
        <f>SUM(C7:C22,C24:C27)/SUM($G7:$G22,$G24:$G27)</f>
        <v>0.25365122378506127</v>
      </c>
      <c r="D30" s="34">
        <f t="shared" ref="D30:F30" si="13">SUM(D7:D22,D24:D27)/SUM($G7:$G22,$G24:$G27)</f>
        <v>0.14954340746358746</v>
      </c>
      <c r="E30" s="34">
        <f t="shared" si="13"/>
        <v>3.8332382339069868E-2</v>
      </c>
      <c r="F30" s="34">
        <f t="shared" si="13"/>
        <v>8.6216306290982266E-3</v>
      </c>
    </row>
    <row r="33" spans="1:46">
      <c r="A33" s="46" t="s">
        <v>489</v>
      </c>
      <c r="Q33" s="7" t="s">
        <v>490</v>
      </c>
    </row>
    <row r="35" spans="1:46" s="28" customFormat="1" ht="55.5">
      <c r="A35" s="48" t="s">
        <v>86</v>
      </c>
      <c r="B35" s="48" t="s">
        <v>491</v>
      </c>
      <c r="C35" s="48" t="s">
        <v>492</v>
      </c>
      <c r="D35" s="51" t="s">
        <v>493</v>
      </c>
      <c r="E35" s="52" t="s">
        <v>494</v>
      </c>
      <c r="F35" s="52" t="s">
        <v>495</v>
      </c>
      <c r="G35" s="52" t="s">
        <v>496</v>
      </c>
      <c r="H35" s="52" t="s">
        <v>497</v>
      </c>
      <c r="I35" s="53" t="s">
        <v>498</v>
      </c>
      <c r="J35" s="68" t="s">
        <v>499</v>
      </c>
      <c r="K35" s="48" t="s">
        <v>500</v>
      </c>
      <c r="L35" s="74" t="s">
        <v>501</v>
      </c>
      <c r="M35" s="237" t="s">
        <v>502</v>
      </c>
      <c r="N35"/>
      <c r="Q35" s="48" t="s">
        <v>86</v>
      </c>
      <c r="R35" s="81" t="s">
        <v>503</v>
      </c>
      <c r="AA35"/>
      <c r="AB35"/>
      <c r="AC35"/>
      <c r="AD35"/>
      <c r="AE35"/>
      <c r="AF35"/>
      <c r="AG35"/>
      <c r="AH35"/>
      <c r="AI35"/>
      <c r="AJ35"/>
      <c r="AK35"/>
      <c r="AL35"/>
      <c r="AM35"/>
      <c r="AN35"/>
      <c r="AO35"/>
      <c r="AP35"/>
      <c r="AQ35"/>
      <c r="AR35"/>
      <c r="AS35"/>
      <c r="AT35"/>
    </row>
    <row r="36" spans="1:46">
      <c r="A36" s="49" t="s">
        <v>84</v>
      </c>
      <c r="B36" s="49" t="s">
        <v>504</v>
      </c>
      <c r="C36" s="49" t="str">
        <f t="shared" ref="C36:C69" si="14">A36&amp;RIGHT(B36, 2)</f>
        <v>AFW09</v>
      </c>
      <c r="D36" s="54">
        <f>SUM(B$11,B$22,B$24)/SUM($G$11,$G$22,$G$24)</f>
        <v>0.31578981919493099</v>
      </c>
      <c r="E36" s="55">
        <f>SUM(C$11,C$22,C$24)/SUM($G$11,$G$22,$G$24)</f>
        <v>0.30065489484001162</v>
      </c>
      <c r="F36" s="55">
        <f>SUM(D$11,D$22,D$24)/SUM($G$11,$G$22,$G$24)</f>
        <v>0.24957624837687703</v>
      </c>
      <c r="G36" s="55">
        <f>SUM(E$11,E$22,E$24)/SUM($G$11,$G$22,$G$24)</f>
        <v>0.10698497601913744</v>
      </c>
      <c r="H36" s="55">
        <f>SUM(F$11,F$22,F$24)/SUM($G$11,$G$22,$G$24)</f>
        <v>2.7467376705017667E-2</v>
      </c>
      <c r="I36" s="56">
        <f t="shared" ref="I36:I69" si="15">G36+H36</f>
        <v>0.13445235272415509</v>
      </c>
      <c r="J36" s="69"/>
      <c r="K36" s="78" t="str">
        <f t="shared" ref="K36:K42" si="16">IF(J36 &gt; 0, J36/15, "")</f>
        <v/>
      </c>
      <c r="L36" s="232"/>
      <c r="M36" s="231" t="str">
        <f>IFERROR(IF(J36 &lt; 0, 'Renewal rates'!$V$22,'Renewal rates'!$V$22+K36 ), "")</f>
        <v/>
      </c>
      <c r="Q36" s="49" t="s">
        <v>84</v>
      </c>
      <c r="R36" s="72">
        <f t="shared" ref="R36:R52" si="17">INDEX($M$36:$M$69, MATCH(Q36&amp;"24", $C$36:$C$69, 0))</f>
        <v>3.0286503682779241E-3</v>
      </c>
    </row>
    <row r="37" spans="1:46">
      <c r="A37" s="50" t="s">
        <v>84</v>
      </c>
      <c r="B37" s="50" t="s">
        <v>505</v>
      </c>
      <c r="C37" s="50" t="str">
        <f t="shared" si="14"/>
        <v>AFW24</v>
      </c>
      <c r="D37" s="57">
        <f>VLOOKUP($A37,$J$6:$Y$23,11,FALSE)</f>
        <v>0.57105305746506396</v>
      </c>
      <c r="E37" s="58">
        <f>VLOOKUP($A37,$J$6:$Y$23,12,FALSE)</f>
        <v>0.2786842517190809</v>
      </c>
      <c r="F37" s="58">
        <f>VLOOKUP($A37,$J$6:$Y$23,13,FALSE)</f>
        <v>0.12082407371114656</v>
      </c>
      <c r="G37" s="58">
        <f>VLOOKUP($A37,$J$6:$Y$23,14,FALSE)</f>
        <v>2.6948972230562994E-2</v>
      </c>
      <c r="H37" s="58">
        <f>VLOOKUP($A37,$J$6:$Y$23,15,FALSE)</f>
        <v>2.4896448741456574E-3</v>
      </c>
      <c r="I37" s="59">
        <f t="shared" si="15"/>
        <v>2.9438617104708652E-2</v>
      </c>
      <c r="J37" s="63">
        <f>I37-I36</f>
        <v>-0.10501373561944644</v>
      </c>
      <c r="K37" s="78" t="str">
        <f t="shared" si="16"/>
        <v/>
      </c>
      <c r="L37" s="232"/>
      <c r="M37" s="79">
        <f>IFERROR(IF(L37 = "Apply", 'Renewal rates'!$V$22+K37, IF(J37 = "", "", 'Renewal rates'!$V$22)), "")</f>
        <v>3.0286503682779241E-3</v>
      </c>
      <c r="Q37" s="49" t="s">
        <v>21</v>
      </c>
      <c r="R37" s="72">
        <f t="shared" si="17"/>
        <v>3.0286503682779241E-3</v>
      </c>
    </row>
    <row r="38" spans="1:46">
      <c r="A38" s="49" t="s">
        <v>21</v>
      </c>
      <c r="B38" s="49" t="s">
        <v>504</v>
      </c>
      <c r="C38" s="49" t="str">
        <f t="shared" si="14"/>
        <v>ANH09</v>
      </c>
      <c r="D38" s="60">
        <f>VLOOKUP($A38,$A$6:$G$28,2,FALSE)/VLOOKUP($A38,$A$6:$G$28,7,FALSE)</f>
        <v>0.55743430859614762</v>
      </c>
      <c r="E38" s="61">
        <f>VLOOKUP($A38,$A$6:$G$28,3,FALSE)/VLOOKUP($A38,$A$6:$G$28,7,FALSE)</f>
        <v>0.31792782585223017</v>
      </c>
      <c r="F38" s="61">
        <f>VLOOKUP($A38,$A$6:$G$28,4,FALSE)/VLOOKUP($A38,$A$6:$G$28,7,FALSE)</f>
        <v>0.1090962442323552</v>
      </c>
      <c r="G38" s="61">
        <f>VLOOKUP($A38,$A$6:$G$28,5,FALSE)/VLOOKUP($A38,$A$6:$G$28,7,FALSE)</f>
        <v>1.3904243485018595E-2</v>
      </c>
      <c r="H38" s="61">
        <f>VLOOKUP($A38,$A$6:$G$28,6,FALSE)/VLOOKUP($A38,$A$6:$G$28,7,FALSE)</f>
        <v>1.637091278799539E-3</v>
      </c>
      <c r="I38" s="62">
        <f t="shared" si="15"/>
        <v>1.5541334763818134E-2</v>
      </c>
      <c r="J38" s="70"/>
      <c r="K38" s="78" t="str">
        <f t="shared" si="16"/>
        <v/>
      </c>
      <c r="L38" s="232"/>
      <c r="M38" s="78" t="str">
        <f>IFERROR(IF(L38 = "Apply", 'Renewal rates'!$V$22+K38, IF(J38 = "", "", 'Renewal rates'!$V$22)), "")</f>
        <v/>
      </c>
      <c r="Q38" s="49" t="s">
        <v>34</v>
      </c>
      <c r="R38" s="72">
        <f t="shared" si="17"/>
        <v>3.0286503682779241E-3</v>
      </c>
    </row>
    <row r="39" spans="1:46">
      <c r="A39" s="50" t="s">
        <v>21</v>
      </c>
      <c r="B39" s="50" t="s">
        <v>505</v>
      </c>
      <c r="C39" s="50" t="str">
        <f t="shared" si="14"/>
        <v>ANH24</v>
      </c>
      <c r="D39" s="57">
        <f>VLOOKUP($A39,$J$6:$Y$23,11,FALSE)</f>
        <v>0.52066934577765656</v>
      </c>
      <c r="E39" s="58">
        <f>VLOOKUP($A39,$J$6:$Y$23,12,FALSE)</f>
        <v>0.34300118351770814</v>
      </c>
      <c r="F39" s="58">
        <f>VLOOKUP($A39,$J$6:$Y$23,13,FALSE)</f>
        <v>0.13166670239528239</v>
      </c>
      <c r="G39" s="58">
        <f>VLOOKUP($A39,$J$6:$Y$23,14,FALSE)</f>
        <v>4.2822375322578562E-3</v>
      </c>
      <c r="H39" s="58">
        <f>VLOOKUP($A39,$J$6:$Y$23,15,FALSE)</f>
        <v>3.8053077709500625E-4</v>
      </c>
      <c r="I39" s="59">
        <f t="shared" si="15"/>
        <v>4.6627683093528622E-3</v>
      </c>
      <c r="J39" s="63">
        <f>I39-I38</f>
        <v>-1.0878566454465272E-2</v>
      </c>
      <c r="K39" s="78" t="str">
        <f t="shared" si="16"/>
        <v/>
      </c>
      <c r="L39" s="232"/>
      <c r="M39" s="79">
        <f>IFERROR(IF(L39 = "Apply", 'Renewal rates'!$V$22+K39, IF(J39 = "", "", 'Renewal rates'!$V$22)), "")</f>
        <v>3.0286503682779241E-3</v>
      </c>
      <c r="Q39" s="49" t="s">
        <v>81</v>
      </c>
      <c r="R39" s="72">
        <f t="shared" si="17"/>
        <v>3.0286503682779241E-3</v>
      </c>
    </row>
    <row r="40" spans="1:46">
      <c r="A40" s="49" t="s">
        <v>34</v>
      </c>
      <c r="B40" s="49" t="s">
        <v>504</v>
      </c>
      <c r="C40" s="49" t="str">
        <f t="shared" si="14"/>
        <v>BRL09</v>
      </c>
      <c r="D40" s="60">
        <f>VLOOKUP($A40,$A$6:$G$28,2,FALSE)/VLOOKUP($A40,$A$6:$G$28,7,FALSE)</f>
        <v>0.52971386887101368</v>
      </c>
      <c r="E40" s="61">
        <f>VLOOKUP($A40,$A$6:$G$28,3,FALSE)/VLOOKUP($A40,$A$6:$G$28,7,FALSE)</f>
        <v>0.28362212503148521</v>
      </c>
      <c r="F40" s="61">
        <f>VLOOKUP($A40,$A$6:$G$28,4,FALSE)/VLOOKUP($A40,$A$6:$G$28,7,FALSE)</f>
        <v>0.15597205093899555</v>
      </c>
      <c r="G40" s="61">
        <f>VLOOKUP($A40,$A$6:$G$28,5,FALSE)/VLOOKUP($A40,$A$6:$G$28,7,FALSE)</f>
        <v>2.9488156650823195E-2</v>
      </c>
      <c r="H40" s="61">
        <f>VLOOKUP($A40,$A$6:$G$28,6,FALSE)/VLOOKUP($A40,$A$6:$G$28,7,FALSE)</f>
        <v>1.2037985076823936E-3</v>
      </c>
      <c r="I40" s="62">
        <f t="shared" si="15"/>
        <v>3.0691955158505591E-2</v>
      </c>
      <c r="J40" s="70"/>
      <c r="K40" s="78" t="str">
        <f t="shared" si="16"/>
        <v/>
      </c>
      <c r="L40" s="232"/>
      <c r="M40" s="78" t="str">
        <f>IFERROR(IF(L40 = "Apply", 'Renewal rates'!$V$22+K40, IF(J40 = "", "", 'Renewal rates'!$V$22)), "")</f>
        <v/>
      </c>
      <c r="Q40" s="49" t="s">
        <v>38</v>
      </c>
      <c r="R40" s="72">
        <f t="shared" si="17"/>
        <v>3.0286503682779241E-3</v>
      </c>
    </row>
    <row r="41" spans="1:46">
      <c r="A41" s="50" t="s">
        <v>34</v>
      </c>
      <c r="B41" s="50" t="s">
        <v>505</v>
      </c>
      <c r="C41" s="50" t="str">
        <f t="shared" si="14"/>
        <v>BRL24</v>
      </c>
      <c r="D41" s="57">
        <f>VLOOKUP($A41,$J$6:$Y$23,11,FALSE)</f>
        <v>0.57593395915677004</v>
      </c>
      <c r="E41" s="58">
        <f>VLOOKUP($A41,$J$6:$Y$23,12,FALSE)</f>
        <v>0.26095893732909486</v>
      </c>
      <c r="F41" s="58">
        <f>VLOOKUP($A41,$J$6:$Y$23,13,FALSE)</f>
        <v>0.12756663656559</v>
      </c>
      <c r="G41" s="58">
        <f>VLOOKUP($A41,$J$6:$Y$23,14,FALSE)</f>
        <v>3.2674888563186122E-2</v>
      </c>
      <c r="H41" s="58">
        <f>VLOOKUP($A41,$J$6:$Y$23,15,FALSE)</f>
        <v>2.8655783853589922E-3</v>
      </c>
      <c r="I41" s="59">
        <f t="shared" si="15"/>
        <v>3.5540466948545117E-2</v>
      </c>
      <c r="J41" s="63">
        <f>I41-I40</f>
        <v>4.8485117900395266E-3</v>
      </c>
      <c r="K41" s="76">
        <f t="shared" si="16"/>
        <v>3.2323411933596845E-4</v>
      </c>
      <c r="L41" s="233" t="s">
        <v>506</v>
      </c>
      <c r="M41" s="79">
        <f>IFERROR(IF(L41 = "Apply", 'Renewal rates'!$V$22+K41, IF(J41 = "", "", 'Renewal rates'!$V$22)), "")</f>
        <v>3.0286503682779241E-3</v>
      </c>
      <c r="Q41" s="49" t="s">
        <v>50</v>
      </c>
      <c r="R41" s="72">
        <f t="shared" si="17"/>
        <v>3.0286503682779241E-3</v>
      </c>
    </row>
    <row r="42" spans="1:46">
      <c r="A42" s="49" t="s">
        <v>81</v>
      </c>
      <c r="B42" s="49" t="s">
        <v>504</v>
      </c>
      <c r="C42" s="49" t="str">
        <f t="shared" si="14"/>
        <v>HDD09</v>
      </c>
      <c r="D42" s="63">
        <f>VLOOKUP("DVW",$A$6:$G$28,2,FALSE)/VLOOKUP("DVW",$A$6:$G$28,7,FALSE)</f>
        <v>0.64407160004174935</v>
      </c>
      <c r="E42" s="64">
        <f>VLOOKUP("DVW",$A$6:$G$28,3,FALSE)/VLOOKUP("DVW",$A$6:$G$28,7,FALSE)</f>
        <v>0.29148314372194967</v>
      </c>
      <c r="F42" s="64">
        <f>VLOOKUP("DVW",$A$6:$G$28,4,FALSE)/VLOOKUP("DVW",$A$6:$G$28,7,FALSE)</f>
        <v>0.11264481786869845</v>
      </c>
      <c r="G42" s="64">
        <f>VLOOKUP("DVW",$A$6:$G$28,5,FALSE)/VLOOKUP("DVW",$A$6:$G$28,7,FALSE)</f>
        <v>2.2205406533764741E-2</v>
      </c>
      <c r="H42" s="64">
        <f>VLOOKUP("DVW",$A$6:$G$28,6,FALSE)/VLOOKUP("DVW",$A$6:$G$28,7,FALSE)</f>
        <v>2.6249869533451625E-3</v>
      </c>
      <c r="I42" s="62">
        <f t="shared" si="15"/>
        <v>2.4830393487109904E-2</v>
      </c>
      <c r="J42" s="63"/>
      <c r="K42" s="78" t="str">
        <f t="shared" si="16"/>
        <v/>
      </c>
      <c r="L42" s="232"/>
      <c r="M42" s="78" t="str">
        <f>IFERROR(IF(L42 = "Apply", 'Renewal rates'!$V$22+K42, IF(J42 = "", "", 'Renewal rates'!$V$22)), "")</f>
        <v/>
      </c>
      <c r="Q42" s="49" t="s">
        <v>39</v>
      </c>
      <c r="R42" s="72">
        <f t="shared" si="17"/>
        <v>3.0286503682779241E-3</v>
      </c>
    </row>
    <row r="43" spans="1:46">
      <c r="A43" s="50" t="s">
        <v>81</v>
      </c>
      <c r="B43" s="50" t="s">
        <v>505</v>
      </c>
      <c r="C43" s="50" t="str">
        <f t="shared" si="14"/>
        <v>HDD24</v>
      </c>
      <c r="D43" s="57">
        <f>VLOOKUP($A43,$J$6:$Y$23,11,FALSE)</f>
        <v>0.71647046882504994</v>
      </c>
      <c r="E43" s="58">
        <f>VLOOKUP($A43,$J$6:$Y$23,12,FALSE)</f>
        <v>0.24579267897544091</v>
      </c>
      <c r="F43" s="58">
        <f>VLOOKUP($A43,$J$6:$Y$23,13,FALSE)</f>
        <v>3.3714507825093901E-2</v>
      </c>
      <c r="G43" s="58">
        <f>VLOOKUP($A43,$J$6:$Y$23,14,FALSE)</f>
        <v>3.9657503376214461E-3</v>
      </c>
      <c r="H43" s="58">
        <f>VLOOKUP($A43,$J$6:$Y$23,15,FALSE)</f>
        <v>5.6594036793870489E-5</v>
      </c>
      <c r="I43" s="59">
        <f t="shared" si="15"/>
        <v>4.0223443744153162E-3</v>
      </c>
      <c r="J43" s="63">
        <f>I43-I42</f>
        <v>-2.0808049112694588E-2</v>
      </c>
      <c r="K43" s="78" t="str">
        <f>IF(J43 &gt; 0, J43/15, "")</f>
        <v/>
      </c>
      <c r="L43" s="232"/>
      <c r="M43" s="79">
        <f>IFERROR(IF(L43 = "Apply", 'Renewal rates'!$V$22+K43, IF(J43 = "", "", 'Renewal rates'!$V$22)), "")</f>
        <v>3.0286503682779241E-3</v>
      </c>
      <c r="Q43" s="49" t="s">
        <v>41</v>
      </c>
      <c r="R43" s="72">
        <f t="shared" si="17"/>
        <v>3.0286503682779241E-3</v>
      </c>
    </row>
    <row r="44" spans="1:46">
      <c r="A44" s="49" t="s">
        <v>38</v>
      </c>
      <c r="B44" s="49" t="s">
        <v>504</v>
      </c>
      <c r="C44" s="49" t="str">
        <f t="shared" si="14"/>
        <v>NES09</v>
      </c>
      <c r="D44" s="60">
        <f>VLOOKUP($A44,$A$6:$G$28,2,FALSE)/VLOOKUP($A44,$A$6:$G$28,7,FALSE)</f>
        <v>0.60359649917176172</v>
      </c>
      <c r="E44" s="61">
        <f>VLOOKUP($A44,$A$6:$G$28,3,FALSE)/VLOOKUP($A44,$A$6:$G$28,7,FALSE)</f>
        <v>0.18568566985468676</v>
      </c>
      <c r="F44" s="61">
        <f>VLOOKUP($A44,$A$6:$G$28,4,FALSE)/VLOOKUP($A44,$A$6:$G$28,7,FALSE)</f>
        <v>0.13591122014670409</v>
      </c>
      <c r="G44" s="61">
        <f>VLOOKUP($A44,$A$6:$G$28,5,FALSE)/VLOOKUP($A44,$A$6:$G$28,7,FALSE)</f>
        <v>5.4132070084158351E-2</v>
      </c>
      <c r="H44" s="61">
        <f>VLOOKUP($A44,$A$6:$G$28,6,FALSE)/VLOOKUP($A44,$A$6:$G$28,7,FALSE)</f>
        <v>2.067410745041728E-2</v>
      </c>
      <c r="I44" s="62">
        <f t="shared" si="15"/>
        <v>7.4806177534575635E-2</v>
      </c>
      <c r="J44" s="70"/>
      <c r="K44" s="78" t="str">
        <f>IF(J44 &gt; 0, J44/15, "")</f>
        <v/>
      </c>
      <c r="L44" s="232"/>
      <c r="M44" s="78" t="str">
        <f>IFERROR(IF(L44 = "Apply", 'Renewal rates'!$V$22+K44, IF(J44 = "", "", 'Renewal rates'!$V$22)), "")</f>
        <v/>
      </c>
      <c r="Q44" s="49" t="s">
        <v>42</v>
      </c>
      <c r="R44" s="72">
        <f t="shared" si="17"/>
        <v>3.0286503682779241E-3</v>
      </c>
    </row>
    <row r="45" spans="1:46">
      <c r="A45" s="50" t="s">
        <v>38</v>
      </c>
      <c r="B45" s="50" t="s">
        <v>505</v>
      </c>
      <c r="C45" s="50" t="str">
        <f t="shared" si="14"/>
        <v>NES24</v>
      </c>
      <c r="D45" s="57">
        <f>VLOOKUP($A45,$J$6:$Y$23,11,FALSE)</f>
        <v>0.64924794932418151</v>
      </c>
      <c r="E45" s="58">
        <f>VLOOKUP($A45,$J$6:$Y$23,12,FALSE)</f>
        <v>0.19287212905806667</v>
      </c>
      <c r="F45" s="58">
        <f>VLOOKUP($A45,$J$6:$Y$23,13,FALSE)</f>
        <v>0.11727022986071119</v>
      </c>
      <c r="G45" s="58">
        <f>VLOOKUP($A45,$J$6:$Y$23,14,FALSE)</f>
        <v>3.2021194009881508E-2</v>
      </c>
      <c r="H45" s="58">
        <f>VLOOKUP($A45,$J$6:$Y$23,15,FALSE)</f>
        <v>8.5884977471591146E-3</v>
      </c>
      <c r="I45" s="59">
        <f t="shared" si="15"/>
        <v>4.0609691757040621E-2</v>
      </c>
      <c r="J45" s="63">
        <f>I45-I44</f>
        <v>-3.4196485777535014E-2</v>
      </c>
      <c r="K45" s="78" t="str">
        <f t="shared" ref="K45:K69" si="18">IF(J45 &gt; 0, J45/15, "")</f>
        <v/>
      </c>
      <c r="L45" s="232"/>
      <c r="M45" s="79">
        <f>IFERROR(IF(L45 = "Apply", 'Renewal rates'!$V$22+K45, IF(J45 = "", "", 'Renewal rates'!$V$22)), "")</f>
        <v>3.0286503682779241E-3</v>
      </c>
      <c r="Q45" s="49" t="s">
        <v>43</v>
      </c>
      <c r="R45" s="72">
        <f t="shared" si="17"/>
        <v>4.0045993557379922E-3</v>
      </c>
    </row>
    <row r="46" spans="1:46">
      <c r="A46" s="49" t="s">
        <v>50</v>
      </c>
      <c r="B46" s="49" t="s">
        <v>504</v>
      </c>
      <c r="C46" s="49" t="str">
        <f t="shared" si="14"/>
        <v>NWT09</v>
      </c>
      <c r="D46" s="60">
        <f>VLOOKUP($A46,$A$6:$G$28,2,FALSE)/VLOOKUP($A46,$A$6:$G$28,7,FALSE)</f>
        <v>0.5896453517764173</v>
      </c>
      <c r="E46" s="61">
        <f>VLOOKUP($A46,$A$6:$G$28,3,FALSE)/VLOOKUP($A46,$A$6:$G$28,7,FALSE)</f>
        <v>0.23476897178748105</v>
      </c>
      <c r="F46" s="61">
        <f>VLOOKUP($A46,$A$6:$G$28,4,FALSE)/VLOOKUP($A46,$A$6:$G$28,7,FALSE)</f>
        <v>0.14374012403026912</v>
      </c>
      <c r="G46" s="61">
        <f>VLOOKUP($A46,$A$6:$G$28,5,FALSE)/VLOOKUP($A46,$A$6:$G$28,7,FALSE)</f>
        <v>2.8967393749784947E-2</v>
      </c>
      <c r="H46" s="61">
        <f>VLOOKUP($A46,$A$6:$G$28,6,FALSE)/VLOOKUP($A46,$A$6:$G$28,7,FALSE)</f>
        <v>2.8781586560476004E-3</v>
      </c>
      <c r="I46" s="62">
        <f t="shared" si="15"/>
        <v>3.1845552405832547E-2</v>
      </c>
      <c r="J46" s="70"/>
      <c r="K46" s="78" t="str">
        <f t="shared" si="18"/>
        <v/>
      </c>
      <c r="L46" s="232"/>
      <c r="M46" s="78" t="str">
        <f>IFERROR(IF(L46 = "Apply", 'Renewal rates'!$V$22+K46, IF(J46 = "", "", 'Renewal rates'!$V$22)), "")</f>
        <v/>
      </c>
      <c r="Q46" s="49" t="s">
        <v>85</v>
      </c>
      <c r="R46" s="72">
        <f t="shared" si="17"/>
        <v>3.0286503682779241E-3</v>
      </c>
    </row>
    <row r="47" spans="1:46">
      <c r="A47" s="50" t="s">
        <v>50</v>
      </c>
      <c r="B47" s="50" t="s">
        <v>505</v>
      </c>
      <c r="C47" s="50" t="str">
        <f t="shared" si="14"/>
        <v>NWT24</v>
      </c>
      <c r="D47" s="57">
        <f>VLOOKUP($A47,$J$6:$Y$23,11,FALSE)</f>
        <v>0.67805876688008948</v>
      </c>
      <c r="E47" s="58">
        <f>VLOOKUP($A47,$J$6:$Y$23,12,FALSE)</f>
        <v>0.17203404017167198</v>
      </c>
      <c r="F47" s="58">
        <f>VLOOKUP($A47,$J$6:$Y$23,13,FALSE)</f>
        <v>0.12314911315533815</v>
      </c>
      <c r="G47" s="58">
        <f>VLOOKUP($A47,$J$6:$Y$23,14,FALSE)</f>
        <v>2.1922485639160383E-2</v>
      </c>
      <c r="H47" s="58">
        <f>VLOOKUP($A47,$J$6:$Y$23,15,FALSE)</f>
        <v>4.8355941537400167E-3</v>
      </c>
      <c r="I47" s="59">
        <f t="shared" si="15"/>
        <v>2.6758079792900399E-2</v>
      </c>
      <c r="J47" s="63">
        <f>I47-I46</f>
        <v>-5.0874726129321486E-3</v>
      </c>
      <c r="K47" s="78" t="str">
        <f t="shared" si="18"/>
        <v/>
      </c>
      <c r="L47" s="232"/>
      <c r="M47" s="79">
        <f>IFERROR(IF(L47 = "Apply", 'Renewal rates'!$V$22+K47, IF(J47 = "", "", 'Renewal rates'!$V$22)), "")</f>
        <v>3.0286503682779241E-3</v>
      </c>
      <c r="Q47" s="49" t="s">
        <v>82</v>
      </c>
      <c r="R47" s="75">
        <f t="shared" si="17"/>
        <v>3.0286503682779241E-3</v>
      </c>
    </row>
    <row r="48" spans="1:46">
      <c r="A48" s="49" t="s">
        <v>39</v>
      </c>
      <c r="B48" s="49" t="s">
        <v>504</v>
      </c>
      <c r="C48" s="49" t="str">
        <f t="shared" si="14"/>
        <v>PRT09</v>
      </c>
      <c r="D48" s="60">
        <f>VLOOKUP($A48,$A$6:$G$28,2,FALSE)/VLOOKUP($A48,$A$6:$G$28,7,FALSE)</f>
        <v>0.80282997462923622</v>
      </c>
      <c r="E48" s="61">
        <f>VLOOKUP($A48,$A$6:$G$28,3,FALSE)/VLOOKUP($A48,$A$6:$G$28,7,FALSE)</f>
        <v>0.11146978541421725</v>
      </c>
      <c r="F48" s="61">
        <f>VLOOKUP($A48,$A$6:$G$28,4,FALSE)/VLOOKUP($A48,$A$6:$G$28,7,FALSE)</f>
        <v>6.2880303624100159E-2</v>
      </c>
      <c r="G48" s="61">
        <f>VLOOKUP($A48,$A$6:$G$28,5,FALSE)/VLOOKUP($A48,$A$6:$G$28,7,FALSE)</f>
        <v>1.9447481143815788E-2</v>
      </c>
      <c r="H48" s="61">
        <f>VLOOKUP($A48,$A$6:$G$28,6,FALSE)/VLOOKUP($A48,$A$6:$G$28,7,FALSE)</f>
        <v>8.9038317416444926E-4</v>
      </c>
      <c r="I48" s="62">
        <f t="shared" si="15"/>
        <v>2.0337864317980237E-2</v>
      </c>
      <c r="J48" s="70"/>
      <c r="K48" s="78" t="str">
        <f t="shared" si="18"/>
        <v/>
      </c>
      <c r="L48" s="232"/>
      <c r="M48" s="78" t="str">
        <f>IFERROR(IF(L48 = "Apply", 'Renewal rates'!$V$22+K48, IF(J48 = "", "", 'Renewal rates'!$V$22)), "")</f>
        <v/>
      </c>
      <c r="Q48" s="49" t="s">
        <v>83</v>
      </c>
      <c r="R48" s="75">
        <f t="shared" si="17"/>
        <v>3.0286503682779241E-3</v>
      </c>
    </row>
    <row r="49" spans="1:27">
      <c r="A49" s="50" t="s">
        <v>39</v>
      </c>
      <c r="B49" s="50" t="s">
        <v>505</v>
      </c>
      <c r="C49" s="50" t="str">
        <f t="shared" si="14"/>
        <v>PRT24</v>
      </c>
      <c r="D49" s="57">
        <f>VLOOKUP($A49,$J$6:$Y$23,11,FALSE)</f>
        <v>0.78806570426999778</v>
      </c>
      <c r="E49" s="58">
        <f>VLOOKUP($A49,$J$6:$Y$23,12,FALSE)</f>
        <v>0.16215360839285134</v>
      </c>
      <c r="F49" s="58">
        <f>VLOOKUP($A49,$J$6:$Y$23,13,FALSE)</f>
        <v>4.9213451000460214E-2</v>
      </c>
      <c r="G49" s="58">
        <f>VLOOKUP($A49,$J$6:$Y$23,14,FALSE)</f>
        <v>5.4972700305950834E-4</v>
      </c>
      <c r="H49" s="58">
        <f>VLOOKUP($A49,$J$6:$Y$23,15,FALSE)</f>
        <v>1.750933363110213E-5</v>
      </c>
      <c r="I49" s="59">
        <f t="shared" si="15"/>
        <v>5.6723633669061044E-4</v>
      </c>
      <c r="J49" s="63">
        <f>I49-I48</f>
        <v>-1.9770627981289625E-2</v>
      </c>
      <c r="K49" s="78" t="str">
        <f t="shared" si="18"/>
        <v/>
      </c>
      <c r="L49" s="232"/>
      <c r="M49" s="79">
        <f>IFERROR(IF(L49 = "Apply", 'Renewal rates'!$V$22+K49, IF(J49 = "", "", 'Renewal rates'!$V$22)), "")</f>
        <v>3.0286503682779241E-3</v>
      </c>
      <c r="Q49" s="49" t="s">
        <v>48</v>
      </c>
      <c r="R49" s="75">
        <f t="shared" si="17"/>
        <v>3.0286503682779241E-3</v>
      </c>
    </row>
    <row r="50" spans="1:27">
      <c r="A50" s="49" t="s">
        <v>41</v>
      </c>
      <c r="B50" s="49" t="s">
        <v>504</v>
      </c>
      <c r="C50" s="49" t="str">
        <f t="shared" si="14"/>
        <v>SES09</v>
      </c>
      <c r="D50" s="60">
        <f>VLOOKUP($A50,$A$6:$G$28,2,FALSE)/VLOOKUP($A50,$A$6:$G$28,7,FALSE)</f>
        <v>0.82810466205583089</v>
      </c>
      <c r="E50" s="61">
        <f>VLOOKUP($A50,$A$6:$G$28,3,FALSE)/VLOOKUP($A50,$A$6:$G$28,7,FALSE)</f>
        <v>0.10240816717732137</v>
      </c>
      <c r="F50" s="61">
        <f>VLOOKUP($A50,$A$6:$G$28,4,FALSE)/VLOOKUP($A50,$A$6:$G$28,7,FALSE)</f>
        <v>6.1250738156263439E-2</v>
      </c>
      <c r="G50" s="61">
        <f>VLOOKUP($A50,$A$6:$G$28,5,FALSE)/VLOOKUP($A50,$A$6:$G$28,7,FALSE)</f>
        <v>8.2364326105843107E-3</v>
      </c>
      <c r="H50" s="61">
        <f>VLOOKUP($A50,$A$6:$G$28,6,FALSE)/VLOOKUP($A50,$A$6:$G$28,7,FALSE)</f>
        <v>0</v>
      </c>
      <c r="I50" s="62">
        <f t="shared" si="15"/>
        <v>8.2364326105843107E-3</v>
      </c>
      <c r="J50" s="70"/>
      <c r="K50" s="78" t="str">
        <f t="shared" si="18"/>
        <v/>
      </c>
      <c r="L50" s="232"/>
      <c r="M50" s="78" t="str">
        <f>IFERROR(IF(L50 = "Apply", 'Renewal rates'!$V$22+K50, IF(J50 = "", "", 'Renewal rates'!$V$22)), "")</f>
        <v/>
      </c>
      <c r="Q50" s="49" t="s">
        <v>51</v>
      </c>
      <c r="R50" s="72">
        <f t="shared" si="17"/>
        <v>3.3424928788226772E-3</v>
      </c>
    </row>
    <row r="51" spans="1:27">
      <c r="A51" s="50" t="s">
        <v>41</v>
      </c>
      <c r="B51" s="50" t="s">
        <v>505</v>
      </c>
      <c r="C51" s="50" t="str">
        <f t="shared" si="14"/>
        <v>SES24</v>
      </c>
      <c r="D51" s="57">
        <f>VLOOKUP($A51,$J$6:$Y$23,11,FALSE)</f>
        <v>0.80478777741596186</v>
      </c>
      <c r="E51" s="58">
        <f>VLOOKUP($A51,$J$6:$Y$23,12,FALSE)</f>
        <v>0.18162330563300369</v>
      </c>
      <c r="F51" s="58">
        <f>VLOOKUP($A51,$J$6:$Y$23,13,FALSE)</f>
        <v>1.3349382755148359E-2</v>
      </c>
      <c r="G51" s="58">
        <f>VLOOKUP($A51,$J$6:$Y$23,14,FALSE)</f>
        <v>7.834432871554115E-5</v>
      </c>
      <c r="H51" s="58">
        <f>VLOOKUP($A51,$J$6:$Y$23,15,FALSE)</f>
        <v>1.6118986717062272E-4</v>
      </c>
      <c r="I51" s="59">
        <f t="shared" si="15"/>
        <v>2.3953419588616386E-4</v>
      </c>
      <c r="J51" s="63">
        <f>I51-I50</f>
        <v>-7.9968984146981462E-3</v>
      </c>
      <c r="K51" s="78" t="str">
        <f t="shared" si="18"/>
        <v/>
      </c>
      <c r="L51" s="232"/>
      <c r="M51" s="79">
        <f>IFERROR(IF(L51 = "Apply", 'Renewal rates'!$V$22+K51, IF(J51 = "", "", 'Renewal rates'!$V$22)), "")</f>
        <v>3.0286503682779241E-3</v>
      </c>
      <c r="Q51" s="49" t="s">
        <v>52</v>
      </c>
      <c r="R51" s="72">
        <f t="shared" si="17"/>
        <v>3.0286503682779241E-3</v>
      </c>
    </row>
    <row r="52" spans="1:27">
      <c r="A52" s="49" t="s">
        <v>42</v>
      </c>
      <c r="B52" s="49" t="s">
        <v>504</v>
      </c>
      <c r="C52" s="49" t="str">
        <f t="shared" si="14"/>
        <v>SEW09</v>
      </c>
      <c r="D52" s="60">
        <f>VLOOKUP($A52,$A$6:$G$28,2,FALSE)/VLOOKUP($A52,$A$6:$G$28,7,FALSE)</f>
        <v>0.65147716530725863</v>
      </c>
      <c r="E52" s="61">
        <f>VLOOKUP($A52,$A$6:$G$28,3,FALSE)/VLOOKUP($A52,$A$6:$G$28,7,FALSE)</f>
        <v>0.1863533614057637</v>
      </c>
      <c r="F52" s="61">
        <f>VLOOKUP($A52,$A$6:$G$28,4,FALSE)/VLOOKUP($A52,$A$6:$G$28,7,FALSE)</f>
        <v>8.4114915128847986E-2</v>
      </c>
      <c r="G52" s="61">
        <f>VLOOKUP($A52,$A$6:$G$28,5,FALSE)/VLOOKUP($A52,$A$6:$G$28,7,FALSE)</f>
        <v>5.0221005002970394E-2</v>
      </c>
      <c r="H52" s="61">
        <f>VLOOKUP($A52,$A$6:$G$28,6,FALSE)/VLOOKUP($A52,$A$6:$G$28,7,FALSE)</f>
        <v>2.7834300424822808E-2</v>
      </c>
      <c r="I52" s="62">
        <f t="shared" si="15"/>
        <v>7.8055305427793209E-2</v>
      </c>
      <c r="J52" s="70"/>
      <c r="K52" s="78" t="str">
        <f t="shared" si="18"/>
        <v/>
      </c>
      <c r="L52" s="232"/>
      <c r="M52" s="78" t="str">
        <f>IFERROR(IF(L52 = "Apply", 'Renewal rates'!$V$22+K52, IF(J52 = "", "", 'Renewal rates'!$V$22)), "")</f>
        <v/>
      </c>
      <c r="Q52" s="80" t="s">
        <v>53</v>
      </c>
      <c r="R52" s="73">
        <f t="shared" si="17"/>
        <v>4.4509808724049532E-3</v>
      </c>
    </row>
    <row r="53" spans="1:27">
      <c r="A53" s="50" t="s">
        <v>42</v>
      </c>
      <c r="B53" s="50" t="s">
        <v>505</v>
      </c>
      <c r="C53" s="50" t="str">
        <f t="shared" si="14"/>
        <v>SEW24</v>
      </c>
      <c r="D53" s="57">
        <f>VLOOKUP($A53,$J$6:$Y$23,11,FALSE)</f>
        <v>0.50090948583667882</v>
      </c>
      <c r="E53" s="58">
        <f>VLOOKUP($A53,$J$6:$Y$23,12,FALSE)</f>
        <v>0.27191800239572783</v>
      </c>
      <c r="F53" s="58">
        <f>VLOOKUP($A53,$J$6:$Y$23,13,FALSE)</f>
        <v>0.18556573056528369</v>
      </c>
      <c r="G53" s="58">
        <f>VLOOKUP($A53,$J$6:$Y$23,14,FALSE)</f>
        <v>3.5959571854227025E-2</v>
      </c>
      <c r="H53" s="58">
        <f>VLOOKUP($A53,$J$6:$Y$23,15,FALSE)</f>
        <v>5.6472093480827911E-3</v>
      </c>
      <c r="I53" s="59">
        <f t="shared" si="15"/>
        <v>4.1606781202309817E-2</v>
      </c>
      <c r="J53" s="63">
        <f>I53-I52</f>
        <v>-3.6448524225483392E-2</v>
      </c>
      <c r="K53" s="78" t="str">
        <f t="shared" si="18"/>
        <v/>
      </c>
      <c r="L53" s="232"/>
      <c r="M53" s="79">
        <f>IFERROR(IF(L53 = "Apply", 'Renewal rates'!$V$22+K53, IF(J53 = "", "", 'Renewal rates'!$V$22)), "")</f>
        <v>3.0286503682779241E-3</v>
      </c>
    </row>
    <row r="54" spans="1:27">
      <c r="A54" s="49" t="s">
        <v>43</v>
      </c>
      <c r="B54" s="49" t="s">
        <v>504</v>
      </c>
      <c r="C54" s="49" t="str">
        <f t="shared" si="14"/>
        <v>SRN09</v>
      </c>
      <c r="D54" s="60">
        <f>VLOOKUP($A54,$A$6:$G$28,2,FALSE)/VLOOKUP($A54,$A$6:$G$28,7,FALSE)</f>
        <v>0.61932602517255375</v>
      </c>
      <c r="E54" s="61">
        <f>VLOOKUP($A54,$A$6:$G$28,3,FALSE)/VLOOKUP($A54,$A$6:$G$28,7,FALSE)</f>
        <v>0.24457978075517661</v>
      </c>
      <c r="F54" s="61">
        <f>VLOOKUP($A54,$A$6:$G$28,4,FALSE)/VLOOKUP($A54,$A$6:$G$28,7,FALSE)</f>
        <v>0.10807957775071052</v>
      </c>
      <c r="G54" s="61">
        <f>VLOOKUP($A54,$A$6:$G$28,5,FALSE)/VLOOKUP($A54,$A$6:$G$28,7,FALSE)</f>
        <v>2.484774665042631E-2</v>
      </c>
      <c r="H54" s="61">
        <f>VLOOKUP($A54,$A$6:$G$28,6,FALSE)/VLOOKUP($A54,$A$6:$G$28,7,FALSE)</f>
        <v>3.1668696711327649E-3</v>
      </c>
      <c r="I54" s="62">
        <f t="shared" si="15"/>
        <v>2.8014616321559077E-2</v>
      </c>
      <c r="J54" s="70"/>
      <c r="K54" s="78" t="str">
        <f t="shared" si="18"/>
        <v/>
      </c>
      <c r="L54" s="232"/>
      <c r="M54" s="78" t="str">
        <f>IFERROR(IF(L54 = "Apply", 'Renewal rates'!$V$22+K54, IF(J54 = "", "", 'Renewal rates'!$V$22)), "")</f>
        <v/>
      </c>
    </row>
    <row r="55" spans="1:27">
      <c r="A55" s="50" t="s">
        <v>43</v>
      </c>
      <c r="B55" s="50" t="s">
        <v>505</v>
      </c>
      <c r="C55" s="50" t="str">
        <f t="shared" si="14"/>
        <v>SRN24</v>
      </c>
      <c r="D55" s="57">
        <f>VLOOKUP($A55,$J$6:$Y$23,11,FALSE)</f>
        <v>0.61869665532893858</v>
      </c>
      <c r="E55" s="58">
        <f>VLOOKUP($A55,$J$6:$Y$23,12,FALSE)</f>
        <v>0.17856995472133447</v>
      </c>
      <c r="F55" s="58">
        <f>VLOOKUP($A55,$J$6:$Y$23,13,FALSE)</f>
        <v>0.16007953881626696</v>
      </c>
      <c r="G55" s="58">
        <f>VLOOKUP($A55,$J$6:$Y$23,14,FALSE)</f>
        <v>3.6069517059129551E-2</v>
      </c>
      <c r="H55" s="58">
        <f>VLOOKUP($A55,$J$6:$Y$23,15,FALSE)</f>
        <v>6.5843340743305511E-3</v>
      </c>
      <c r="I55" s="59">
        <f t="shared" si="15"/>
        <v>4.2653851133460104E-2</v>
      </c>
      <c r="J55" s="63">
        <f>I55-I54</f>
        <v>1.4639234811901027E-2</v>
      </c>
      <c r="K55" s="76">
        <f t="shared" si="18"/>
        <v>9.7594898746006839E-4</v>
      </c>
      <c r="L55" s="234" t="s">
        <v>507</v>
      </c>
      <c r="M55" s="76">
        <f>IFERROR(IF(L55 = "Apply", 'Renewal rates'!$V$22+K55, IF(J55 = "", "", 'Renewal rates'!$V$22)), "")</f>
        <v>4.0045993557379922E-3</v>
      </c>
    </row>
    <row r="56" spans="1:27" ht="14.25" customHeight="1">
      <c r="A56" s="49" t="s">
        <v>85</v>
      </c>
      <c r="B56" s="49" t="s">
        <v>504</v>
      </c>
      <c r="C56" s="49" t="str">
        <f t="shared" si="14"/>
        <v>SSC09</v>
      </c>
      <c r="D56" s="60">
        <f>SUM(B$9,B$19)/SUM($G$9,$G$19)</f>
        <v>0.48687986044312564</v>
      </c>
      <c r="E56" s="61">
        <f>SUM(C$9,C$19)/SUM($G$9,$G$19)</f>
        <v>0.24888321893799828</v>
      </c>
      <c r="F56" s="61">
        <f>SUM(D$9,D$19)/SUM($G$9,$G$19)</f>
        <v>0.20858263908135929</v>
      </c>
      <c r="G56" s="61">
        <f>SUM(E$9,E$19)/SUM($G$9,$G$19)</f>
        <v>6.0625451739298189E-2</v>
      </c>
      <c r="H56" s="61">
        <f>SUM(F$9,F$19)/SUM($G$9,$G$19)</f>
        <v>1.2628321132975746E-2</v>
      </c>
      <c r="I56" s="62">
        <f t="shared" si="15"/>
        <v>7.3253772872273942E-2</v>
      </c>
      <c r="J56" s="70"/>
      <c r="K56" s="78" t="str">
        <f t="shared" si="18"/>
        <v/>
      </c>
      <c r="L56" s="232"/>
      <c r="M56" s="78" t="str">
        <f>IFERROR(IF(L56 = "Apply", 'Renewal rates'!$V$22+K56, IF(J56 = "", "", 'Renewal rates'!$V$22)), "")</f>
        <v/>
      </c>
      <c r="Q56" s="238"/>
      <c r="R56" s="238"/>
      <c r="S56" s="238"/>
      <c r="T56" s="238"/>
      <c r="U56" s="238"/>
      <c r="V56" s="238"/>
      <c r="W56" s="238"/>
      <c r="X56" s="238"/>
      <c r="Y56" s="238"/>
      <c r="Z56" s="238"/>
      <c r="AA56" s="238"/>
    </row>
    <row r="57" spans="1:27">
      <c r="A57" s="50" t="s">
        <v>85</v>
      </c>
      <c r="B57" s="50" t="s">
        <v>505</v>
      </c>
      <c r="C57" s="50" t="str">
        <f t="shared" si="14"/>
        <v>SSC24</v>
      </c>
      <c r="D57" s="57">
        <f>VLOOKUP($A57,$J$6:$Y$23,11,FALSE)</f>
        <v>0.516575698155192</v>
      </c>
      <c r="E57" s="58">
        <f>VLOOKUP($A57,$J$6:$Y$23,12,FALSE)</f>
        <v>0.36485654176062682</v>
      </c>
      <c r="F57" s="58">
        <f>VLOOKUP($A57,$J$6:$Y$23,13,FALSE)</f>
        <v>0.1023660186407765</v>
      </c>
      <c r="G57" s="58">
        <f>VLOOKUP($A57,$J$6:$Y$23,14,FALSE)</f>
        <v>1.5734616922047466E-2</v>
      </c>
      <c r="H57" s="58">
        <f>VLOOKUP($A57,$J$6:$Y$23,15,FALSE)</f>
        <v>4.6712452135722353E-4</v>
      </c>
      <c r="I57" s="59">
        <f t="shared" si="15"/>
        <v>1.620174144340469E-2</v>
      </c>
      <c r="J57" s="63">
        <f>I57-I56</f>
        <v>-5.7052031428869249E-2</v>
      </c>
      <c r="K57" s="78" t="str">
        <f t="shared" si="18"/>
        <v/>
      </c>
      <c r="L57" s="232"/>
      <c r="M57" s="79">
        <f>IFERROR(IF(L57 = "Apply", 'Renewal rates'!$V$22+K57, IF(J57 = "", "", 'Renewal rates'!$V$22)), "")</f>
        <v>3.0286503682779241E-3</v>
      </c>
      <c r="Q57" s="238"/>
      <c r="R57" s="238"/>
      <c r="S57" s="238"/>
      <c r="T57" s="238"/>
      <c r="U57" s="238"/>
      <c r="V57" s="238"/>
      <c r="W57" s="238"/>
      <c r="X57" s="238"/>
      <c r="Y57" s="238"/>
      <c r="Z57" s="238"/>
      <c r="AA57" s="238"/>
    </row>
    <row r="58" spans="1:27">
      <c r="A58" s="49" t="s">
        <v>45</v>
      </c>
      <c r="B58" s="49" t="s">
        <v>504</v>
      </c>
      <c r="C58" s="49" t="str">
        <f t="shared" si="14"/>
        <v>SVT09</v>
      </c>
      <c r="D58" s="60">
        <f>VLOOKUP($A58,$A$6:$G$28,2,FALSE)/VLOOKUP($A58,$A$6:$G$28,7,FALSE)</f>
        <v>0.58655265315684668</v>
      </c>
      <c r="E58" s="61">
        <f>VLOOKUP($A58,$A$6:$G$28,3,FALSE)/VLOOKUP($A58,$A$6:$G$28,7,FALSE)</f>
        <v>0.21827972355628442</v>
      </c>
      <c r="F58" s="61">
        <f>VLOOKUP($A58,$A$6:$G$28,4,FALSE)/VLOOKUP($A58,$A$6:$G$28,7,FALSE)</f>
        <v>0.16065362539533795</v>
      </c>
      <c r="G58" s="61">
        <f>VLOOKUP($A58,$A$6:$G$28,5,FALSE)/VLOOKUP($A58,$A$6:$G$28,7,FALSE)</f>
        <v>3.1556518683378235E-2</v>
      </c>
      <c r="H58" s="61">
        <f>VLOOKUP($A58,$A$6:$G$28,6,FALSE)/VLOOKUP($A58,$A$6:$G$28,7,FALSE)</f>
        <v>2.9504509780953498E-3</v>
      </c>
      <c r="I58" s="62">
        <f t="shared" si="15"/>
        <v>3.4506969661473583E-2</v>
      </c>
      <c r="J58" s="70"/>
      <c r="K58" s="78" t="str">
        <f t="shared" si="18"/>
        <v/>
      </c>
      <c r="L58" s="232"/>
      <c r="M58" s="78" t="str">
        <f>IFERROR(IF(L58 = "Apply", 'Renewal rates'!$V$22+K58, IF(J58 = "", "", 'Renewal rates'!$V$22)), "")</f>
        <v/>
      </c>
      <c r="Q58" s="238"/>
      <c r="R58" s="238"/>
      <c r="S58" s="238"/>
      <c r="T58" s="238"/>
      <c r="U58" s="238"/>
      <c r="V58" s="238"/>
      <c r="W58" s="238"/>
      <c r="X58" s="238"/>
      <c r="Y58" s="238"/>
      <c r="Z58" s="238"/>
      <c r="AA58" s="238"/>
    </row>
    <row r="59" spans="1:27">
      <c r="A59" s="50" t="s">
        <v>82</v>
      </c>
      <c r="B59" s="50" t="s">
        <v>505</v>
      </c>
      <c r="C59" s="50" t="str">
        <f t="shared" si="14"/>
        <v>SVE24</v>
      </c>
      <c r="D59" s="57">
        <f>VLOOKUP($A59,$J$6:$Y$23,11,FALSE)</f>
        <v>0.63154782115281827</v>
      </c>
      <c r="E59" s="58">
        <f>VLOOKUP($A59,$J$6:$Y$23,12,FALSE)</f>
        <v>0.23386806409384447</v>
      </c>
      <c r="F59" s="58">
        <f>VLOOKUP($A59,$J$6:$Y$23,13,FALSE)</f>
        <v>0.13385549998779125</v>
      </c>
      <c r="G59" s="58">
        <f>VLOOKUP($A59,$J$6:$Y$23,14,FALSE)</f>
        <v>7.286147655459974E-4</v>
      </c>
      <c r="H59" s="58">
        <f>VLOOKUP($A59,$J$6:$Y$23,15,FALSE)</f>
        <v>0</v>
      </c>
      <c r="I59" s="59">
        <f t="shared" si="15"/>
        <v>7.286147655459974E-4</v>
      </c>
      <c r="J59" s="63">
        <f>I59-I58</f>
        <v>-3.3778354895927586E-2</v>
      </c>
      <c r="K59" s="78" t="str">
        <f t="shared" si="18"/>
        <v/>
      </c>
      <c r="L59" s="232"/>
      <c r="M59" s="79">
        <f>IFERROR(IF(L59 = "Apply", 'Renewal rates'!$V$22+K59, IF(J59 = "", "", 'Renewal rates'!$V$22)), "")</f>
        <v>3.0286503682779241E-3</v>
      </c>
      <c r="Q59" s="238"/>
      <c r="R59" s="238"/>
      <c r="S59" s="238"/>
      <c r="T59" s="238"/>
      <c r="U59" s="238"/>
      <c r="V59" s="238"/>
      <c r="W59" s="238"/>
      <c r="X59" s="238"/>
      <c r="Y59" s="238"/>
      <c r="Z59" s="238"/>
      <c r="AA59" s="238"/>
    </row>
    <row r="60" spans="1:27">
      <c r="A60" s="49" t="s">
        <v>46</v>
      </c>
      <c r="B60" s="49" t="s">
        <v>504</v>
      </c>
      <c r="C60" s="49" t="str">
        <f t="shared" si="14"/>
        <v>SWT09</v>
      </c>
      <c r="D60" s="60">
        <f>SUM(B$15,B$21)/SUM($G$15,$G$21)</f>
        <v>0.61627879275884001</v>
      </c>
      <c r="E60" s="61">
        <f>SUM(C$15,C$21)/SUM($G$15,$G$21)</f>
        <v>0.31457868293600971</v>
      </c>
      <c r="F60" s="61">
        <f>SUM(D$15,D$21)/SUM($G$15,$G$21)</f>
        <v>1.2777922037701868E-2</v>
      </c>
      <c r="G60" s="61">
        <f>SUM(E$15,E$21)/SUM($G$15,$G$21)</f>
        <v>2.9347828676384753E-2</v>
      </c>
      <c r="H60" s="61">
        <f>SUM(F$15,F$21)/SUM($G$15,$G$21)</f>
        <v>2.5564182034319038E-2</v>
      </c>
      <c r="I60" s="62">
        <f t="shared" si="15"/>
        <v>5.4912010710703792E-2</v>
      </c>
      <c r="J60" s="70"/>
      <c r="K60" s="78" t="str">
        <f t="shared" si="18"/>
        <v/>
      </c>
      <c r="L60" s="232"/>
      <c r="M60" s="78" t="str">
        <f>IFERROR(IF(L60 = "Apply", 'Renewal rates'!$V$22+K60, IF(J60 = "", "", 'Renewal rates'!$V$22)), "")</f>
        <v/>
      </c>
      <c r="Q60" s="238"/>
      <c r="R60" s="238"/>
      <c r="S60" s="238"/>
      <c r="T60" s="238"/>
      <c r="U60" s="238"/>
      <c r="V60" s="238"/>
      <c r="W60" s="238"/>
      <c r="X60" s="238"/>
      <c r="Y60" s="238"/>
      <c r="Z60" s="238"/>
      <c r="AA60" s="238"/>
    </row>
    <row r="61" spans="1:27">
      <c r="A61" s="50" t="s">
        <v>83</v>
      </c>
      <c r="B61" s="50" t="s">
        <v>505</v>
      </c>
      <c r="C61" s="50" t="str">
        <f t="shared" si="14"/>
        <v>SWB24</v>
      </c>
      <c r="D61" s="57">
        <f>VLOOKUP($A61,$J$6:$Y$23,11,FALSE)</f>
        <v>0.79347412278121576</v>
      </c>
      <c r="E61" s="58">
        <f>VLOOKUP($A61,$J$6:$Y$23,12,FALSE)</f>
        <v>0.14011384827698253</v>
      </c>
      <c r="F61" s="58">
        <f>VLOOKUP($A61,$J$6:$Y$23,13,FALSE)</f>
        <v>4.5609031128327454E-2</v>
      </c>
      <c r="G61" s="58">
        <f>VLOOKUP($A61,$J$6:$Y$23,14,FALSE)</f>
        <v>1.5951931097473799E-2</v>
      </c>
      <c r="H61" s="58">
        <f>VLOOKUP($A61,$J$6:$Y$23,15,FALSE)</f>
        <v>4.8510667160004857E-3</v>
      </c>
      <c r="I61" s="59">
        <f t="shared" si="15"/>
        <v>2.0802997813474285E-2</v>
      </c>
      <c r="J61" s="63">
        <f>I61-I60</f>
        <v>-3.4109012897229507E-2</v>
      </c>
      <c r="K61" s="78" t="str">
        <f t="shared" si="18"/>
        <v/>
      </c>
      <c r="L61" s="232"/>
      <c r="M61" s="79">
        <f>IFERROR(IF(L61 = "Apply", 'Renewal rates'!$V$22+K61, IF(J61 = "", "", 'Renewal rates'!$V$22)), "")</f>
        <v>3.0286503682779241E-3</v>
      </c>
      <c r="Q61" s="238"/>
      <c r="R61" s="238"/>
      <c r="S61" s="238"/>
      <c r="T61" s="238"/>
      <c r="U61" s="238"/>
      <c r="V61" s="238"/>
      <c r="W61" s="238"/>
      <c r="X61" s="238"/>
      <c r="Y61" s="238"/>
      <c r="Z61" s="238"/>
      <c r="AA61" s="238"/>
    </row>
    <row r="62" spans="1:27">
      <c r="A62" s="49" t="s">
        <v>48</v>
      </c>
      <c r="B62" s="49" t="s">
        <v>504</v>
      </c>
      <c r="C62" s="49" t="str">
        <f t="shared" si="14"/>
        <v>TMS09</v>
      </c>
      <c r="D62" s="60">
        <f>VLOOKUP($A62,$A$6:$G$28,2,FALSE)/VLOOKUP($A62,$A$6:$G$28,7,FALSE)</f>
        <v>0.20674101548284443</v>
      </c>
      <c r="E62" s="61">
        <f>VLOOKUP($A62,$A$6:$G$28,3,FALSE)/VLOOKUP($A62,$A$6:$G$28,7,FALSE)</f>
        <v>0.28606852822963419</v>
      </c>
      <c r="F62" s="61">
        <f>VLOOKUP($A62,$A$6:$G$28,4,FALSE)/VLOOKUP($A62,$A$6:$G$28,7,FALSE)</f>
        <v>0.27308889396572988</v>
      </c>
      <c r="G62" s="61">
        <f>VLOOKUP($A62,$A$6:$G$28,5,FALSE)/VLOOKUP($A62,$A$6:$G$28,7,FALSE)</f>
        <v>0.13936911242898417</v>
      </c>
      <c r="H62" s="61">
        <f>VLOOKUP($A62,$A$6:$G$28,6,FALSE)/VLOOKUP($A62,$A$6:$G$28,7,FALSE)</f>
        <v>9.4732800826519067E-2</v>
      </c>
      <c r="I62" s="62">
        <f t="shared" si="15"/>
        <v>0.23410191325550322</v>
      </c>
      <c r="J62" s="70"/>
      <c r="K62" s="78" t="str">
        <f t="shared" si="18"/>
        <v/>
      </c>
      <c r="L62" s="232"/>
      <c r="M62" s="78" t="str">
        <f>IFERROR(IF(L62 = "Apply", 'Renewal rates'!$V$22+K62, IF(J62 = "", "", 'Renewal rates'!$V$22)), "")</f>
        <v/>
      </c>
      <c r="Q62" s="238"/>
      <c r="R62" s="238"/>
      <c r="S62" s="238"/>
      <c r="T62" s="238"/>
      <c r="U62" s="238"/>
      <c r="V62" s="238"/>
      <c r="W62" s="238"/>
      <c r="X62" s="238"/>
      <c r="Y62" s="238"/>
      <c r="Z62" s="238"/>
      <c r="AA62" s="238"/>
    </row>
    <row r="63" spans="1:27">
      <c r="A63" s="50" t="s">
        <v>48</v>
      </c>
      <c r="B63" s="50" t="s">
        <v>505</v>
      </c>
      <c r="C63" s="50" t="str">
        <f t="shared" si="14"/>
        <v>TMS24</v>
      </c>
      <c r="D63" s="57">
        <f>VLOOKUP($A63,$J$6:$Y$23,11,FALSE)</f>
        <v>0.34724924087997178</v>
      </c>
      <c r="E63" s="58">
        <f>VLOOKUP($A63,$J$6:$Y$23,12,FALSE)</f>
        <v>0.19086451342123287</v>
      </c>
      <c r="F63" s="58">
        <f>VLOOKUP($A63,$J$6:$Y$23,13,FALSE)</f>
        <v>0.29004000739335489</v>
      </c>
      <c r="G63" s="58">
        <f>VLOOKUP($A63,$J$6:$Y$23,14,FALSE)</f>
        <v>0.16194862881461111</v>
      </c>
      <c r="H63" s="58">
        <f>VLOOKUP($A63,$J$6:$Y$23,15,FALSE)</f>
        <v>9.897609490829495E-3</v>
      </c>
      <c r="I63" s="59">
        <f t="shared" si="15"/>
        <v>0.1718462383054406</v>
      </c>
      <c r="J63" s="63">
        <f>I63-I62</f>
        <v>-6.2255674950062623E-2</v>
      </c>
      <c r="K63" s="78" t="str">
        <f t="shared" si="18"/>
        <v/>
      </c>
      <c r="L63" s="232"/>
      <c r="M63" s="79">
        <f>IFERROR(IF(L63 = "Apply", 'Renewal rates'!$V$22+K63, IF(J63 = "", "", 'Renewal rates'!$V$22)), "")</f>
        <v>3.0286503682779241E-3</v>
      </c>
      <c r="Q63" s="238"/>
      <c r="R63" s="238"/>
      <c r="S63" s="238"/>
      <c r="T63" s="238"/>
      <c r="U63" s="238"/>
      <c r="V63" s="238"/>
      <c r="W63" s="238"/>
      <c r="X63" s="238"/>
      <c r="Y63" s="238"/>
      <c r="Z63" s="238"/>
      <c r="AA63" s="238"/>
    </row>
    <row r="64" spans="1:27">
      <c r="A64" s="49" t="s">
        <v>51</v>
      </c>
      <c r="B64" s="49" t="s">
        <v>504</v>
      </c>
      <c r="C64" s="49" t="str">
        <f t="shared" si="14"/>
        <v>WSH09</v>
      </c>
      <c r="D64" s="60">
        <f>VLOOKUP($A64,$A$6:$G$28,2,FALSE)/VLOOKUP($A64,$A$6:$G$28,7,FALSE)</f>
        <v>0.53392231119324363</v>
      </c>
      <c r="E64" s="61">
        <f>VLOOKUP($A64,$A$6:$G$28,3,FALSE)/VLOOKUP($A64,$A$6:$G$28,7,FALSE)</f>
        <v>0.17718932390371944</v>
      </c>
      <c r="F64" s="61">
        <f>VLOOKUP($A64,$A$6:$G$28,4,FALSE)/VLOOKUP($A64,$A$6:$G$28,7,FALSE)</f>
        <v>0.24243062471724744</v>
      </c>
      <c r="G64" s="61">
        <f>VLOOKUP($A64,$A$6:$G$28,5,FALSE)/VLOOKUP($A64,$A$6:$G$28,7,FALSE)</f>
        <v>4.3068306618047884E-2</v>
      </c>
      <c r="H64" s="61">
        <f>VLOOKUP($A64,$A$6:$G$28,6,FALSE)/VLOOKUP($A64,$A$6:$G$28,7,FALSE)</f>
        <v>3.3894335677415125E-3</v>
      </c>
      <c r="I64" s="62">
        <f t="shared" si="15"/>
        <v>4.6457740185789395E-2</v>
      </c>
      <c r="J64" s="70"/>
      <c r="K64" s="78" t="str">
        <f t="shared" si="18"/>
        <v/>
      </c>
      <c r="L64" s="232"/>
      <c r="M64" s="78" t="str">
        <f>IFERROR(IF(L64 = "Apply", 'Renewal rates'!$V$22+K64, IF(J64 = "", "", 'Renewal rates'!$V$22)), "")</f>
        <v/>
      </c>
      <c r="Q64" s="238"/>
      <c r="R64" s="238"/>
      <c r="S64" s="238"/>
      <c r="T64" s="238"/>
      <c r="U64" s="238"/>
      <c r="V64" s="238"/>
      <c r="W64" s="238"/>
      <c r="X64" s="238"/>
      <c r="Y64" s="238"/>
      <c r="Z64" s="238"/>
      <c r="AA64" s="238"/>
    </row>
    <row r="65" spans="1:27">
      <c r="A65" s="50" t="s">
        <v>51</v>
      </c>
      <c r="B65" s="50" t="s">
        <v>505</v>
      </c>
      <c r="C65" s="50" t="str">
        <f t="shared" si="14"/>
        <v>WSH24</v>
      </c>
      <c r="D65" s="57">
        <f>VLOOKUP($A65,$J$6:$Y$23,11,FALSE)</f>
        <v>0.65795547027667078</v>
      </c>
      <c r="E65" s="58">
        <f>VLOOKUP($A65,$J$6:$Y$23,12,FALSE)</f>
        <v>0.1738825816669097</v>
      </c>
      <c r="F65" s="58">
        <f>VLOOKUP($A65,$J$6:$Y$23,13,FALSE)</f>
        <v>0.11699657021245886</v>
      </c>
      <c r="G65" s="58">
        <f>VLOOKUP($A65,$J$6:$Y$23,14,FALSE)</f>
        <v>3.6163925897506735E-2</v>
      </c>
      <c r="H65" s="58">
        <f>VLOOKUP($A65,$J$6:$Y$23,15,FALSE)</f>
        <v>1.5001451946453956E-2</v>
      </c>
      <c r="I65" s="59">
        <f t="shared" si="15"/>
        <v>5.1165377843960691E-2</v>
      </c>
      <c r="J65" s="63">
        <f>I65-I64</f>
        <v>4.7076376581712959E-3</v>
      </c>
      <c r="K65" s="76">
        <f t="shared" si="18"/>
        <v>3.1384251054475306E-4</v>
      </c>
      <c r="L65" s="234" t="s">
        <v>507</v>
      </c>
      <c r="M65" s="76">
        <f>IFERROR(IF(L65 = "Apply", 'Renewal rates'!$V$22+K65, IF(J65 = "", "", 'Renewal rates'!$V$22)), "")</f>
        <v>3.3424928788226772E-3</v>
      </c>
      <c r="Q65" s="238"/>
      <c r="R65" s="238"/>
      <c r="S65" s="238"/>
      <c r="T65" s="238"/>
      <c r="U65" s="238"/>
      <c r="V65" s="238"/>
      <c r="W65" s="238"/>
      <c r="X65" s="238"/>
      <c r="Y65" s="238"/>
      <c r="Z65" s="238"/>
      <c r="AA65" s="238"/>
    </row>
    <row r="66" spans="1:27">
      <c r="A66" s="49" t="s">
        <v>52</v>
      </c>
      <c r="B66" s="49" t="s">
        <v>504</v>
      </c>
      <c r="C66" s="49" t="str">
        <f t="shared" si="14"/>
        <v>WSX09</v>
      </c>
      <c r="D66" s="60">
        <f>VLOOKUP($A66,$A$6:$G$28,2,FALSE)/VLOOKUP($A66,$A$6:$G$28,7,FALSE)</f>
        <v>0.57093977498345461</v>
      </c>
      <c r="E66" s="61">
        <f>VLOOKUP($A66,$A$6:$G$28,3,FALSE)/VLOOKUP($A66,$A$6:$G$28,7,FALSE)</f>
        <v>0.31499007279947056</v>
      </c>
      <c r="F66" s="61">
        <f>VLOOKUP($A66,$A$6:$G$28,4,FALSE)/VLOOKUP($A66,$A$6:$G$28,7,FALSE)</f>
        <v>9.9567930415051534E-2</v>
      </c>
      <c r="G66" s="61">
        <f>VLOOKUP($A66,$A$6:$G$28,5,FALSE)/VLOOKUP($A66,$A$6:$G$28,7,FALSE)</f>
        <v>1.2797579653966154E-2</v>
      </c>
      <c r="H66" s="61">
        <f>VLOOKUP($A66,$A$6:$G$28,6,FALSE)/VLOOKUP($A66,$A$6:$G$28,7,FALSE)</f>
        <v>8.9912073366739149E-4</v>
      </c>
      <c r="I66" s="62">
        <f t="shared" si="15"/>
        <v>1.3696700387633546E-2</v>
      </c>
      <c r="J66" s="70"/>
      <c r="K66" s="72" t="str">
        <f t="shared" si="18"/>
        <v/>
      </c>
      <c r="L66" s="235"/>
      <c r="M66" s="78" t="str">
        <f>IFERROR(IF(L66 = "Apply", 'Renewal rates'!$V$22+K66, IF(J66 = "", "", 'Renewal rates'!$V$22)), "")</f>
        <v/>
      </c>
      <c r="Q66" s="238"/>
      <c r="R66" s="238"/>
      <c r="S66" s="238"/>
      <c r="T66" s="238"/>
      <c r="U66" s="238"/>
      <c r="V66" s="238"/>
      <c r="W66" s="238"/>
      <c r="X66" s="238"/>
      <c r="Y66" s="238"/>
      <c r="Z66" s="238"/>
      <c r="AA66" s="238"/>
    </row>
    <row r="67" spans="1:27">
      <c r="A67" s="50" t="s">
        <v>52</v>
      </c>
      <c r="B67" s="50" t="s">
        <v>505</v>
      </c>
      <c r="C67" s="50" t="str">
        <f t="shared" si="14"/>
        <v>WSX24</v>
      </c>
      <c r="D67" s="57">
        <f>VLOOKUP($A67,$J$6:$Y$23,11,FALSE)</f>
        <v>0.49137623572782818</v>
      </c>
      <c r="E67" s="58">
        <f>VLOOKUP($A67,$J$6:$Y$23,12,FALSE)</f>
        <v>0.26348989952632157</v>
      </c>
      <c r="F67" s="58">
        <f>VLOOKUP($A67,$J$6:$Y$23,13,FALSE)</f>
        <v>0.20502893835626601</v>
      </c>
      <c r="G67" s="58">
        <f>VLOOKUP($A67,$J$6:$Y$23,14,FALSE)</f>
        <v>3.6982440174484557E-2</v>
      </c>
      <c r="H67" s="58">
        <f>VLOOKUP($A67,$J$6:$Y$23,15,FALSE)</f>
        <v>3.12248621509987E-3</v>
      </c>
      <c r="I67" s="59">
        <f t="shared" si="15"/>
        <v>4.0104926389584426E-2</v>
      </c>
      <c r="J67" s="63">
        <f>I67-I66</f>
        <v>2.640822600195088E-2</v>
      </c>
      <c r="K67" s="76">
        <f t="shared" si="18"/>
        <v>1.7605484001300587E-3</v>
      </c>
      <c r="L67" s="233" t="s">
        <v>506</v>
      </c>
      <c r="M67" s="79">
        <f>IFERROR(IF(L67 = "Apply", 'Renewal rates'!$V$22+K67, IF(J67 = "", "", 'Renewal rates'!$V$22)), "")</f>
        <v>3.0286503682779241E-3</v>
      </c>
      <c r="Q67" s="238"/>
      <c r="R67" s="238"/>
      <c r="S67" s="238"/>
      <c r="T67" s="238"/>
      <c r="U67" s="238"/>
      <c r="V67" s="238"/>
      <c r="W67" s="238"/>
      <c r="X67" s="238"/>
      <c r="Y67" s="238"/>
      <c r="Z67" s="238"/>
      <c r="AA67" s="238"/>
    </row>
    <row r="68" spans="1:27">
      <c r="A68" s="49" t="s">
        <v>53</v>
      </c>
      <c r="B68" s="49" t="s">
        <v>504</v>
      </c>
      <c r="C68" s="49" t="str">
        <f t="shared" si="14"/>
        <v>YKY09</v>
      </c>
      <c r="D68" s="60">
        <f>VLOOKUP($A68,$A$6:$G$28,2,FALSE)/VLOOKUP($A68,$A$6:$G$28,7,FALSE)</f>
        <v>0.36835640864275226</v>
      </c>
      <c r="E68" s="61">
        <f>VLOOKUP($A68,$A$6:$G$28,3,FALSE)/VLOOKUP($A68,$A$6:$G$28,7,FALSE)</f>
        <v>0.35044787077826728</v>
      </c>
      <c r="F68" s="61">
        <f>VLOOKUP($A68,$A$6:$G$28,4,FALSE)/VLOOKUP($A68,$A$6:$G$28,7,FALSE)</f>
        <v>0.21837773582266976</v>
      </c>
      <c r="G68" s="61">
        <f>VLOOKUP($A68,$A$6:$G$28,5,FALSE)/VLOOKUP($A68,$A$6:$G$28,7,FALSE)</f>
        <v>5.4683238934340253E-2</v>
      </c>
      <c r="H68" s="61">
        <f>VLOOKUP($A68,$A$6:$G$28,6,FALSE)/VLOOKUP($A68,$A$6:$G$28,7,FALSE)</f>
        <v>6.9956646388364451E-3</v>
      </c>
      <c r="I68" s="62">
        <f t="shared" si="15"/>
        <v>6.1678903573176701E-2</v>
      </c>
      <c r="J68" s="70"/>
      <c r="K68" s="72" t="str">
        <f t="shared" si="18"/>
        <v/>
      </c>
      <c r="L68" s="235"/>
      <c r="M68" s="78" t="str">
        <f>IFERROR(IF(L68 = "Apply", 'Renewal rates'!$V$22+K68, IF(J68 = "", "", 'Renewal rates'!$V$22)), "")</f>
        <v/>
      </c>
      <c r="Q68" s="238"/>
      <c r="R68" s="238"/>
      <c r="S68" s="238"/>
      <c r="T68" s="238"/>
      <c r="U68" s="238"/>
      <c r="V68" s="238"/>
      <c r="W68" s="238"/>
      <c r="X68" s="238"/>
      <c r="Y68" s="238"/>
      <c r="Z68" s="238"/>
      <c r="AA68" s="238"/>
    </row>
    <row r="69" spans="1:27">
      <c r="A69" s="2" t="s">
        <v>53</v>
      </c>
      <c r="B69" s="2" t="s">
        <v>505</v>
      </c>
      <c r="C69" s="2" t="str">
        <f t="shared" si="14"/>
        <v>YKY24</v>
      </c>
      <c r="D69" s="65">
        <f>VLOOKUP($A69,$J$6:$Y$23,11,FALSE)</f>
        <v>0.46223440101033908</v>
      </c>
      <c r="E69" s="66">
        <f>VLOOKUP($A69,$J$6:$Y$23,12,FALSE)</f>
        <v>0.28398878721466642</v>
      </c>
      <c r="F69" s="66">
        <f>VLOOKUP($A69,$J$6:$Y$23,13,FALSE)</f>
        <v>0.17076295063991223</v>
      </c>
      <c r="G69" s="66">
        <f>VLOOKUP($A69,$J$6:$Y$23,14,FALSE)</f>
        <v>6.5825300514900376E-2</v>
      </c>
      <c r="H69" s="66">
        <f>VLOOKUP($A69,$J$6:$Y$23,15,FALSE)</f>
        <v>1.7188560620181766E-2</v>
      </c>
      <c r="I69" s="67">
        <f t="shared" si="15"/>
        <v>8.3013861135082134E-2</v>
      </c>
      <c r="J69" s="71">
        <f>I69-I68</f>
        <v>2.1334957561905434E-2</v>
      </c>
      <c r="K69" s="77">
        <f t="shared" si="18"/>
        <v>1.4223305041270288E-3</v>
      </c>
      <c r="L69" s="236" t="s">
        <v>507</v>
      </c>
      <c r="M69" s="77">
        <f>IFERROR(IF(L69 = "Apply", 'Renewal rates'!$V$22+K69, IF(J69 = "", "", 'Renewal rates'!$V$22)), "")</f>
        <v>4.4509808724049532E-3</v>
      </c>
      <c r="Q69" s="238"/>
      <c r="R69" s="238"/>
      <c r="S69" s="238"/>
      <c r="T69" s="238"/>
      <c r="U69" s="238"/>
      <c r="V69" s="238"/>
      <c r="W69" s="238"/>
      <c r="X69" s="238"/>
      <c r="Y69" s="238"/>
      <c r="Z69" s="238"/>
      <c r="AA69" s="238"/>
    </row>
    <row r="72" spans="1:27">
      <c r="A72" s="46" t="s">
        <v>508</v>
      </c>
    </row>
    <row r="73" spans="1:27">
      <c r="A73" s="47" t="s">
        <v>509</v>
      </c>
      <c r="B73" s="12" t="s">
        <v>510</v>
      </c>
    </row>
    <row r="74" spans="1:27">
      <c r="A74" s="36" t="s">
        <v>84</v>
      </c>
      <c r="B74" s="1" t="s">
        <v>511</v>
      </c>
    </row>
    <row r="75" spans="1:27">
      <c r="A75" s="36" t="s">
        <v>83</v>
      </c>
      <c r="B75" s="1" t="s">
        <v>512</v>
      </c>
    </row>
    <row r="76" spans="1:27">
      <c r="A76" s="36" t="s">
        <v>85</v>
      </c>
      <c r="B76" s="1" t="s">
        <v>513</v>
      </c>
    </row>
    <row r="77" spans="1:27">
      <c r="A77" s="36" t="s">
        <v>81</v>
      </c>
      <c r="B77" s="1" t="s">
        <v>36</v>
      </c>
    </row>
  </sheetData>
  <conditionalFormatting sqref="J36:J69">
    <cfRule type="cellIs" dxfId="85" priority="3" operator="greaterThan">
      <formula>0</formula>
    </cfRule>
    <cfRule type="cellIs" dxfId="84" priority="4" operator="lessThan">
      <formula>0</formula>
    </cfRule>
  </conditionalFormatting>
  <conditionalFormatting sqref="M36:M69">
    <cfRule type="cellIs" dxfId="83" priority="1" operator="equal">
      <formula>0.003</formula>
    </cfRule>
  </conditionalFormatting>
  <pageMargins left="0.7" right="0.7" top="0.75" bottom="0.75" header="0.3" footer="0.3"/>
  <pageSetup paperSize="9" orientation="portrait" r:id="rId2"/>
  <ignoredErrors>
    <ignoredError sqref="Q7:Q23" formulaRange="1"/>
    <ignoredError sqref="D44:H53 D63:H67 D54:I54 D68:I68 D56:I56 D55:H55 D58:I58 D57:H57 D60:I60 D59:H59 D62:I62 D61:H61 D38:H41 D42:H42" formula="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4 0 3 6 c a 2 2 - 6 5 9 a - 4 4 b e - 8 e e a - f d d 7 1 6 c e 5 c e 1 "   x m l n s = " h t t p : / / s c h e m a s . m i c r o s o f t . c o m / D a t a M a s h u p " > A A A A A E 8 L A A B Q S w M E F A A C A A g A P H 1 0 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A 8 f X R Y 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P H 1 0 W J 4 H E q x Q C A A A N S Y A A B M A H A B G b 3 J t d W x h c y 9 T Z W N 0 a W 9 u M S 5 t I K I Y A C i g F A A A A A A A A A A A A A A A A A A A A A A A A A A A A O 1 Z e W / b R h b / P 0 C / A 8 E A h Y y V Z A 4 P 0 W 5 g F N T h 2 q h 1 V K T D B r Y g 0 N I 4 J k K R A k m l M Q J / 9 5 0 Z X j M c X t j t L l q g C Z B w 3 j y + 8 / f e P H E i u I v d w B f M 5 H / w 4 d 2 7 6 M U J 4 V 6 4 9 Y + n O B K u B A / G P 7 w T 0 B 8 z O I U 7 i C i / H 7 y h 5 T x 5 M O r Z 8 G k 4 C f w Y + n H U E 1 / i + B j 9 d H 7 + H J z 8 2 H F 9 C Z x f p 4 / n I Y z i Q Q T D r + 4 O R m h 1 D M L 4 / N l z 4 h h L O g e a J i k / h y f / d n 8 F N P n H 2 P m M n i T x 7 K y f a C c K J a Q 9 M e O 7 9 P Z A S J t 0 / 7 0 4 e X H 8 z 8 h y 6 / U I R c R I t o d W 6 P j R c x A e J o F 3 O v h 4 M + o l w v r f v 4 s 7 6 H l b S e w j f + O R O s T b b 3 0 h p Q N E j x F F i O G 3 u C D L 1 W S l m q x W k 7 V q 8 q i a r F e T L 6 r J l 9 V k I N X Q a / w E N Y 6 C G k 8 B 6 + r b W Z 6 a N T w E X 1 F q k h x E R X a S j Z T c K + W w n 6 e H E r U K g 0 M Q I 5 Y b 6 O x h S M l K d 1 J 6 j 9 f a F x 5 S H s P z z J 3 j O W F 0 F Y c n u D m r B B F o Q V G F M R h S k + B w d P x X w d i F g f 9 6 4 G J 1 G 8 M D s m k P q 3 e m M N q F 7 h G X Y z X D v e / G 1 T v E V s E 8 u T E v W 5 Y A G F R k F N H l Q U V G E V 0 Z A B 6 8 i K 4 O A I 9 e R N c G g I c v o o 8 G g M c v o u s D w A M Y 0 S 8 G g E c w o l 8 O Z K k j w k A 3 i A G M M T q o f B w p H f f + 0 f 1 K 0 r 2 M X 2 D I o z l l I L u F Q s 6 0 m l Q z w O B Q h I I g G n E c u k 8 n k l 3 x o + O d o E h H w H c O 1 T W G N w p 7 6 t z A 2 G U 0 f I J O K N J B N v Z 7 o s D f u 9 h m x 0 v f L X Q h j o T U 4 w 3 K b M Y Y h M 7 u R X C f B Q u l k R w g 6 I i I e g 9 5 B D a I e b W W 1 d 8 M 8 U x A V v q C f / I 8 A X o R F B 6 I l E 1 t 7 u X 6 3 N c 6 g G C Q x J O B 1 N F z d o g / 2 a G E E j q h 8 u l F 3 o n + u S P 2 s c H 9 l D d k X s q U y f X a Q I M 6 x q q + u D g 3 0 L 8 i p w q H t o M m u a M m B F t x U K m o 3 i e 6 1 O T W Z l q 2 C + M x B w w p e v 9 0 e I J h Q 9 k r 3 c p e z s u e r k D 6 k E k L p A x v Q u d z j r v n n R v F w y n 6 x / V 3 l S w P 7 6 k C R + g t 1 X v u K R F k n g 7 t Z Q e q 6 6 5 k f N F L T D R y U b X 3 U G o x G y R N N B Y 3 Y l J w I K m 2 O s b F z E w Z 5 W b G m + k 0 Y 1 R a R N p W y q k 2 M 5 r r R c q o t T B + n G W 6 W 6 w 0 P 2 a 6 9 R Z G e 5 w y X r Y x Z h I v m h m t e R Z J I D V z 2 m a e n J b s 2 O b v G W e L 4 5 9 + / Z R x t q T H u L Y z z p b 8 j N d 3 G W d L g s Z 2 7 t G o m X P 6 M d f e k q H V O g s 8 a I m 8 m W M Y t C V z l m m X W 3 J k m p O M M 8 0 R P g i K Y s Z F i I r z 6 V X Y J W 8 X R Y y 3 G g 4 p Q E + X S S 0 v Q z R 1 D o 1 o B x G z / / k N t T V y a H M b 9 S 1 T r W + Z v K n 9 k v 7 s k N 5 O D E k C 2 + W 9 R X 4 z 8 d T S A c Q M B q B + V O F s x R F I P B T E Z 9 d 3 / J 2 L 4 v N K B h U 8 V v G z t 5 j a v s N 9 t o j D e C E D S Z p b S 2 T k 3 a T L / E I c Y 1 + j m 2 m + s 7 k i o w q B A K E C a S P 8 K 3 3 U N u k M U 7 D X Z k a r y w x r B M p J T s h M J L / 0 k i e t I f J y 5 8 h r J P K c 9 5 T m J L T 4 b x J e o I + 0 z r G V E 1 n 5 O 2 x g M b k U V Q l p V b f j e R r Z Z G n O i + i S d 4 p k 5 5 L l S n N Y 1 f R S 5 k 0 h 9 C 7 2 G P N 1 a X 3 L G p h I q g X A q B 4 A h X 0 k / X i Z G J 4 Z Q q 9 M Z o W s Y p e 3 5 e D X A 0 b p D J h R C h g m k J m l G V b y 3 O i d k a L k Y v R q p O g V m d H Y z G h l p O g s U v Q 2 p O g s U v Q a p O h 1 S O H s Y Z G i c U j R W 5 C i N y J F Z 5 G i F + n X G K R o D F I 0 F i k a g x S 9 D S l q Z 6 T o B V L 0 E l L 0 E l J k M A K d k a J m / S l 9 p 9 y s R w C f 1 6 V e P Q L W 0 q J 7 N O K i f Q z w u V p z d J E 9 u k e n i v F n L O o M 4 k + u P p 7 X c I y B v S 4 W M r 1 Q k 8 V 4 r i i X t 9 T z g l 4 s s z e A B G T q W c l 4 Z E l e 2 9 O M f 5 Q / y 6 p E 0 S 9 v 6 c W C W S 2 z x U S R V F V L V x N b k i R K H k D G W 7 m a 7 B G o U k F F X l i 0 F x b l h U V p S B a p g o w L + W F R f l i U H x b t h 8 X 4 Q a + W j B s W 4 0 a 6 w q G T w M S w q Z Q w K z V d J b r Q Y i t L l L o S Y V m s k w T l s n C G M l E L 9 U J R x P p p 7 a J + W q s A Z z o a j P L R h c C 7 o W q 1 z l V 7 k Q 8 E R X l l y s p T V u e S 1 Y q R o m a + q i h Z S b p H U x Q z V t U 3 y s v m m Y o d q A p r 7 v G A U x u 1 U e e o X V J j V G m G E t 9 q P 9 E o D Z 9 o S o b 0 p e b v T p P t Z I p Q r W 5 X a 3 B p 2 y h X Z z + 8 c / 0 6 v d R 1 U A w P 1 M e S 9 G L o r 3 I v 9 G d e C / 1 z K / T 3 u B U i z S K P T h G Q I g a F 2 5 S n l H O U P 5 Q L l N V F q g p E Z B j 4 W 1 1 J / Y d X T h W 5 m p 6 O n r t z Y k h 5 S X 3 1 L F 2 u M L d d F d J q 7 l F M 6 M F d z H d R S n m f d a r q a y 7 b 2 K o U f s C j Z d r g 3 o v X 2 + U p x p f e 2 y N q Q 0 J v 9 d u Z W H n / P f u G M D C 0 g / D L U x B 8 6 V 2 7 y O S i 2 S 1 / e l x e 2 + a N s Z 4 9 T o I o F p w o g l F 0 Q L u P + L v I 4 9 h B J 9 U B 2 Y 1 O M Y g j 9 / k R y E P h / r h 3 c N 7 + c O M X A U 0 4 8 k B W B E R y H m 1 E D x + v 5 1 v U s I W v 6 h A M v 3 n R N / G s T 4 5 C l D C E l y y 2 r B N b 8 w X C u O i O 5 I L l q u S p 2 P / V 9 f d X I u E V N 2 8 P U 6 R 0 U 4 t u U A v v K t 3 / e 4 A n n 8 X w a I 2 m 7 C f X 5 z H O T t / s H j e K s 9 u T 7 X p m 3 M 2 X 0 7 F h z u z 1 F i e Q f N X K O J F c n h F N k B 0 5 b b s r 4 3 r V k X O x a p S 5 W i 8 b J c 3 v Z o t f r J s m F t u 6 U 0 b N D I 0 W T K x 2 C Y Z t T e 6 a O M b L p W n N G j O S s q w a 5 R i r m 5 Z 0 3 R n T u b k 0 b H v V E r k u T D j 8 q 7 Y Q l z + f 8 i d x m Y M / k 5 O i k R X O h I S u 0 v T / 9 k w m v z T o C q w Q a A V H Y R 3 8 Q X f 5 L + 6 x 6 k g E f 9 q N e 6 6 z s t L Z L 8 P / / + t 1 c m S t 4 T P 6 z e b v I D P / t 9 8 / l q / W + e t H l u P h f T k A 5 A q S D 0 r q N 3 1 4 l q z 5 8 G 9 Q S w E C L Q A U A A I A C A A 8 f X R Y R 2 a W J a Y A A A D 2 A A A A E g A A A A A A A A A A A A A A A A A A A A A A Q 2 9 u Z m l n L 1 B h Y 2 t h Z 2 U u e G 1 s U E s B A i 0 A F A A C A A g A P H 1 0 W F N y O C y b A A A A 4 Q A A A B M A A A A A A A A A A A A A A A A A 8 g A A A F t D b 2 5 0 Z W 5 0 X 1 R 5 c G V z X S 5 4 b W x Q S w E C L Q A U A A I A C A A 8 f X R Y n g c S r F A I A A A 1 J g A A E w A A A A A A A A A A A A A A A A D a A Q A A R m 9 y b X V s Y X M v U 2 V j d G l v b j E u b V B L B Q Y A A A A A A w A D A M I A A A B 3 C 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z q w A A A A A A A N G r 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J b n B 1 d H M 8 L 0 l 0 Z W 1 Q Y X R o P j w v S X R l b U x v Y 2 F 0 a W 9 u P j x T d G F i b G V F b n R y a W V z P j x F b n R y e S B U e X B l P S J O Y X Z p Z 2 F 0 a W 9 u U 3 R l c E 5 h b W U i I F Z h b H V l P S J z T m F 2 a W d h d G l v b i I g L z 4 8 R W 5 0 c n k g V H l w Z T 0 i R m l s b E V u Y W J s Z W Q i I F Z h b H V l P S J s M C I g L z 4 8 R W 5 0 c n k g V H l w Z T 0 i R m l s b G V k Q 2 9 t c G x l d G V S Z X N 1 b H R U b 1 d v c m t z a G V l d C I g V m F s d W U 9 I m w x I i A v P j x F b n R y e S B U e X B l P S J G a W x s V G 9 E Y X R h T W 9 k Z W x F b m F i b G V k I i B W Y W x 1 Z T 0 i b D A i I C 8 + P E V u d H J 5 I F R 5 c G U 9 I k l z U H J p d m F 0 Z S I g V m F s d W U 9 I m w w I i A v P j x F b n R y e S B U e X B l P S J R d W V y e U l E I i B W Y W x 1 Z T 0 i c z l m M m I y O T I 4 L W I y Y m U t N D Q 0 M C 0 4 N G M 3 L T U x M T I 3 O W M 2 M m E 4 M S I g L z 4 8 R W 5 0 c n k g V H l w Z T 0 i T m F t Z V V w Z G F 0 Z W R B Z n R l c k Z p b G w i I F Z h b H V l P S J s M C I g L z 4 8 R W 5 0 c n k g V H l w Z T 0 i Q n V m Z m V y T m V 4 d F J l Z n J l c 2 g i I F Z h b H V l P S J s M S I g L z 4 8 R W 5 0 c n k g V H l w Z T 0 i R m l s b E 9 i a m V j d F R 5 c G U i I F Z h b H V l P S J z Q 2 9 u b m V j d G l v b k 9 u b H k i I C 8 + P E V u d H J 5 I F R 5 c G U 9 I l J l c 3 V s d F R 5 c G U i I F Z h b H V l P S J z R X h j Z X B 0 a W 9 u I i A v P j x F b n R y e S B U e X B l P S J G a W x s T G F z d F V w Z G F 0 Z W Q i I F Z h b H V l P S J k M j A y N C 0 w M i 0 x M l Q x M T o z N z o y O C 4 1 M z g z N z A 0 W i I g L z 4 8 R W 5 0 c n k g V H l w Z T 0 i R m l s b E N v b H V t b l R 5 c G V z I i B W Y W x 1 Z T 0 i c 0 J n W U Z C U V V G Q l F V R k J R V U Z C U V V G Q l F V R k J R V U Z C U V V G Q l F V R k J R V U Z C U V V G Q l F V R k J R V U Z C U V V G Q l F V R k J R V U Z C U V V G Q l F V R k J R V U Z C U V V G Q l F V R k J R V U Z C U V V G Q l F V R k J R V U Z C U V V G Q l F V R k J R V U Z C U V V G Q l F V R k J R V U Z C U V V G Q l F V R k J R V U Z C U V V G Q l F V R k J R V U Z C U V V G Q l F V R k J R V U Z C U V V G Q l F V R k J R V U Z C U V V G Q l F V R k J R V U Z C U V V G Q l F V R k J R V U Z C U V V G Q l F V R k J R V U Z C U V V G Q l F V R k J R V U Z C U V V G Q l F V R k J R V U Z C U V V G Q l F V R k J R V U Z C U V V G Q l F V Q U F B Q U F B Q T 0 9 I i A v P j x F b n R y e S B U e X B l P S J G a W x s R X J y b 3 J D b 3 V u d C I g V m F s d W U 9 I m w w I i A v P j x F b n R y e S B U e X B l P S J G a W x s Q 2 9 s d W 1 u T m F t Z X M i I F Z h b H V l P S J z W y Z x d W 9 0 O 2 N v b X B h b n l j b 2 R l J n F 1 b 3 Q 7 L C Z x d W 9 0 O 2 Z p b m F u Y 2 l h b C B 5 Z W F y J n F 1 b 3 Q 7 L C Z x d W 9 0 O 0 N f Q 0 Q w M D E 0 X 1 B S M T l X V z E m c X V v d D s s J n F 1 b 3 Q 7 V 1 M w M T A w M V d S J n F 1 b 3 Q 7 L C Z x d W 9 0 O 1 d T M D E w M D J X U i Z x d W 9 0 O y w m c X V v d D t X U z A x M D A 0 V 1 I m c X V v d D s s J n F 1 b 3 Q 7 Q k 0 z M z l J V 1 I m c X V v d D s s J n F 1 b 3 Q 7 Q k 0 z M z l O S V d S J n F 1 b 3 Q 7 L C Z x d W 9 0 O 0 J N M z M 5 T 1 d S J n F 1 b 3 Q 7 L C Z x d W 9 0 O 1 d T M T A x M l d S J n F 1 b 3 Q 7 L C Z x d W 9 0 O 1 d T M T A x M 1 d S J n F 1 b 3 Q 7 L C Z x d W 9 0 O 0 J N M j A y U l d E J n F 1 b 3 Q 7 L C Z x d W 9 0 O 0 J N M z M 2 U l d E J n F 1 b 3 Q 7 L C Z x d W 9 0 O 0 J N M j Q w U l d E J n F 1 b 3 Q 7 L C Z x d W 9 0 O 0 J N M z M 5 S V J X R C Z x d W 9 0 O y w m c X V v d D t C T T M z O U 5 J U l d E J n F 1 b 3 Q 7 L C Z x d W 9 0 O 0 J N M z M 5 T 1 J X R C Z x d W 9 0 O y w m c X V v d D t C Q z M w N D Q 1 U l d E J n F 1 b 3 Q 7 L C Z x d W 9 0 O 0 N X M D A w M z Z S V 0 Q m c X V v d D s s J n F 1 b 3 Q 7 Q k 0 x M D J X V C Z x d W 9 0 O y w m c X V v d D t C T T M z N l d U J n F 1 b 3 Q 7 L C Z x d W 9 0 O 0 J N M T Q w V 1 Q m c X V v d D s s J n F 1 b 3 Q 7 Q k 0 z M z l J V 1 Q m c X V v d D s s J n F 1 b 3 Q 7 Q k 0 z M z l O S V d U J n F 1 b 3 Q 7 L C Z x d W 9 0 O 0 J N M z M 5 T 1 d U J n F 1 b 3 Q 7 L C Z x d W 9 0 O 0 J D M z A 0 N D V X V C Z x d W 9 0 O y w m c X V v d D t D V z A w M D M 2 V 1 Q m c X V v d D s s J n F 1 b 3 Q 7 Q k 0 y M D J U V 0 Q m c X V v d D s s J n F 1 b 3 Q 7 Q k 0 z M z Z U V 0 Q m c X V v d D s s J n F 1 b 3 Q 7 Q k 0 y N D B U V 0 Q m c X V v d D s s J n F 1 b 3 Q 7 Q k 0 z M z l J V F d E J n F 1 b 3 Q 7 L C Z x d W 9 0 O 0 J N M z M 5 T k l U V 0 Q m c X V v d D s s J n F 1 b 3 Q 7 Q k 0 z M z l P V 0 Q m c X V v d D s s J n F 1 b 3 Q 7 Q k M z M D Q 0 N V R X R C Z x d W 9 0 O y w m c X V v d D t D V z A w M D M 2 V F d E J n F 1 b 3 Q 7 L C Z x d W 9 0 O 1 d T M T A w M U N B V y Z x d W 9 0 O y w m c X V v d D t X U z A x M D A y Q 0 F X J n F 1 b 3 Q 7 L C Z x d W 9 0 O 1 d T M D E w M D R D Q V c m c X V v d D s s J n F 1 b 3 Q 7 Q k 0 z M z l J Q 0 F X X z I w J n F 1 b 3 Q 7 L C Z x d W 9 0 O 0 J N M z M 5 T k l D Q V d f M j A m c X V v d D s s J n F 1 b 3 Q 7 Q k 0 z M z l P Q 0 F X X z I w J n F 1 b 3 Q 7 L C Z x d W 9 0 O 1 d T M T A x M k N B V y Z x d W 9 0 O y w m c X V v d D t X U z E w M T N D Q V c m c X V v d D s s J n F 1 b 3 Q 7 Q V B Q M j h S U l 9 X M D A w M i Z x d W 9 0 O y w m c X V v d D t B U F A y O F J S X 1 c w M D A z J n F 1 b 3 Q 7 L C Z x d W 9 0 O 1 c z M D A y V 1 I m c X V v d D s s J n F 1 b 3 Q 7 V z M w M D J U V 0 Q m c X V v d D s s J n F 1 b 3 Q 7 V z M w M D J D Q V d f M j A m c X V v d D s s J n F 1 b 3 Q 7 V z M w M z Z X U i Z x d W 9 0 O y w m c X V v d D t X M z A z N l R X R C Z x d W 9 0 O y w m c X V v d D t X M z A z N k N B V 1 8 y M C Z x d W 9 0 O y w m c X V v d D t X M z A z M l d S J n F 1 b 3 Q 7 L C Z x d W 9 0 O 1 c z M D M y V F d E J n F 1 b 3 Q 7 L C Z x d W 9 0 O 1 c z M D M y V E 9 U J n F 1 b 3 Q 7 L C Z x d W 9 0 O 0 I w M j A x R F N D V E R X T k M m c X V v d D s s J n F 1 b 3 Q 7 Q j A y M D F E U 0 N U R F d O T y Z x d W 9 0 O y w m c X V v d D t C M D I w M U R T U l R E V 0 5 D J n F 1 b 3 Q 7 L C Z x d W 9 0 O 0 I w M j A x R F N S V E R X T k 8 m c X V v d D s s J n F 1 b 3 Q 7 Q j A y M D F E U 0 l U R F d O Q y Z x d W 9 0 O y w m c X V v d D t C M D I w M U R T S V R E V 0 5 P J n F 1 b 3 Q 7 L C Z x d W 9 0 O 0 I w M j A x R F N E V E R X T k M m c X V v d D s s J n F 1 b 3 Q 7 Q j A y M D F E U 0 R U R F d O T y Z x d W 9 0 O y w m c X V v d D t C M D I w M U R T T 1 R E V 0 5 D J n F 1 b 3 Q 7 L C Z x d W 9 0 O 0 I w M j A x R F N P V E R X T k 8 m c X V v d D s s J n F 1 b 3 Q 7 Q k 4 0 M D E y X 1 d S J n F 1 b 3 Q 7 L C Z x d W 9 0 O 0 J O N D A x M l 9 S V 0 Q m c X V v d D s s J n F 1 b 3 Q 7 Q k 4 0 M D E y X 1 d U J n F 1 b 3 Q 7 L C Z x d W 9 0 O 0 J O N D A x M l 9 U V 0 Q m c X V v d D s s J n F 1 b 3 Q 7 Q k 4 0 M D E y X 1 d X J n F 1 b 3 Q 7 L C Z x d W 9 0 O 0 I w M j A x R F N X Q U R K J n F 1 b 3 Q 7 L C Z x d W 9 0 O 0 J O N D g z M y Z x d W 9 0 O y w m c X V v d D t C T j Q 4 M z Q m c X V v d D s s J n F 1 b 3 Q 7 Q k 4 0 O D M 4 J n F 1 b 3 Q 7 L C Z x d W 9 0 O 0 J O N D g 0 O C Z x d W 9 0 O y w m c X V v d D t C T j Q 4 N D Y m c X V v d D s s J n F 1 b 3 Q 7 Q k 4 0 O D Q 3 J n F 1 b 3 Q 7 L C Z x d W 9 0 O 0 J O N D g z M C Z x d W 9 0 O y w m c X V v d D t C T j Q 4 N D k m c X V v d D s s J n F 1 b 3 Q 7 Q k 4 0 O D M 1 J n F 1 b 3 Q 7 L C Z x d W 9 0 O 0 J O N D g 1 M S Z x d W 9 0 O y w m c X V v d D t C T j Q 4 N T I m c X V v d D s s J n F 1 b 3 Q 7 Q k 4 0 O D U z J n F 1 b 3 Q 7 L C Z x d W 9 0 O 0 J O N D g 0 M y Z x d W 9 0 O y w m c X V v d D t C T j E w M T k w J n F 1 b 3 Q 7 L C Z x d W 9 0 O 0 J O M T A x O T E m c X V v d D s s J n F 1 b 3 Q 7 V z U w M D M m c X V v d D s s J n F 1 b 3 Q 7 V z U w M D N D Q V A m c X V v d D s s J n F 1 b 3 Q 7 Q k 4 x M D I 5 M C Z x d W 9 0 O y w m c X V v d D t C T j Q 4 N j E m c X V v d D s s J n F 1 b 3 Q 7 Q k 4 0 O D Y y J n F 1 b 3 Q 7 L C Z x d W 9 0 O 0 N Q T V c w M D k 4 J n F 1 b 3 Q 7 L C Z x d W 9 0 O 0 N Q T V c w M T A 0 J n F 1 b 3 Q 7 L C Z x d W 9 0 O 0 N Q T V c w M T E w J n F 1 b 3 Q 7 L C Z x d W 9 0 O 0 N Q T V c w M T E 2 J n F 1 b 3 Q 7 L C Z x d W 9 0 O 0 N Q T V c w M T Y 1 J n F 1 b 3 Q 7 L C Z x d W 9 0 O 0 N Q T V c w M T Y 2 J n F 1 b 3 Q 7 L C Z x d W 9 0 O 0 N Q T V c w M T Y 3 J n F 1 b 3 Q 7 L C Z x d W 9 0 O 0 N Q T V c w M D I 3 J n F 1 b 3 Q 7 L C Z x d W 9 0 O 0 N Q T V c w M D M z J n F 1 b 3 Q 7 L C Z x d W 9 0 O 0 N Q T V c w M D M 5 J n F 1 b 3 Q 7 L C Z x d W 9 0 O 0 N Q T V c w M D Q 1 J n F 1 b 3 Q 7 L C Z x d W 9 0 O 0 N Q T V c w M T g 1 J n F 1 b 3 Q 7 L C Z x d W 9 0 O 0 N Q T V c w M T k 3 J n F 1 b 3 Q 7 L C Z x d W 9 0 O 0 N Q T V c w M T k 4 J n F 1 b 3 Q 7 L C Z x d W 9 0 O 0 N Q T V c w M D F B J n F 1 b 3 Q 7 L C Z x d W 9 0 O 0 N Q T V c w M D E 1 J n F 1 b 3 Q 7 L C Z x d W 9 0 O 0 J O M T A 0 O T E m c X V v d D s s J n F 1 b 3 Q 7 Q k 4 x M D Q 5 M C Z x d W 9 0 O y w m c X V v d D t C T j E w N T k w J n F 1 b 3 Q 7 L C Z x d W 9 0 O 0 J O M T A 1 O T c m c X V v d D s s J n F 1 b 3 Q 7 Q k 4 x M D U 5 O C Z x d W 9 0 O y w m c X V v d D t C T j E w N T k 5 J n F 1 b 3 Q 7 L C Z x d W 9 0 O 0 N Q T V c w M D I x J n F 1 b 3 Q 7 L C Z x d W 9 0 O 0 J O M T A 3 O T E m c X V v d D s s J n F 1 b 3 Q 7 Q k 4 x M D c 5 M C Z x d W 9 0 O y w m c X V v d D t C T j E w O D k w J n F 1 b 3 Q 7 L C Z x d W 9 0 O 0 J O M T A 4 O T c m c X V v d D s s J n F 1 b 3 Q 7 Q k 4 x M D g 5 O C Z x d W 9 0 O y w m c X V v d D t C T j E w O D k 5 J n F 1 b 3 Q 7 L C Z x d W 9 0 O 0 J O M T A 5 M D I m c X V v d D s s J n F 1 b 3 Q 7 V 1 R X M D A x T l I m c X V v d D s s J n F 1 b 3 Q 7 V 1 R X M D A y T l I m c X V v d D s s J n F 1 b 3 Q 7 V 1 R X M D A z T l I m c X V v d D s s J n F 1 b 3 Q 7 V 1 R X M D A 0 T l I m c X V v d D s s J n F 1 b 3 Q 7 V 1 R X M D A 1 T l I m c X V v d D s s J n F 1 b 3 Q 7 V 1 R X M D A 2 T l I m c X V v d D s s J n F 1 b 3 Q 7 V 1 R X M D A 3 T l I m c X V v d D s s J n F 1 b 3 Q 7 V 1 R X M D A 4 T l I m c X V v d D s s J n F 1 b 3 Q 7 V 1 R X M D A x U E 4 m c X V v d D s s J n F 1 b 3 Q 7 V 1 R X M D A y U E 4 m c X V v d D s s J n F 1 b 3 Q 7 V 1 R X M D A z U E 4 m c X V v d D s s J n F 1 b 3 Q 7 V 1 R X M D A 0 U E 4 m c X V v d D s s J n F 1 b 3 Q 7 V 1 R X M D A 1 U E 4 m c X V v d D s s J n F 1 b 3 Q 7 V 1 R X M D A 2 U E 4 m c X V v d D s s J n F 1 b 3 Q 7 V 1 R X M D A 3 U E 4 m c X V v d D s s J n F 1 b 3 Q 7 V 1 R X M D A 4 U E 4 m c X V v d D s s J n F 1 b 3 Q 7 Q k 4 x M T A w J n F 1 b 3 Q 7 L C Z x d W 9 0 O 0 J O M T I w N C Z x d W 9 0 O y w m c X V v d D t C T j E y M D A m c X V v d D s s J n F 1 b 3 Q 7 Q k 4 x M j A 4 J n F 1 b 3 Q 7 L C Z x d W 9 0 O 0 J O M T E 1 O T A m c X V v d D s s J n F 1 b 3 Q 7 Q k 4 x M T M w M E N B U C Z x d W 9 0 O y w m c X V v d D t C T j E w O T A w Q 0 F Q J n F 1 b 3 Q 7 L C Z x d W 9 0 O 0 J O M T E w M z B D Q V A m c X V v d D s s J n F 1 b 3 Q 7 Q k 4 x M T Y w M C Z x d W 9 0 O y w m c X V v d D t C T j E x N j E w J n F 1 b 3 Q 7 L C Z x d W 9 0 O 0 J O M T E 2 M j A m c X V v d D s s J n F 1 b 3 Q 7 Q k 4 x M T M 5 M C Z x d W 9 0 O y w m c X V v d D t C T j E w O T k w J n F 1 b 3 Q 7 L C Z x d W 9 0 O 0 J O M T E w O T A m c X V v d D s s J n F 1 b 3 Q 7 Q k I x M z A w M C Z x d W 9 0 O y w m c X V v d D t C Q j E z M D E w J n F 1 b 3 Q 7 L C Z x d W 9 0 O 0 J C M T M w M j A m c X V v d D s s J n F 1 b 3 Q 7 Q k I x M z A z M C Z x d W 9 0 O y w m c X V v d D t C Q j E z M D Q w J n F 1 b 3 Q 7 L C Z x d W 9 0 O 0 J C M T M w N T A m c X V v d D s s J n F 1 b 3 Q 7 Q k I x M z A 2 M C Z x d W 9 0 O y w m c X V v d D t C Q j E z M D c w J n F 1 b 3 Q 7 L C Z x d W 9 0 O 0 J O N D g 3 M C Z x d W 9 0 O y w m c X V v d D t C T j I y M T A m c X V v d D s s J n F 1 b 3 Q 7 Q k 4 y M j A w J n F 1 b 3 Q 7 L C Z x d W 9 0 O 0 J O M j I y M S Z x d W 9 0 O y w m c X V v d D t C T j I 1 O T A m c X V v d D s s J n F 1 b 3 Q 7 U 1 l T M D M m c X V v d D s s J n F 1 b 3 Q 7 Q k 0 5 M D J F Q 1 d X J n F 1 b 3 Q 7 L C Z x d W 9 0 O 0 J N O T A y R U N O U C Z x d W 9 0 O y w m c X V v d D t C T T E w M k V D V 1 I m c X V v d D s s J n F 1 b 3 Q 7 Q k 4 x N T A w J n F 1 b 3 Q 7 L C Z x d W 9 0 O 0 J O M T U w M S Z x d W 9 0 O y w m c X V v d D t C T j Q 4 M z B T J n F 1 b 3 Q 7 L C Z x d W 9 0 O 0 J O M T A w M F 9 D Q T I y X 0 E m c X V v d D s s J n F 1 b 3 Q 7 Q k 4 x M D A w U F J N X 0 N B M j J f Q S Z x d W 9 0 O y w m c X V v d D t C T j I z M D B f Q 0 E y M l 9 B J n F 1 b 3 Q 7 L C Z x d W 9 0 O 0 J O M j M w N V 9 D Q T I y X 0 E m c X V v d D s s J n F 1 b 3 Q 7 Q k 4 y M z E w X 0 N B M j J f Q S Z x d W 9 0 O y w m c X V v d D t C T j I z M T V f Q 0 E y M l 9 B J n F 1 b 3 Q 7 L C Z x d W 9 0 O 0 J O M j M y N V 9 D Q T I y X 0 E m c X V v d D s s J n F 1 b 3 Q 7 Q k 4 y M z I 3 X 0 N B M j J f Q S Z x d W 9 0 O y w m c X V v d D t C T j I z N D V B X 0 N B M j J f Q S Z x d W 9 0 O y w m c X V v d D t C T j Q w M D A m c X V v d D s s J n F 1 b 3 Q 7 Q k 4 0 M D A x J n F 1 b 3 Q 7 L C Z x d W 9 0 O 0 J O N D A w M i Z x d W 9 0 O y w m c X V v d D t C T j Q w M T M m c X V v d D s s J n F 1 b 3 Q 7 Q k 4 0 M D E 0 J n F 1 b 3 Q 7 L C Z x d W 9 0 O 0 J O N D U w M C Z x d W 9 0 O y w m c X V v d D t C T j Q 1 M D E m c X V v d D s s J n F 1 b 3 Q 7 Q k 4 0 N T A 5 J n F 1 b 3 Q 7 L C Z x d W 9 0 O 0 J O N D U x M C Z x d W 9 0 O y w m c X V v d D t C T j I x M D B N V E 8 m c X V v d D s s J n F 1 b 3 Q 7 Q k 4 x N z Y 1 J n F 1 b 3 Q 7 L C Z x d W 9 0 O 0 J O M T c 2 N y Z x d W 9 0 O y w m c X V v d D t C T j I x N j E m c X V v d D s s J n F 1 b 3 Q 7 Q k 4 y M T A w J n F 1 b 3 Q 7 X S I g L z 4 8 R W 5 0 c n k g V H l w Z T 0 i R m l s b E V y c m 9 y Q 2 9 k Z S I g V m F s d W U 9 I n N V b m t u b 3 d u I i A v P j x F b n R y e S B U e X B l P S J G a W x s U 3 R h d H V z I i B W Y W x 1 Z T 0 i c 1 d h a X R p b m d G b 3 J F e G N l b F J l Z n J l c 2 g i I C 8 + P E V u d H J 5 I F R 5 c G U 9 I k Z p b G x D b 3 V u d C I g V m F s d W U 9 I m w w I i A v P j x F b n R y e S B U e X B l P S J B Z G R l Z F R v R G F 0 Y U 1 v Z G V s I i B W Y W x 1 Z T 0 i b D A i I C 8 + P E V u d H J 5 I F R 5 c G U 9 I l J l b G F 0 a W 9 u c 2 h p c E l u Z m 9 D b 2 5 0 Y W l u Z X I i I F Z h b H V l P S J z e y Z x d W 9 0 O 2 N v b H V t b k N v d W 5 0 J n F 1 b 3 Q 7 O j E 5 M y w m c X V v d D t r Z X l D b 2 x 1 b W 5 O Y W 1 l c y Z x d W 9 0 O z p b X S w m c X V v d D t x d W V y e V J l b G F 0 a W 9 u c 2 h p c H M m c X V v d D s 6 W 1 0 s J n F 1 b 3 Q 7 Y 2 9 s d W 1 u S W R l b n R p d G l l c y Z x d W 9 0 O z p b J n F 1 b 3 Q 7 U 2 V j d G l v b j E v S W 5 w d X R z L 0 F 1 d G 9 S Z W 1 v d m V k Q 2 9 s d W 1 u c z E u e 2 N v b X B h b n l j b 2 R l L D B 9 J n F 1 b 3 Q 7 L C Z x d W 9 0 O 1 N l Y 3 R p b 2 4 x L 0 l u c H V 0 c y 9 B d X R v U m V t b 3 Z l Z E N v b H V t b n M x L n t m a W 5 h b m N p Y W w g e W V h c i w x f S Z x d W 9 0 O y w m c X V v d D t T Z W N 0 a W 9 u M S 9 J b n B 1 d H M v Q X V 0 b 1 J l b W 9 2 Z W R D b 2 x 1 b W 5 z M S 5 7 Q 1 9 D R D A w M T R f U F I x O V d X M S w y f S Z x d W 9 0 O y w m c X V v d D t T Z W N 0 a W 9 u M S 9 J b n B 1 d H M v Q X V 0 b 1 J l b W 9 2 Z W R D b 2 x 1 b W 5 z M S 5 7 V 1 M w M T A w M V d S L D N 9 J n F 1 b 3 Q 7 L C Z x d W 9 0 O 1 N l Y 3 R p b 2 4 x L 0 l u c H V 0 c y 9 B d X R v U m V t b 3 Z l Z E N v b H V t b n M x L n t X U z A x M D A y V 1 I s N H 0 m c X V v d D s s J n F 1 b 3 Q 7 U 2 V j d G l v b j E v S W 5 w d X R z L 0 F 1 d G 9 S Z W 1 v d m V k Q 2 9 s d W 1 u c z E u e 1 d T M D E w M D R X U i w 1 f S Z x d W 9 0 O y w m c X V v d D t T Z W N 0 a W 9 u M S 9 J b n B 1 d H M v Q X V 0 b 1 J l b W 9 2 Z W R D b 2 x 1 b W 5 z M S 5 7 Q k 0 z M z l J V 1 I s N n 0 m c X V v d D s s J n F 1 b 3 Q 7 U 2 V j d G l v b j E v S W 5 w d X R z L 0 F 1 d G 9 S Z W 1 v d m V k Q 2 9 s d W 1 u c z E u e 0 J N M z M 5 T k l X U i w 3 f S Z x d W 9 0 O y w m c X V v d D t T Z W N 0 a W 9 u M S 9 J b n B 1 d H M v Q X V 0 b 1 J l b W 9 2 Z W R D b 2 x 1 b W 5 z M S 5 7 Q k 0 z M z l P V 1 I s O H 0 m c X V v d D s s J n F 1 b 3 Q 7 U 2 V j d G l v b j E v S W 5 w d X R z L 0 F 1 d G 9 S Z W 1 v d m V k Q 2 9 s d W 1 u c z E u e 1 d T M T A x M l d S L D l 9 J n F 1 b 3 Q 7 L C Z x d W 9 0 O 1 N l Y 3 R p b 2 4 x L 0 l u c H V 0 c y 9 B d X R v U m V t b 3 Z l Z E N v b H V t b n M x L n t X U z E w M T N X U i w x M H 0 m c X V v d D s s J n F 1 b 3 Q 7 U 2 V j d G l v b j E v S W 5 w d X R z L 0 F 1 d G 9 S Z W 1 v d m V k Q 2 9 s d W 1 u c z E u e 0 J N M j A y U l d E L D E x f S Z x d W 9 0 O y w m c X V v d D t T Z W N 0 a W 9 u M S 9 J b n B 1 d H M v Q X V 0 b 1 J l b W 9 2 Z W R D b 2 x 1 b W 5 z M S 5 7 Q k 0 z M z Z S V 0 Q s M T J 9 J n F 1 b 3 Q 7 L C Z x d W 9 0 O 1 N l Y 3 R p b 2 4 x L 0 l u c H V 0 c y 9 B d X R v U m V t b 3 Z l Z E N v b H V t b n M x L n t C T T I 0 M F J X R C w x M 3 0 m c X V v d D s s J n F 1 b 3 Q 7 U 2 V j d G l v b j E v S W 5 w d X R z L 0 F 1 d G 9 S Z W 1 v d m V k Q 2 9 s d W 1 u c z E u e 0 J N M z M 5 S V J X R C w x N H 0 m c X V v d D s s J n F 1 b 3 Q 7 U 2 V j d G l v b j E v S W 5 w d X R z L 0 F 1 d G 9 S Z W 1 v d m V k Q 2 9 s d W 1 u c z E u e 0 J N M z M 5 T k l S V 0 Q s M T V 9 J n F 1 b 3 Q 7 L C Z x d W 9 0 O 1 N l Y 3 R p b 2 4 x L 0 l u c H V 0 c y 9 B d X R v U m V t b 3 Z l Z E N v b H V t b n M x L n t C T T M z O U 9 S V 0 Q s M T Z 9 J n F 1 b 3 Q 7 L C Z x d W 9 0 O 1 N l Y 3 R p b 2 4 x L 0 l u c H V 0 c y 9 B d X R v U m V t b 3 Z l Z E N v b H V t b n M x L n t C Q z M w N D Q 1 U l d E L D E 3 f S Z x d W 9 0 O y w m c X V v d D t T Z W N 0 a W 9 u M S 9 J b n B 1 d H M v Q X V 0 b 1 J l b W 9 2 Z W R D b 2 x 1 b W 5 z M S 5 7 Q 1 c w M D A z N l J X R C w x O H 0 m c X V v d D s s J n F 1 b 3 Q 7 U 2 V j d G l v b j E v S W 5 w d X R z L 0 F 1 d G 9 S Z W 1 v d m V k Q 2 9 s d W 1 u c z E u e 0 J N M T A y V 1 Q s M T l 9 J n F 1 b 3 Q 7 L C Z x d W 9 0 O 1 N l Y 3 R p b 2 4 x L 0 l u c H V 0 c y 9 B d X R v U m V t b 3 Z l Z E N v b H V t b n M x L n t C T T M z N l d U L D I w f S Z x d W 9 0 O y w m c X V v d D t T Z W N 0 a W 9 u M S 9 J b n B 1 d H M v Q X V 0 b 1 J l b W 9 2 Z W R D b 2 x 1 b W 5 z M S 5 7 Q k 0 x N D B X V C w y M X 0 m c X V v d D s s J n F 1 b 3 Q 7 U 2 V j d G l v b j E v S W 5 w d X R z L 0 F 1 d G 9 S Z W 1 v d m V k Q 2 9 s d W 1 u c z E u e 0 J N M z M 5 S V d U L D I y f S Z x d W 9 0 O y w m c X V v d D t T Z W N 0 a W 9 u M S 9 J b n B 1 d H M v Q X V 0 b 1 J l b W 9 2 Z W R D b 2 x 1 b W 5 z M S 5 7 Q k 0 z M z l O S V d U L D I z f S Z x d W 9 0 O y w m c X V v d D t T Z W N 0 a W 9 u M S 9 J b n B 1 d H M v Q X V 0 b 1 J l b W 9 2 Z W R D b 2 x 1 b W 5 z M S 5 7 Q k 0 z M z l P V 1 Q s M j R 9 J n F 1 b 3 Q 7 L C Z x d W 9 0 O 1 N l Y 3 R p b 2 4 x L 0 l u c H V 0 c y 9 B d X R v U m V t b 3 Z l Z E N v b H V t b n M x L n t C Q z M w N D Q 1 V 1 Q s M j V 9 J n F 1 b 3 Q 7 L C Z x d W 9 0 O 1 N l Y 3 R p b 2 4 x L 0 l u c H V 0 c y 9 B d X R v U m V t b 3 Z l Z E N v b H V t b n M x L n t D V z A w M D M 2 V 1 Q s M j Z 9 J n F 1 b 3 Q 7 L C Z x d W 9 0 O 1 N l Y 3 R p b 2 4 x L 0 l u c H V 0 c y 9 B d X R v U m V t b 3 Z l Z E N v b H V t b n M x L n t C T T I w M l R X R C w y N 3 0 m c X V v d D s s J n F 1 b 3 Q 7 U 2 V j d G l v b j E v S W 5 w d X R z L 0 F 1 d G 9 S Z W 1 v d m V k Q 2 9 s d W 1 u c z E u e 0 J N M z M 2 V F d E L D I 4 f S Z x d W 9 0 O y w m c X V v d D t T Z W N 0 a W 9 u M S 9 J b n B 1 d H M v Q X V 0 b 1 J l b W 9 2 Z W R D b 2 x 1 b W 5 z M S 5 7 Q k 0 y N D B U V 0 Q s M j l 9 J n F 1 b 3 Q 7 L C Z x d W 9 0 O 1 N l Y 3 R p b 2 4 x L 0 l u c H V 0 c y 9 B d X R v U m V t b 3 Z l Z E N v b H V t b n M x L n t C T T M z O U l U V 0 Q s M z B 9 J n F 1 b 3 Q 7 L C Z x d W 9 0 O 1 N l Y 3 R p b 2 4 x L 0 l u c H V 0 c y 9 B d X R v U m V t b 3 Z l Z E N v b H V t b n M x L n t C T T M z O U 5 J V F d E L D M x f S Z x d W 9 0 O y w m c X V v d D t T Z W N 0 a W 9 u M S 9 J b n B 1 d H M v Q X V 0 b 1 J l b W 9 2 Z W R D b 2 x 1 b W 5 z M S 5 7 Q k 0 z M z l P V 0 Q s M z J 9 J n F 1 b 3 Q 7 L C Z x d W 9 0 O 1 N l Y 3 R p b 2 4 x L 0 l u c H V 0 c y 9 B d X R v U m V t b 3 Z l Z E N v b H V t b n M x L n t C Q z M w N D Q 1 V F d E L D M z f S Z x d W 9 0 O y w m c X V v d D t T Z W N 0 a W 9 u M S 9 J b n B 1 d H M v Q X V 0 b 1 J l b W 9 2 Z W R D b 2 x 1 b W 5 z M S 5 7 Q 1 c w M D A z N l R X R C w z N H 0 m c X V v d D s s J n F 1 b 3 Q 7 U 2 V j d G l v b j E v S W 5 w d X R z L 0 F 1 d G 9 S Z W 1 v d m V k Q 2 9 s d W 1 u c z E u e 1 d T M T A w M U N B V y w z N X 0 m c X V v d D s s J n F 1 b 3 Q 7 U 2 V j d G l v b j E v S W 5 w d X R z L 0 F 1 d G 9 S Z W 1 v d m V k Q 2 9 s d W 1 u c z E u e 1 d T M D E w M D J D Q V c s M z Z 9 J n F 1 b 3 Q 7 L C Z x d W 9 0 O 1 N l Y 3 R p b 2 4 x L 0 l u c H V 0 c y 9 B d X R v U m V t b 3 Z l Z E N v b H V t b n M x L n t X U z A x M D A 0 Q 0 F X L D M 3 f S Z x d W 9 0 O y w m c X V v d D t T Z W N 0 a W 9 u M S 9 J b n B 1 d H M v Q X V 0 b 1 J l b W 9 2 Z W R D b 2 x 1 b W 5 z M S 5 7 Q k 0 z M z l J Q 0 F X X z I w L D M 4 f S Z x d W 9 0 O y w m c X V v d D t T Z W N 0 a W 9 u M S 9 J b n B 1 d H M v Q X V 0 b 1 J l b W 9 2 Z W R D b 2 x 1 b W 5 z M S 5 7 Q k 0 z M z l O S U N B V 1 8 y M C w z O X 0 m c X V v d D s s J n F 1 b 3 Q 7 U 2 V j d G l v b j E v S W 5 w d X R z L 0 F 1 d G 9 S Z W 1 v d m V k Q 2 9 s d W 1 u c z E u e 0 J N M z M 5 T 0 N B V 1 8 y M C w 0 M H 0 m c X V v d D s s J n F 1 b 3 Q 7 U 2 V j d G l v b j E v S W 5 w d X R z L 0 F 1 d G 9 S Z W 1 v d m V k Q 2 9 s d W 1 u c z E u e 1 d T M T A x M k N B V y w 0 M X 0 m c X V v d D s s J n F 1 b 3 Q 7 U 2 V j d G l v b j E v S W 5 w d X R z L 0 F 1 d G 9 S Z W 1 v d m V k Q 2 9 s d W 1 u c z E u e 1 d T M T A x M 0 N B V y w 0 M n 0 m c X V v d D s s J n F 1 b 3 Q 7 U 2 V j d G l v b j E v S W 5 w d X R z L 0 F 1 d G 9 S Z W 1 v d m V k Q 2 9 s d W 1 u c z E u e 0 F Q U D I 4 U l J f V z A w M D I s N D N 9 J n F 1 b 3 Q 7 L C Z x d W 9 0 O 1 N l Y 3 R p b 2 4 x L 0 l u c H V 0 c y 9 B d X R v U m V t b 3 Z l Z E N v b H V t b n M x L n t B U F A y O F J S X 1 c w M D A z L D Q 0 f S Z x d W 9 0 O y w m c X V v d D t T Z W N 0 a W 9 u M S 9 J b n B 1 d H M v Q X V 0 b 1 J l b W 9 2 Z W R D b 2 x 1 b W 5 z M S 5 7 V z M w M D J X U i w 0 N X 0 m c X V v d D s s J n F 1 b 3 Q 7 U 2 V j d G l v b j E v S W 5 w d X R z L 0 F 1 d G 9 S Z W 1 v d m V k Q 2 9 s d W 1 u c z E u e 1 c z M D A y V F d E L D Q 2 f S Z x d W 9 0 O y w m c X V v d D t T Z W N 0 a W 9 u M S 9 J b n B 1 d H M v Q X V 0 b 1 J l b W 9 2 Z W R D b 2 x 1 b W 5 z M S 5 7 V z M w M D J D Q V d f M j A s N D d 9 J n F 1 b 3 Q 7 L C Z x d W 9 0 O 1 N l Y 3 R p b 2 4 x L 0 l u c H V 0 c y 9 B d X R v U m V t b 3 Z l Z E N v b H V t b n M x L n t X M z A z N l d S L D Q 4 f S Z x d W 9 0 O y w m c X V v d D t T Z W N 0 a W 9 u M S 9 J b n B 1 d H M v Q X V 0 b 1 J l b W 9 2 Z W R D b 2 x 1 b W 5 z M S 5 7 V z M w M z Z U V 0 Q s N D l 9 J n F 1 b 3 Q 7 L C Z x d W 9 0 O 1 N l Y 3 R p b 2 4 x L 0 l u c H V 0 c y 9 B d X R v U m V t b 3 Z l Z E N v b H V t b n M x L n t X M z A z N k N B V 1 8 y M C w 1 M H 0 m c X V v d D s s J n F 1 b 3 Q 7 U 2 V j d G l v b j E v S W 5 w d X R z L 0 F 1 d G 9 S Z W 1 v d m V k Q 2 9 s d W 1 u c z E u e 1 c z M D M y V 1 I s N T F 9 J n F 1 b 3 Q 7 L C Z x d W 9 0 O 1 N l Y 3 R p b 2 4 x L 0 l u c H V 0 c y 9 B d X R v U m V t b 3 Z l Z E N v b H V t b n M x L n t X M z A z M l R X R C w 1 M n 0 m c X V v d D s s J n F 1 b 3 Q 7 U 2 V j d G l v b j E v S W 5 w d X R z L 0 F 1 d G 9 S Z W 1 v d m V k Q 2 9 s d W 1 u c z E u e 1 c z M D M y V E 9 U L D U z f S Z x d W 9 0 O y w m c X V v d D t T Z W N 0 a W 9 u M S 9 J b n B 1 d H M v Q X V 0 b 1 J l b W 9 2 Z W R D b 2 x 1 b W 5 z M S 5 7 Q j A y M D F E U 0 N U R F d O Q y w 1 N H 0 m c X V v d D s s J n F 1 b 3 Q 7 U 2 V j d G l v b j E v S W 5 w d X R z L 0 F 1 d G 9 S Z W 1 v d m V k Q 2 9 s d W 1 u c z E u e 0 I w M j A x R F N D V E R X T k 8 s N T V 9 J n F 1 b 3 Q 7 L C Z x d W 9 0 O 1 N l Y 3 R p b 2 4 x L 0 l u c H V 0 c y 9 B d X R v U m V t b 3 Z l Z E N v b H V t b n M x L n t C M D I w M U R T U l R E V 0 5 D L D U 2 f S Z x d W 9 0 O y w m c X V v d D t T Z W N 0 a W 9 u M S 9 J b n B 1 d H M v Q X V 0 b 1 J l b W 9 2 Z W R D b 2 x 1 b W 5 z M S 5 7 Q j A y M D F E U 1 J U R F d O T y w 1 N 3 0 m c X V v d D s s J n F 1 b 3 Q 7 U 2 V j d G l v b j E v S W 5 w d X R z L 0 F 1 d G 9 S Z W 1 v d m V k Q 2 9 s d W 1 u c z E u e 0 I w M j A x R F N J V E R X T k M s N T h 9 J n F 1 b 3 Q 7 L C Z x d W 9 0 O 1 N l Y 3 R p b 2 4 x L 0 l u c H V 0 c y 9 B d X R v U m V t b 3 Z l Z E N v b H V t b n M x L n t C M D I w M U R T S V R E V 0 5 P L D U 5 f S Z x d W 9 0 O y w m c X V v d D t T Z W N 0 a W 9 u M S 9 J b n B 1 d H M v Q X V 0 b 1 J l b W 9 2 Z W R D b 2 x 1 b W 5 z M S 5 7 Q j A y M D F E U 0 R U R F d O Q y w 2 M H 0 m c X V v d D s s J n F 1 b 3 Q 7 U 2 V j d G l v b j E v S W 5 w d X R z L 0 F 1 d G 9 S Z W 1 v d m V k Q 2 9 s d W 1 u c z E u e 0 I w M j A x R F N E V E R X T k 8 s N j F 9 J n F 1 b 3 Q 7 L C Z x d W 9 0 O 1 N l Y 3 R p b 2 4 x L 0 l u c H V 0 c y 9 B d X R v U m V t b 3 Z l Z E N v b H V t b n M x L n t C M D I w M U R T T 1 R E V 0 5 D L D Y y f S Z x d W 9 0 O y w m c X V v d D t T Z W N 0 a W 9 u M S 9 J b n B 1 d H M v Q X V 0 b 1 J l b W 9 2 Z W R D b 2 x 1 b W 5 z M S 5 7 Q j A y M D F E U 0 9 U R F d O T y w 2 M 3 0 m c X V v d D s s J n F 1 b 3 Q 7 U 2 V j d G l v b j E v S W 5 w d X R z L 0 F 1 d G 9 S Z W 1 v d m V k Q 2 9 s d W 1 u c z E u e 0 J O N D A x M l 9 X U i w 2 N H 0 m c X V v d D s s J n F 1 b 3 Q 7 U 2 V j d G l v b j E v S W 5 w d X R z L 0 F 1 d G 9 S Z W 1 v d m V k Q 2 9 s d W 1 u c z E u e 0 J O N D A x M l 9 S V 0 Q s N j V 9 J n F 1 b 3 Q 7 L C Z x d W 9 0 O 1 N l Y 3 R p b 2 4 x L 0 l u c H V 0 c y 9 B d X R v U m V t b 3 Z l Z E N v b H V t b n M x L n t C T j Q w M T J f V 1 Q s N j Z 9 J n F 1 b 3 Q 7 L C Z x d W 9 0 O 1 N l Y 3 R p b 2 4 x L 0 l u c H V 0 c y 9 B d X R v U m V t b 3 Z l Z E N v b H V t b n M x L n t C T j Q w M T J f V F d E L D Y 3 f S Z x d W 9 0 O y w m c X V v d D t T Z W N 0 a W 9 u M S 9 J b n B 1 d H M v Q X V 0 b 1 J l b W 9 2 Z W R D b 2 x 1 b W 5 z M S 5 7 Q k 4 0 M D E y X 1 d X L D Y 4 f S Z x d W 9 0 O y w m c X V v d D t T Z W N 0 a W 9 u M S 9 J b n B 1 d H M v Q X V 0 b 1 J l b W 9 2 Z W R D b 2 x 1 b W 5 z M S 5 7 Q j A y M D F E U 1 d B R E o s N j l 9 J n F 1 b 3 Q 7 L C Z x d W 9 0 O 1 N l Y 3 R p b 2 4 x L 0 l u c H V 0 c y 9 B d X R v U m V t b 3 Z l Z E N v b H V t b n M x L n t C T j Q 4 M z M s N z B 9 J n F 1 b 3 Q 7 L C Z x d W 9 0 O 1 N l Y 3 R p b 2 4 x L 0 l u c H V 0 c y 9 B d X R v U m V t b 3 Z l Z E N v b H V t b n M x L n t C T j Q 4 M z Q s N z F 9 J n F 1 b 3 Q 7 L C Z x d W 9 0 O 1 N l Y 3 R p b 2 4 x L 0 l u c H V 0 c y 9 B d X R v U m V t b 3 Z l Z E N v b H V t b n M x L n t C T j Q 4 M z g s N z J 9 J n F 1 b 3 Q 7 L C Z x d W 9 0 O 1 N l Y 3 R p b 2 4 x L 0 l u c H V 0 c y 9 B d X R v U m V t b 3 Z l Z E N v b H V t b n M x L n t C T j Q 4 N D g s N z N 9 J n F 1 b 3 Q 7 L C Z x d W 9 0 O 1 N l Y 3 R p b 2 4 x L 0 l u c H V 0 c y 9 B d X R v U m V t b 3 Z l Z E N v b H V t b n M x L n t C T j Q 4 N D Y s N z R 9 J n F 1 b 3 Q 7 L C Z x d W 9 0 O 1 N l Y 3 R p b 2 4 x L 0 l u c H V 0 c y 9 B d X R v U m V t b 3 Z l Z E N v b H V t b n M x L n t C T j Q 4 N D c s N z V 9 J n F 1 b 3 Q 7 L C Z x d W 9 0 O 1 N l Y 3 R p b 2 4 x L 0 l u c H V 0 c y 9 B d X R v U m V t b 3 Z l Z E N v b H V t b n M x L n t C T j Q 4 M z A s N z Z 9 J n F 1 b 3 Q 7 L C Z x d W 9 0 O 1 N l Y 3 R p b 2 4 x L 0 l u c H V 0 c y 9 B d X R v U m V t b 3 Z l Z E N v b H V t b n M x L n t C T j Q 4 N D k s N z d 9 J n F 1 b 3 Q 7 L C Z x d W 9 0 O 1 N l Y 3 R p b 2 4 x L 0 l u c H V 0 c y 9 B d X R v U m V t b 3 Z l Z E N v b H V t b n M x L n t C T j Q 4 M z U s N z h 9 J n F 1 b 3 Q 7 L C Z x d W 9 0 O 1 N l Y 3 R p b 2 4 x L 0 l u c H V 0 c y 9 B d X R v U m V t b 3 Z l Z E N v b H V t b n M x L n t C T j Q 4 N T E s N z l 9 J n F 1 b 3 Q 7 L C Z x d W 9 0 O 1 N l Y 3 R p b 2 4 x L 0 l u c H V 0 c y 9 B d X R v U m V t b 3 Z l Z E N v b H V t b n M x L n t C T j Q 4 N T I s O D B 9 J n F 1 b 3 Q 7 L C Z x d W 9 0 O 1 N l Y 3 R p b 2 4 x L 0 l u c H V 0 c y 9 B d X R v U m V t b 3 Z l Z E N v b H V t b n M x L n t C T j Q 4 N T M s O D F 9 J n F 1 b 3 Q 7 L C Z x d W 9 0 O 1 N l Y 3 R p b 2 4 x L 0 l u c H V 0 c y 9 B d X R v U m V t b 3 Z l Z E N v b H V t b n M x L n t C T j Q 4 N D M s O D J 9 J n F 1 b 3 Q 7 L C Z x d W 9 0 O 1 N l Y 3 R p b 2 4 x L 0 l u c H V 0 c y 9 B d X R v U m V t b 3 Z l Z E N v b H V t b n M x L n t C T j E w M T k w L D g z f S Z x d W 9 0 O y w m c X V v d D t T Z W N 0 a W 9 u M S 9 J b n B 1 d H M v Q X V 0 b 1 J l b W 9 2 Z W R D b 2 x 1 b W 5 z M S 5 7 Q k 4 x M D E 5 M S w 4 N H 0 m c X V v d D s s J n F 1 b 3 Q 7 U 2 V j d G l v b j E v S W 5 w d X R z L 0 F 1 d G 9 S Z W 1 v d m V k Q 2 9 s d W 1 u c z E u e 1 c 1 M D A z L D g 1 f S Z x d W 9 0 O y w m c X V v d D t T Z W N 0 a W 9 u M S 9 J b n B 1 d H M v Q X V 0 b 1 J l b W 9 2 Z W R D b 2 x 1 b W 5 z M S 5 7 V z U w M D N D Q V A s O D Z 9 J n F 1 b 3 Q 7 L C Z x d W 9 0 O 1 N l Y 3 R p b 2 4 x L 0 l u c H V 0 c y 9 B d X R v U m V t b 3 Z l Z E N v b H V t b n M x L n t C T j E w M j k w L D g 3 f S Z x d W 9 0 O y w m c X V v d D t T Z W N 0 a W 9 u M S 9 J b n B 1 d H M v Q X V 0 b 1 J l b W 9 2 Z W R D b 2 x 1 b W 5 z M S 5 7 Q k 4 0 O D Y x L D g 4 f S Z x d W 9 0 O y w m c X V v d D t T Z W N 0 a W 9 u M S 9 J b n B 1 d H M v Q X V 0 b 1 J l b W 9 2 Z W R D b 2 x 1 b W 5 z M S 5 7 Q k 4 0 O D Y y L D g 5 f S Z x d W 9 0 O y w m c X V v d D t T Z W N 0 a W 9 u M S 9 J b n B 1 d H M v Q X V 0 b 1 J l b W 9 2 Z W R D b 2 x 1 b W 5 z M S 5 7 Q 1 B N V z A w O T g s O T B 9 J n F 1 b 3 Q 7 L C Z x d W 9 0 O 1 N l Y 3 R p b 2 4 x L 0 l u c H V 0 c y 9 B d X R v U m V t b 3 Z l Z E N v b H V t b n M x L n t D U E 1 X M D E w N C w 5 M X 0 m c X V v d D s s J n F 1 b 3 Q 7 U 2 V j d G l v b j E v S W 5 w d X R z L 0 F 1 d G 9 S Z W 1 v d m V k Q 2 9 s d W 1 u c z E u e 0 N Q T V c w M T E w L D k y f S Z x d W 9 0 O y w m c X V v d D t T Z W N 0 a W 9 u M S 9 J b n B 1 d H M v Q X V 0 b 1 J l b W 9 2 Z W R D b 2 x 1 b W 5 z M S 5 7 Q 1 B N V z A x M T Y s O T N 9 J n F 1 b 3 Q 7 L C Z x d W 9 0 O 1 N l Y 3 R p b 2 4 x L 0 l u c H V 0 c y 9 B d X R v U m V t b 3 Z l Z E N v b H V t b n M x L n t D U E 1 X M D E 2 N S w 5 N H 0 m c X V v d D s s J n F 1 b 3 Q 7 U 2 V j d G l v b j E v S W 5 w d X R z L 0 F 1 d G 9 S Z W 1 v d m V k Q 2 9 s d W 1 u c z E u e 0 N Q T V c w M T Y 2 L D k 1 f S Z x d W 9 0 O y w m c X V v d D t T Z W N 0 a W 9 u M S 9 J b n B 1 d H M v Q X V 0 b 1 J l b W 9 2 Z W R D b 2 x 1 b W 5 z M S 5 7 Q 1 B N V z A x N j c s O T Z 9 J n F 1 b 3 Q 7 L C Z x d W 9 0 O 1 N l Y 3 R p b 2 4 x L 0 l u c H V 0 c y 9 B d X R v U m V t b 3 Z l Z E N v b H V t b n M x L n t D U E 1 X M D A y N y w 5 N 3 0 m c X V v d D s s J n F 1 b 3 Q 7 U 2 V j d G l v b j E v S W 5 w d X R z L 0 F 1 d G 9 S Z W 1 v d m V k Q 2 9 s d W 1 u c z E u e 0 N Q T V c w M D M z L D k 4 f S Z x d W 9 0 O y w m c X V v d D t T Z W N 0 a W 9 u M S 9 J b n B 1 d H M v Q X V 0 b 1 J l b W 9 2 Z W R D b 2 x 1 b W 5 z M S 5 7 Q 1 B N V z A w M z k s O T l 9 J n F 1 b 3 Q 7 L C Z x d W 9 0 O 1 N l Y 3 R p b 2 4 x L 0 l u c H V 0 c y 9 B d X R v U m V t b 3 Z l Z E N v b H V t b n M x L n t D U E 1 X M D A 0 N S w x M D B 9 J n F 1 b 3 Q 7 L C Z x d W 9 0 O 1 N l Y 3 R p b 2 4 x L 0 l u c H V 0 c y 9 B d X R v U m V t b 3 Z l Z E N v b H V t b n M x L n t D U E 1 X M D E 4 N S w x M D F 9 J n F 1 b 3 Q 7 L C Z x d W 9 0 O 1 N l Y 3 R p b 2 4 x L 0 l u c H V 0 c y 9 B d X R v U m V t b 3 Z l Z E N v b H V t b n M x L n t D U E 1 X M D E 5 N y w x M D J 9 J n F 1 b 3 Q 7 L C Z x d W 9 0 O 1 N l Y 3 R p b 2 4 x L 0 l u c H V 0 c y 9 B d X R v U m V t b 3 Z l Z E N v b H V t b n M x L n t D U E 1 X M D E 5 O C w x M D N 9 J n F 1 b 3 Q 7 L C Z x d W 9 0 O 1 N l Y 3 R p b 2 4 x L 0 l u c H V 0 c y 9 B d X R v U m V t b 3 Z l Z E N v b H V t b n M x L n t D U E 1 X M D A x Q S w x M D R 9 J n F 1 b 3 Q 7 L C Z x d W 9 0 O 1 N l Y 3 R p b 2 4 x L 0 l u c H V 0 c y 9 B d X R v U m V t b 3 Z l Z E N v b H V t b n M x L n t D U E 1 X M D A x N S w x M D V 9 J n F 1 b 3 Q 7 L C Z x d W 9 0 O 1 N l Y 3 R p b 2 4 x L 0 l u c H V 0 c y 9 B d X R v U m V t b 3 Z l Z E N v b H V t b n M x L n t C T j E w N D k x L D E w N n 0 m c X V v d D s s J n F 1 b 3 Q 7 U 2 V j d G l v b j E v S W 5 w d X R z L 0 F 1 d G 9 S Z W 1 v d m V k Q 2 9 s d W 1 u c z E u e 0 J O M T A 0 O T A s M T A 3 f S Z x d W 9 0 O y w m c X V v d D t T Z W N 0 a W 9 u M S 9 J b n B 1 d H M v Q X V 0 b 1 J l b W 9 2 Z W R D b 2 x 1 b W 5 z M S 5 7 Q k 4 x M D U 5 M C w x M D h 9 J n F 1 b 3 Q 7 L C Z x d W 9 0 O 1 N l Y 3 R p b 2 4 x L 0 l u c H V 0 c y 9 B d X R v U m V t b 3 Z l Z E N v b H V t b n M x L n t C T j E w N T k 3 L D E w O X 0 m c X V v d D s s J n F 1 b 3 Q 7 U 2 V j d G l v b j E v S W 5 w d X R z L 0 F 1 d G 9 S Z W 1 v d m V k Q 2 9 s d W 1 u c z E u e 0 J O M T A 1 O T g s M T E w f S Z x d W 9 0 O y w m c X V v d D t T Z W N 0 a W 9 u M S 9 J b n B 1 d H M v Q X V 0 b 1 J l b W 9 2 Z W R D b 2 x 1 b W 5 z M S 5 7 Q k 4 x M D U 5 O S w x M T F 9 J n F 1 b 3 Q 7 L C Z x d W 9 0 O 1 N l Y 3 R p b 2 4 x L 0 l u c H V 0 c y 9 B d X R v U m V t b 3 Z l Z E N v b H V t b n M x L n t D U E 1 X M D A y M S w x M T J 9 J n F 1 b 3 Q 7 L C Z x d W 9 0 O 1 N l Y 3 R p b 2 4 x L 0 l u c H V 0 c y 9 B d X R v U m V t b 3 Z l Z E N v b H V t b n M x L n t C T j E w N z k x L D E x M 3 0 m c X V v d D s s J n F 1 b 3 Q 7 U 2 V j d G l v b j E v S W 5 w d X R z L 0 F 1 d G 9 S Z W 1 v d m V k Q 2 9 s d W 1 u c z E u e 0 J O M T A 3 O T A s M T E 0 f S Z x d W 9 0 O y w m c X V v d D t T Z W N 0 a W 9 u M S 9 J b n B 1 d H M v Q X V 0 b 1 J l b W 9 2 Z W R D b 2 x 1 b W 5 z M S 5 7 Q k 4 x M D g 5 M C w x M T V 9 J n F 1 b 3 Q 7 L C Z x d W 9 0 O 1 N l Y 3 R p b 2 4 x L 0 l u c H V 0 c y 9 B d X R v U m V t b 3 Z l Z E N v b H V t b n M x L n t C T j E w O D k 3 L D E x N n 0 m c X V v d D s s J n F 1 b 3 Q 7 U 2 V j d G l v b j E v S W 5 w d X R z L 0 F 1 d G 9 S Z W 1 v d m V k Q 2 9 s d W 1 u c z E u e 0 J O M T A 4 O T g s M T E 3 f S Z x d W 9 0 O y w m c X V v d D t T Z W N 0 a W 9 u M S 9 J b n B 1 d H M v Q X V 0 b 1 J l b W 9 2 Z W R D b 2 x 1 b W 5 z M S 5 7 Q k 4 x M D g 5 O S w x M T h 9 J n F 1 b 3 Q 7 L C Z x d W 9 0 O 1 N l Y 3 R p b 2 4 x L 0 l u c H V 0 c y 9 B d X R v U m V t b 3 Z l Z E N v b H V t b n M x L n t C T j E w O T A y L D E x O X 0 m c X V v d D s s J n F 1 b 3 Q 7 U 2 V j d G l v b j E v S W 5 w d X R z L 0 F 1 d G 9 S Z W 1 v d m V k Q 2 9 s d W 1 u c z E u e 1 d U V z A w M U 5 S L D E y M H 0 m c X V v d D s s J n F 1 b 3 Q 7 U 2 V j d G l v b j E v S W 5 w d X R z L 0 F 1 d G 9 S Z W 1 v d m V k Q 2 9 s d W 1 u c z E u e 1 d U V z A w M k 5 S L D E y M X 0 m c X V v d D s s J n F 1 b 3 Q 7 U 2 V j d G l v b j E v S W 5 w d X R z L 0 F 1 d G 9 S Z W 1 v d m V k Q 2 9 s d W 1 u c z E u e 1 d U V z A w M 0 5 S L D E y M n 0 m c X V v d D s s J n F 1 b 3 Q 7 U 2 V j d G l v b j E v S W 5 w d X R z L 0 F 1 d G 9 S Z W 1 v d m V k Q 2 9 s d W 1 u c z E u e 1 d U V z A w N E 5 S L D E y M 3 0 m c X V v d D s s J n F 1 b 3 Q 7 U 2 V j d G l v b j E v S W 5 w d X R z L 0 F 1 d G 9 S Z W 1 v d m V k Q 2 9 s d W 1 u c z E u e 1 d U V z A w N U 5 S L D E y N H 0 m c X V v d D s s J n F 1 b 3 Q 7 U 2 V j d G l v b j E v S W 5 w d X R z L 0 F 1 d G 9 S Z W 1 v d m V k Q 2 9 s d W 1 u c z E u e 1 d U V z A w N k 5 S L D E y N X 0 m c X V v d D s s J n F 1 b 3 Q 7 U 2 V j d G l v b j E v S W 5 w d X R z L 0 F 1 d G 9 S Z W 1 v d m V k Q 2 9 s d W 1 u c z E u e 1 d U V z A w N 0 5 S L D E y N n 0 m c X V v d D s s J n F 1 b 3 Q 7 U 2 V j d G l v b j E v S W 5 w d X R z L 0 F 1 d G 9 S Z W 1 v d m V k Q 2 9 s d W 1 u c z E u e 1 d U V z A w O E 5 S L D E y N 3 0 m c X V v d D s s J n F 1 b 3 Q 7 U 2 V j d G l v b j E v S W 5 w d X R z L 0 F 1 d G 9 S Z W 1 v d m V k Q 2 9 s d W 1 u c z E u e 1 d U V z A w M V B O L D E y O H 0 m c X V v d D s s J n F 1 b 3 Q 7 U 2 V j d G l v b j E v S W 5 w d X R z L 0 F 1 d G 9 S Z W 1 v d m V k Q 2 9 s d W 1 u c z E u e 1 d U V z A w M l B O L D E y O X 0 m c X V v d D s s J n F 1 b 3 Q 7 U 2 V j d G l v b j E v S W 5 w d X R z L 0 F 1 d G 9 S Z W 1 v d m V k Q 2 9 s d W 1 u c z E u e 1 d U V z A w M 1 B O L D E z M H 0 m c X V v d D s s J n F 1 b 3 Q 7 U 2 V j d G l v b j E v S W 5 w d X R z L 0 F 1 d G 9 S Z W 1 v d m V k Q 2 9 s d W 1 u c z E u e 1 d U V z A w N F B O L D E z M X 0 m c X V v d D s s J n F 1 b 3 Q 7 U 2 V j d G l v b j E v S W 5 w d X R z L 0 F 1 d G 9 S Z W 1 v d m V k Q 2 9 s d W 1 u c z E u e 1 d U V z A w N V B O L D E z M n 0 m c X V v d D s s J n F 1 b 3 Q 7 U 2 V j d G l v b j E v S W 5 w d X R z L 0 F 1 d G 9 S Z W 1 v d m V k Q 2 9 s d W 1 u c z E u e 1 d U V z A w N l B O L D E z M 3 0 m c X V v d D s s J n F 1 b 3 Q 7 U 2 V j d G l v b j E v S W 5 w d X R z L 0 F 1 d G 9 S Z W 1 v d m V k Q 2 9 s d W 1 u c z E u e 1 d U V z A w N 1 B O L D E z N H 0 m c X V v d D s s J n F 1 b 3 Q 7 U 2 V j d G l v b j E v S W 5 w d X R z L 0 F 1 d G 9 S Z W 1 v d m V k Q 2 9 s d W 1 u c z E u e 1 d U V z A w O F B O L D E z N X 0 m c X V v d D s s J n F 1 b 3 Q 7 U 2 V j d G l v b j E v S W 5 w d X R z L 0 F 1 d G 9 S Z W 1 v d m V k Q 2 9 s d W 1 u c z E u e 0 J O M T E w M C w x M z Z 9 J n F 1 b 3 Q 7 L C Z x d W 9 0 O 1 N l Y 3 R p b 2 4 x L 0 l u c H V 0 c y 9 B d X R v U m V t b 3 Z l Z E N v b H V t b n M x L n t C T j E y M D Q s M T M 3 f S Z x d W 9 0 O y w m c X V v d D t T Z W N 0 a W 9 u M S 9 J b n B 1 d H M v Q X V 0 b 1 J l b W 9 2 Z W R D b 2 x 1 b W 5 z M S 5 7 Q k 4 x M j A w L D E z O H 0 m c X V v d D s s J n F 1 b 3 Q 7 U 2 V j d G l v b j E v S W 5 w d X R z L 0 F 1 d G 9 S Z W 1 v d m V k Q 2 9 s d W 1 u c z E u e 0 J O M T I w O C w x M z l 9 J n F 1 b 3 Q 7 L C Z x d W 9 0 O 1 N l Y 3 R p b 2 4 x L 0 l u c H V 0 c y 9 B d X R v U m V t b 3 Z l Z E N v b H V t b n M x L n t C T j E x N T k w L D E 0 M H 0 m c X V v d D s s J n F 1 b 3 Q 7 U 2 V j d G l v b j E v S W 5 w d X R z L 0 F 1 d G 9 S Z W 1 v d m V k Q 2 9 s d W 1 u c z E u e 0 J O M T E z M D B D Q V A s M T Q x f S Z x d W 9 0 O y w m c X V v d D t T Z W N 0 a W 9 u M S 9 J b n B 1 d H M v Q X V 0 b 1 J l b W 9 2 Z W R D b 2 x 1 b W 5 z M S 5 7 Q k 4 x M D k w M E N B U C w x N D J 9 J n F 1 b 3 Q 7 L C Z x d W 9 0 O 1 N l Y 3 R p b 2 4 x L 0 l u c H V 0 c y 9 B d X R v U m V t b 3 Z l Z E N v b H V t b n M x L n t C T j E x M D M w Q 0 F Q L D E 0 M 3 0 m c X V v d D s s J n F 1 b 3 Q 7 U 2 V j d G l v b j E v S W 5 w d X R z L 0 F 1 d G 9 S Z W 1 v d m V k Q 2 9 s d W 1 u c z E u e 0 J O M T E 2 M D A s M T Q 0 f S Z x d W 9 0 O y w m c X V v d D t T Z W N 0 a W 9 u M S 9 J b n B 1 d H M v Q X V 0 b 1 J l b W 9 2 Z W R D b 2 x 1 b W 5 z M S 5 7 Q k 4 x M T Y x M C w x N D V 9 J n F 1 b 3 Q 7 L C Z x d W 9 0 O 1 N l Y 3 R p b 2 4 x L 0 l u c H V 0 c y 9 B d X R v U m V t b 3 Z l Z E N v b H V t b n M x L n t C T j E x N j I w L D E 0 N n 0 m c X V v d D s s J n F 1 b 3 Q 7 U 2 V j d G l v b j E v S W 5 w d X R z L 0 F 1 d G 9 S Z W 1 v d m V k Q 2 9 s d W 1 u c z E u e 0 J O M T E z O T A s M T Q 3 f S Z x d W 9 0 O y w m c X V v d D t T Z W N 0 a W 9 u M S 9 J b n B 1 d H M v Q X V 0 b 1 J l b W 9 2 Z W R D b 2 x 1 b W 5 z M S 5 7 Q k 4 x M D k 5 M C w x N D h 9 J n F 1 b 3 Q 7 L C Z x d W 9 0 O 1 N l Y 3 R p b 2 4 x L 0 l u c H V 0 c y 9 B d X R v U m V t b 3 Z l Z E N v b H V t b n M x L n t C T j E x M D k w L D E 0 O X 0 m c X V v d D s s J n F 1 b 3 Q 7 U 2 V j d G l v b j E v S W 5 w d X R z L 0 F 1 d G 9 S Z W 1 v d m V k Q 2 9 s d W 1 u c z E u e 0 J C M T M w M D A s M T U w f S Z x d W 9 0 O y w m c X V v d D t T Z W N 0 a W 9 u M S 9 J b n B 1 d H M v Q X V 0 b 1 J l b W 9 2 Z W R D b 2 x 1 b W 5 z M S 5 7 Q k I x M z A x M C w x N T F 9 J n F 1 b 3 Q 7 L C Z x d W 9 0 O 1 N l Y 3 R p b 2 4 x L 0 l u c H V 0 c y 9 B d X R v U m V t b 3 Z l Z E N v b H V t b n M x L n t C Q j E z M D I w L D E 1 M n 0 m c X V v d D s s J n F 1 b 3 Q 7 U 2 V j d G l v b j E v S W 5 w d X R z L 0 F 1 d G 9 S Z W 1 v d m V k Q 2 9 s d W 1 u c z E u e 0 J C M T M w M z A s M T U z f S Z x d W 9 0 O y w m c X V v d D t T Z W N 0 a W 9 u M S 9 J b n B 1 d H M v Q X V 0 b 1 J l b W 9 2 Z W R D b 2 x 1 b W 5 z M S 5 7 Q k I x M z A 0 M C w x N T R 9 J n F 1 b 3 Q 7 L C Z x d W 9 0 O 1 N l Y 3 R p b 2 4 x L 0 l u c H V 0 c y 9 B d X R v U m V t b 3 Z l Z E N v b H V t b n M x L n t C Q j E z M D U w L D E 1 N X 0 m c X V v d D s s J n F 1 b 3 Q 7 U 2 V j d G l v b j E v S W 5 w d X R z L 0 F 1 d G 9 S Z W 1 v d m V k Q 2 9 s d W 1 u c z E u e 0 J C M T M w N j A s M T U 2 f S Z x d W 9 0 O y w m c X V v d D t T Z W N 0 a W 9 u M S 9 J b n B 1 d H M v Q X V 0 b 1 J l b W 9 2 Z W R D b 2 x 1 b W 5 z M S 5 7 Q k I x M z A 3 M C w x N T d 9 J n F 1 b 3 Q 7 L C Z x d W 9 0 O 1 N l Y 3 R p b 2 4 x L 0 l u c H V 0 c y 9 B d X R v U m V t b 3 Z l Z E N v b H V t b n M x L n t C T j Q 4 N z A s M T U 4 f S Z x d W 9 0 O y w m c X V v d D t T Z W N 0 a W 9 u M S 9 J b n B 1 d H M v Q X V 0 b 1 J l b W 9 2 Z W R D b 2 x 1 b W 5 z M S 5 7 Q k 4 y M j E w L D E 1 O X 0 m c X V v d D s s J n F 1 b 3 Q 7 U 2 V j d G l v b j E v S W 5 w d X R z L 0 F 1 d G 9 S Z W 1 v d m V k Q 2 9 s d W 1 u c z E u e 0 J O M j I w M C w x N j B 9 J n F 1 b 3 Q 7 L C Z x d W 9 0 O 1 N l Y 3 R p b 2 4 x L 0 l u c H V 0 c y 9 B d X R v U m V t b 3 Z l Z E N v b H V t b n M x L n t C T j I y M j E s M T Y x f S Z x d W 9 0 O y w m c X V v d D t T Z W N 0 a W 9 u M S 9 J b n B 1 d H M v Q X V 0 b 1 J l b W 9 2 Z W R D b 2 x 1 b W 5 z M S 5 7 Q k 4 y N T k w L D E 2 M n 0 m c X V v d D s s J n F 1 b 3 Q 7 U 2 V j d G l v b j E v S W 5 w d X R z L 0 F 1 d G 9 S Z W 1 v d m V k Q 2 9 s d W 1 u c z E u e 1 N Z U z A z L D E 2 M 3 0 m c X V v d D s s J n F 1 b 3 Q 7 U 2 V j d G l v b j E v S W 5 w d X R z L 0 F 1 d G 9 S Z W 1 v d m V k Q 2 9 s d W 1 u c z E u e 0 J N O T A y R U N X V y w x N j R 9 J n F 1 b 3 Q 7 L C Z x d W 9 0 O 1 N l Y 3 R p b 2 4 x L 0 l u c H V 0 c y 9 B d X R v U m V t b 3 Z l Z E N v b H V t b n M x L n t C T T k w M k V D T l A s M T Y 1 f S Z x d W 9 0 O y w m c X V v d D t T Z W N 0 a W 9 u M S 9 J b n B 1 d H M v Q X V 0 b 1 J l b W 9 2 Z W R D b 2 x 1 b W 5 z M S 5 7 Q k 0 x M D J F Q 1 d S L D E 2 N n 0 m c X V v d D s s J n F 1 b 3 Q 7 U 2 V j d G l v b j E v S W 5 w d X R z L 0 F 1 d G 9 S Z W 1 v d m V k Q 2 9 s d W 1 u c z E u e 0 J O M T U w M C w x N j d 9 J n F 1 b 3 Q 7 L C Z x d W 9 0 O 1 N l Y 3 R p b 2 4 x L 0 l u c H V 0 c y 9 B d X R v U m V t b 3 Z l Z E N v b H V t b n M x L n t C T j E 1 M D E s M T Y 4 f S Z x d W 9 0 O y w m c X V v d D t T Z W N 0 a W 9 u M S 9 J b n B 1 d H M v Q X V 0 b 1 J l b W 9 2 Z W R D b 2 x 1 b W 5 z M S 5 7 Q k 4 0 O D M w U y w x N j l 9 J n F 1 b 3 Q 7 L C Z x d W 9 0 O 1 N l Y 3 R p b 2 4 x L 0 l u c H V 0 c y 9 B d X R v U m V t b 3 Z l Z E N v b H V t b n M x L n t C T j E w M D B f Q 0 E y M l 9 B L D E 3 M H 0 m c X V v d D s s J n F 1 b 3 Q 7 U 2 V j d G l v b j E v S W 5 w d X R z L 0 F 1 d G 9 S Z W 1 v d m V k Q 2 9 s d W 1 u c z E u e 0 J O M T A w M F B S T V 9 D Q T I y X 0 E s M T c x f S Z x d W 9 0 O y w m c X V v d D t T Z W N 0 a W 9 u M S 9 J b n B 1 d H M v Q X V 0 b 1 J l b W 9 2 Z W R D b 2 x 1 b W 5 z M S 5 7 Q k 4 y M z A w X 0 N B M j J f Q S w x N z J 9 J n F 1 b 3 Q 7 L C Z x d W 9 0 O 1 N l Y 3 R p b 2 4 x L 0 l u c H V 0 c y 9 B d X R v U m V t b 3 Z l Z E N v b H V t b n M x L n t C T j I z M D V f Q 0 E y M l 9 B L D E 3 M 3 0 m c X V v d D s s J n F 1 b 3 Q 7 U 2 V j d G l v b j E v S W 5 w d X R z L 0 F 1 d G 9 S Z W 1 v d m V k Q 2 9 s d W 1 u c z E u e 0 J O M j M x M F 9 D Q T I y X 0 E s M T c 0 f S Z x d W 9 0 O y w m c X V v d D t T Z W N 0 a W 9 u M S 9 J b n B 1 d H M v Q X V 0 b 1 J l b W 9 2 Z W R D b 2 x 1 b W 5 z M S 5 7 Q k 4 y M z E 1 X 0 N B M j J f Q S w x N z V 9 J n F 1 b 3 Q 7 L C Z x d W 9 0 O 1 N l Y 3 R p b 2 4 x L 0 l u c H V 0 c y 9 B d X R v U m V t b 3 Z l Z E N v b H V t b n M x L n t C T j I z M j V f Q 0 E y M l 9 B L D E 3 N n 0 m c X V v d D s s J n F 1 b 3 Q 7 U 2 V j d G l v b j E v S W 5 w d X R z L 0 F 1 d G 9 S Z W 1 v d m V k Q 2 9 s d W 1 u c z E u e 0 J O M j M y N 1 9 D Q T I y X 0 E s M T c 3 f S Z x d W 9 0 O y w m c X V v d D t T Z W N 0 a W 9 u M S 9 J b n B 1 d H M v Q X V 0 b 1 J l b W 9 2 Z W R D b 2 x 1 b W 5 z M S 5 7 Q k 4 y M z Q 1 Q V 9 D Q T I y X 0 E s M T c 4 f S Z x d W 9 0 O y w m c X V v d D t T Z W N 0 a W 9 u M S 9 J b n B 1 d H M v Q X V 0 b 1 J l b W 9 2 Z W R D b 2 x 1 b W 5 z M S 5 7 Q k 4 0 M D A w L D E 3 O X 0 m c X V v d D s s J n F 1 b 3 Q 7 U 2 V j d G l v b j E v S W 5 w d X R z L 0 F 1 d G 9 S Z W 1 v d m V k Q 2 9 s d W 1 u c z E u e 0 J O N D A w M S w x O D B 9 J n F 1 b 3 Q 7 L C Z x d W 9 0 O 1 N l Y 3 R p b 2 4 x L 0 l u c H V 0 c y 9 B d X R v U m V t b 3 Z l Z E N v b H V t b n M x L n t C T j Q w M D I s M T g x f S Z x d W 9 0 O y w m c X V v d D t T Z W N 0 a W 9 u M S 9 J b n B 1 d H M v Q X V 0 b 1 J l b W 9 2 Z W R D b 2 x 1 b W 5 z M S 5 7 Q k 4 0 M D E z L D E 4 M n 0 m c X V v d D s s J n F 1 b 3 Q 7 U 2 V j d G l v b j E v S W 5 w d X R z L 0 F 1 d G 9 S Z W 1 v d m V k Q 2 9 s d W 1 u c z E u e 0 J O N D A x N C w x O D N 9 J n F 1 b 3 Q 7 L C Z x d W 9 0 O 1 N l Y 3 R p b 2 4 x L 0 l u c H V 0 c y 9 B d X R v U m V t b 3 Z l Z E N v b H V t b n M x L n t C T j Q 1 M D A s M T g 0 f S Z x d W 9 0 O y w m c X V v d D t T Z W N 0 a W 9 u M S 9 J b n B 1 d H M v Q X V 0 b 1 J l b W 9 2 Z W R D b 2 x 1 b W 5 z M S 5 7 Q k 4 0 N T A x L D E 4 N X 0 m c X V v d D s s J n F 1 b 3 Q 7 U 2 V j d G l v b j E v S W 5 w d X R z L 0 F 1 d G 9 S Z W 1 v d m V k Q 2 9 s d W 1 u c z E u e 0 J O N D U w O S w x O D Z 9 J n F 1 b 3 Q 7 L C Z x d W 9 0 O 1 N l Y 3 R p b 2 4 x L 0 l u c H V 0 c y 9 B d X R v U m V t b 3 Z l Z E N v b H V t b n M x L n t C T j Q 1 M T A s M T g 3 f S Z x d W 9 0 O y w m c X V v d D t T Z W N 0 a W 9 u M S 9 J b n B 1 d H M v Q X V 0 b 1 J l b W 9 2 Z W R D b 2 x 1 b W 5 z M S 5 7 Q k 4 y M T A w T V R P L D E 4 O H 0 m c X V v d D s s J n F 1 b 3 Q 7 U 2 V j d G l v b j E v S W 5 w d X R z L 0 F 1 d G 9 S Z W 1 v d m V k Q 2 9 s d W 1 u c z E u e 0 J O M T c 2 N S w x O D l 9 J n F 1 b 3 Q 7 L C Z x d W 9 0 O 1 N l Y 3 R p b 2 4 x L 0 l u c H V 0 c y 9 B d X R v U m V t b 3 Z l Z E N v b H V t b n M x L n t C T j E 3 N j c s M T k w f S Z x d W 9 0 O y w m c X V v d D t T Z W N 0 a W 9 u M S 9 J b n B 1 d H M v Q X V 0 b 1 J l b W 9 2 Z W R D b 2 x 1 b W 5 z M S 5 7 Q k 4 y M T Y x L D E 5 M X 0 m c X V v d D s s J n F 1 b 3 Q 7 U 2 V j d G l v b j E v S W 5 w d X R z L 0 F 1 d G 9 S Z W 1 v d m V k Q 2 9 s d W 1 u c z E u e 0 J O M j E w M C w x O T J 9 J n F 1 b 3 Q 7 X S w m c X V v d D t D b 2 x 1 b W 5 D b 3 V u d C Z x d W 9 0 O z o x O T M s J n F 1 b 3 Q 7 S 2 V 5 Q 2 9 s d W 1 u T m F t Z X M m c X V v d D s 6 W 1 0 s J n F 1 b 3 Q 7 Q 2 9 s d W 1 u S W R l b n R p d G l l c y Z x d W 9 0 O z p b J n F 1 b 3 Q 7 U 2 V j d G l v b j E v S W 5 w d X R z L 0 F 1 d G 9 S Z W 1 v d m V k Q 2 9 s d W 1 u c z E u e 2 N v b X B h b n l j b 2 R l L D B 9 J n F 1 b 3 Q 7 L C Z x d W 9 0 O 1 N l Y 3 R p b 2 4 x L 0 l u c H V 0 c y 9 B d X R v U m V t b 3 Z l Z E N v b H V t b n M x L n t m a W 5 h b m N p Y W w g e W V h c i w x f S Z x d W 9 0 O y w m c X V v d D t T Z W N 0 a W 9 u M S 9 J b n B 1 d H M v Q X V 0 b 1 J l b W 9 2 Z W R D b 2 x 1 b W 5 z M S 5 7 Q 1 9 D R D A w M T R f U F I x O V d X M S w y f S Z x d W 9 0 O y w m c X V v d D t T Z W N 0 a W 9 u M S 9 J b n B 1 d H M v Q X V 0 b 1 J l b W 9 2 Z W R D b 2 x 1 b W 5 z M S 5 7 V 1 M w M T A w M V d S L D N 9 J n F 1 b 3 Q 7 L C Z x d W 9 0 O 1 N l Y 3 R p b 2 4 x L 0 l u c H V 0 c y 9 B d X R v U m V t b 3 Z l Z E N v b H V t b n M x L n t X U z A x M D A y V 1 I s N H 0 m c X V v d D s s J n F 1 b 3 Q 7 U 2 V j d G l v b j E v S W 5 w d X R z L 0 F 1 d G 9 S Z W 1 v d m V k Q 2 9 s d W 1 u c z E u e 1 d T M D E w M D R X U i w 1 f S Z x d W 9 0 O y w m c X V v d D t T Z W N 0 a W 9 u M S 9 J b n B 1 d H M v Q X V 0 b 1 J l b W 9 2 Z W R D b 2 x 1 b W 5 z M S 5 7 Q k 0 z M z l J V 1 I s N n 0 m c X V v d D s s J n F 1 b 3 Q 7 U 2 V j d G l v b j E v S W 5 w d X R z L 0 F 1 d G 9 S Z W 1 v d m V k Q 2 9 s d W 1 u c z E u e 0 J N M z M 5 T k l X U i w 3 f S Z x d W 9 0 O y w m c X V v d D t T Z W N 0 a W 9 u M S 9 J b n B 1 d H M v Q X V 0 b 1 J l b W 9 2 Z W R D b 2 x 1 b W 5 z M S 5 7 Q k 0 z M z l P V 1 I s O H 0 m c X V v d D s s J n F 1 b 3 Q 7 U 2 V j d G l v b j E v S W 5 w d X R z L 0 F 1 d G 9 S Z W 1 v d m V k Q 2 9 s d W 1 u c z E u e 1 d T M T A x M l d S L D l 9 J n F 1 b 3 Q 7 L C Z x d W 9 0 O 1 N l Y 3 R p b 2 4 x L 0 l u c H V 0 c y 9 B d X R v U m V t b 3 Z l Z E N v b H V t b n M x L n t X U z E w M T N X U i w x M H 0 m c X V v d D s s J n F 1 b 3 Q 7 U 2 V j d G l v b j E v S W 5 w d X R z L 0 F 1 d G 9 S Z W 1 v d m V k Q 2 9 s d W 1 u c z E u e 0 J N M j A y U l d E L D E x f S Z x d W 9 0 O y w m c X V v d D t T Z W N 0 a W 9 u M S 9 J b n B 1 d H M v Q X V 0 b 1 J l b W 9 2 Z W R D b 2 x 1 b W 5 z M S 5 7 Q k 0 z M z Z S V 0 Q s M T J 9 J n F 1 b 3 Q 7 L C Z x d W 9 0 O 1 N l Y 3 R p b 2 4 x L 0 l u c H V 0 c y 9 B d X R v U m V t b 3 Z l Z E N v b H V t b n M x L n t C T T I 0 M F J X R C w x M 3 0 m c X V v d D s s J n F 1 b 3 Q 7 U 2 V j d G l v b j E v S W 5 w d X R z L 0 F 1 d G 9 S Z W 1 v d m V k Q 2 9 s d W 1 u c z E u e 0 J N M z M 5 S V J X R C w x N H 0 m c X V v d D s s J n F 1 b 3 Q 7 U 2 V j d G l v b j E v S W 5 w d X R z L 0 F 1 d G 9 S Z W 1 v d m V k Q 2 9 s d W 1 u c z E u e 0 J N M z M 5 T k l S V 0 Q s M T V 9 J n F 1 b 3 Q 7 L C Z x d W 9 0 O 1 N l Y 3 R p b 2 4 x L 0 l u c H V 0 c y 9 B d X R v U m V t b 3 Z l Z E N v b H V t b n M x L n t C T T M z O U 9 S V 0 Q s M T Z 9 J n F 1 b 3 Q 7 L C Z x d W 9 0 O 1 N l Y 3 R p b 2 4 x L 0 l u c H V 0 c y 9 B d X R v U m V t b 3 Z l Z E N v b H V t b n M x L n t C Q z M w N D Q 1 U l d E L D E 3 f S Z x d W 9 0 O y w m c X V v d D t T Z W N 0 a W 9 u M S 9 J b n B 1 d H M v Q X V 0 b 1 J l b W 9 2 Z W R D b 2 x 1 b W 5 z M S 5 7 Q 1 c w M D A z N l J X R C w x O H 0 m c X V v d D s s J n F 1 b 3 Q 7 U 2 V j d G l v b j E v S W 5 w d X R z L 0 F 1 d G 9 S Z W 1 v d m V k Q 2 9 s d W 1 u c z E u e 0 J N M T A y V 1 Q s M T l 9 J n F 1 b 3 Q 7 L C Z x d W 9 0 O 1 N l Y 3 R p b 2 4 x L 0 l u c H V 0 c y 9 B d X R v U m V t b 3 Z l Z E N v b H V t b n M x L n t C T T M z N l d U L D I w f S Z x d W 9 0 O y w m c X V v d D t T Z W N 0 a W 9 u M S 9 J b n B 1 d H M v Q X V 0 b 1 J l b W 9 2 Z W R D b 2 x 1 b W 5 z M S 5 7 Q k 0 x N D B X V C w y M X 0 m c X V v d D s s J n F 1 b 3 Q 7 U 2 V j d G l v b j E v S W 5 w d X R z L 0 F 1 d G 9 S Z W 1 v d m V k Q 2 9 s d W 1 u c z E u e 0 J N M z M 5 S V d U L D I y f S Z x d W 9 0 O y w m c X V v d D t T Z W N 0 a W 9 u M S 9 J b n B 1 d H M v Q X V 0 b 1 J l b W 9 2 Z W R D b 2 x 1 b W 5 z M S 5 7 Q k 0 z M z l O S V d U L D I z f S Z x d W 9 0 O y w m c X V v d D t T Z W N 0 a W 9 u M S 9 J b n B 1 d H M v Q X V 0 b 1 J l b W 9 2 Z W R D b 2 x 1 b W 5 z M S 5 7 Q k 0 z M z l P V 1 Q s M j R 9 J n F 1 b 3 Q 7 L C Z x d W 9 0 O 1 N l Y 3 R p b 2 4 x L 0 l u c H V 0 c y 9 B d X R v U m V t b 3 Z l Z E N v b H V t b n M x L n t C Q z M w N D Q 1 V 1 Q s M j V 9 J n F 1 b 3 Q 7 L C Z x d W 9 0 O 1 N l Y 3 R p b 2 4 x L 0 l u c H V 0 c y 9 B d X R v U m V t b 3 Z l Z E N v b H V t b n M x L n t D V z A w M D M 2 V 1 Q s M j Z 9 J n F 1 b 3 Q 7 L C Z x d W 9 0 O 1 N l Y 3 R p b 2 4 x L 0 l u c H V 0 c y 9 B d X R v U m V t b 3 Z l Z E N v b H V t b n M x L n t C T T I w M l R X R C w y N 3 0 m c X V v d D s s J n F 1 b 3 Q 7 U 2 V j d G l v b j E v S W 5 w d X R z L 0 F 1 d G 9 S Z W 1 v d m V k Q 2 9 s d W 1 u c z E u e 0 J N M z M 2 V F d E L D I 4 f S Z x d W 9 0 O y w m c X V v d D t T Z W N 0 a W 9 u M S 9 J b n B 1 d H M v Q X V 0 b 1 J l b W 9 2 Z W R D b 2 x 1 b W 5 z M S 5 7 Q k 0 y N D B U V 0 Q s M j l 9 J n F 1 b 3 Q 7 L C Z x d W 9 0 O 1 N l Y 3 R p b 2 4 x L 0 l u c H V 0 c y 9 B d X R v U m V t b 3 Z l Z E N v b H V t b n M x L n t C T T M z O U l U V 0 Q s M z B 9 J n F 1 b 3 Q 7 L C Z x d W 9 0 O 1 N l Y 3 R p b 2 4 x L 0 l u c H V 0 c y 9 B d X R v U m V t b 3 Z l Z E N v b H V t b n M x L n t C T T M z O U 5 J V F d E L D M x f S Z x d W 9 0 O y w m c X V v d D t T Z W N 0 a W 9 u M S 9 J b n B 1 d H M v Q X V 0 b 1 J l b W 9 2 Z W R D b 2 x 1 b W 5 z M S 5 7 Q k 0 z M z l P V 0 Q s M z J 9 J n F 1 b 3 Q 7 L C Z x d W 9 0 O 1 N l Y 3 R p b 2 4 x L 0 l u c H V 0 c y 9 B d X R v U m V t b 3 Z l Z E N v b H V t b n M x L n t C Q z M w N D Q 1 V F d E L D M z f S Z x d W 9 0 O y w m c X V v d D t T Z W N 0 a W 9 u M S 9 J b n B 1 d H M v Q X V 0 b 1 J l b W 9 2 Z W R D b 2 x 1 b W 5 z M S 5 7 Q 1 c w M D A z N l R X R C w z N H 0 m c X V v d D s s J n F 1 b 3 Q 7 U 2 V j d G l v b j E v S W 5 w d X R z L 0 F 1 d G 9 S Z W 1 v d m V k Q 2 9 s d W 1 u c z E u e 1 d T M T A w M U N B V y w z N X 0 m c X V v d D s s J n F 1 b 3 Q 7 U 2 V j d G l v b j E v S W 5 w d X R z L 0 F 1 d G 9 S Z W 1 v d m V k Q 2 9 s d W 1 u c z E u e 1 d T M D E w M D J D Q V c s M z Z 9 J n F 1 b 3 Q 7 L C Z x d W 9 0 O 1 N l Y 3 R p b 2 4 x L 0 l u c H V 0 c y 9 B d X R v U m V t b 3 Z l Z E N v b H V t b n M x L n t X U z A x M D A 0 Q 0 F X L D M 3 f S Z x d W 9 0 O y w m c X V v d D t T Z W N 0 a W 9 u M S 9 J b n B 1 d H M v Q X V 0 b 1 J l b W 9 2 Z W R D b 2 x 1 b W 5 z M S 5 7 Q k 0 z M z l J Q 0 F X X z I w L D M 4 f S Z x d W 9 0 O y w m c X V v d D t T Z W N 0 a W 9 u M S 9 J b n B 1 d H M v Q X V 0 b 1 J l b W 9 2 Z W R D b 2 x 1 b W 5 z M S 5 7 Q k 0 z M z l O S U N B V 1 8 y M C w z O X 0 m c X V v d D s s J n F 1 b 3 Q 7 U 2 V j d G l v b j E v S W 5 w d X R z L 0 F 1 d G 9 S Z W 1 v d m V k Q 2 9 s d W 1 u c z E u e 0 J N M z M 5 T 0 N B V 1 8 y M C w 0 M H 0 m c X V v d D s s J n F 1 b 3 Q 7 U 2 V j d G l v b j E v S W 5 w d X R z L 0 F 1 d G 9 S Z W 1 v d m V k Q 2 9 s d W 1 u c z E u e 1 d T M T A x M k N B V y w 0 M X 0 m c X V v d D s s J n F 1 b 3 Q 7 U 2 V j d G l v b j E v S W 5 w d X R z L 0 F 1 d G 9 S Z W 1 v d m V k Q 2 9 s d W 1 u c z E u e 1 d T M T A x M 0 N B V y w 0 M n 0 m c X V v d D s s J n F 1 b 3 Q 7 U 2 V j d G l v b j E v S W 5 w d X R z L 0 F 1 d G 9 S Z W 1 v d m V k Q 2 9 s d W 1 u c z E u e 0 F Q U D I 4 U l J f V z A w M D I s N D N 9 J n F 1 b 3 Q 7 L C Z x d W 9 0 O 1 N l Y 3 R p b 2 4 x L 0 l u c H V 0 c y 9 B d X R v U m V t b 3 Z l Z E N v b H V t b n M x L n t B U F A y O F J S X 1 c w M D A z L D Q 0 f S Z x d W 9 0 O y w m c X V v d D t T Z W N 0 a W 9 u M S 9 J b n B 1 d H M v Q X V 0 b 1 J l b W 9 2 Z W R D b 2 x 1 b W 5 z M S 5 7 V z M w M D J X U i w 0 N X 0 m c X V v d D s s J n F 1 b 3 Q 7 U 2 V j d G l v b j E v S W 5 w d X R z L 0 F 1 d G 9 S Z W 1 v d m V k Q 2 9 s d W 1 u c z E u e 1 c z M D A y V F d E L D Q 2 f S Z x d W 9 0 O y w m c X V v d D t T Z W N 0 a W 9 u M S 9 J b n B 1 d H M v Q X V 0 b 1 J l b W 9 2 Z W R D b 2 x 1 b W 5 z M S 5 7 V z M w M D J D Q V d f M j A s N D d 9 J n F 1 b 3 Q 7 L C Z x d W 9 0 O 1 N l Y 3 R p b 2 4 x L 0 l u c H V 0 c y 9 B d X R v U m V t b 3 Z l Z E N v b H V t b n M x L n t X M z A z N l d S L D Q 4 f S Z x d W 9 0 O y w m c X V v d D t T Z W N 0 a W 9 u M S 9 J b n B 1 d H M v Q X V 0 b 1 J l b W 9 2 Z W R D b 2 x 1 b W 5 z M S 5 7 V z M w M z Z U V 0 Q s N D l 9 J n F 1 b 3 Q 7 L C Z x d W 9 0 O 1 N l Y 3 R p b 2 4 x L 0 l u c H V 0 c y 9 B d X R v U m V t b 3 Z l Z E N v b H V t b n M x L n t X M z A z N k N B V 1 8 y M C w 1 M H 0 m c X V v d D s s J n F 1 b 3 Q 7 U 2 V j d G l v b j E v S W 5 w d X R z L 0 F 1 d G 9 S Z W 1 v d m V k Q 2 9 s d W 1 u c z E u e 1 c z M D M y V 1 I s N T F 9 J n F 1 b 3 Q 7 L C Z x d W 9 0 O 1 N l Y 3 R p b 2 4 x L 0 l u c H V 0 c y 9 B d X R v U m V t b 3 Z l Z E N v b H V t b n M x L n t X M z A z M l R X R C w 1 M n 0 m c X V v d D s s J n F 1 b 3 Q 7 U 2 V j d G l v b j E v S W 5 w d X R z L 0 F 1 d G 9 S Z W 1 v d m V k Q 2 9 s d W 1 u c z E u e 1 c z M D M y V E 9 U L D U z f S Z x d W 9 0 O y w m c X V v d D t T Z W N 0 a W 9 u M S 9 J b n B 1 d H M v Q X V 0 b 1 J l b W 9 2 Z W R D b 2 x 1 b W 5 z M S 5 7 Q j A y M D F E U 0 N U R F d O Q y w 1 N H 0 m c X V v d D s s J n F 1 b 3 Q 7 U 2 V j d G l v b j E v S W 5 w d X R z L 0 F 1 d G 9 S Z W 1 v d m V k Q 2 9 s d W 1 u c z E u e 0 I w M j A x R F N D V E R X T k 8 s N T V 9 J n F 1 b 3 Q 7 L C Z x d W 9 0 O 1 N l Y 3 R p b 2 4 x L 0 l u c H V 0 c y 9 B d X R v U m V t b 3 Z l Z E N v b H V t b n M x L n t C M D I w M U R T U l R E V 0 5 D L D U 2 f S Z x d W 9 0 O y w m c X V v d D t T Z W N 0 a W 9 u M S 9 J b n B 1 d H M v Q X V 0 b 1 J l b W 9 2 Z W R D b 2 x 1 b W 5 z M S 5 7 Q j A y M D F E U 1 J U R F d O T y w 1 N 3 0 m c X V v d D s s J n F 1 b 3 Q 7 U 2 V j d G l v b j E v S W 5 w d X R z L 0 F 1 d G 9 S Z W 1 v d m V k Q 2 9 s d W 1 u c z E u e 0 I w M j A x R F N J V E R X T k M s N T h 9 J n F 1 b 3 Q 7 L C Z x d W 9 0 O 1 N l Y 3 R p b 2 4 x L 0 l u c H V 0 c y 9 B d X R v U m V t b 3 Z l Z E N v b H V t b n M x L n t C M D I w M U R T S V R E V 0 5 P L D U 5 f S Z x d W 9 0 O y w m c X V v d D t T Z W N 0 a W 9 u M S 9 J b n B 1 d H M v Q X V 0 b 1 J l b W 9 2 Z W R D b 2 x 1 b W 5 z M S 5 7 Q j A y M D F E U 0 R U R F d O Q y w 2 M H 0 m c X V v d D s s J n F 1 b 3 Q 7 U 2 V j d G l v b j E v S W 5 w d X R z L 0 F 1 d G 9 S Z W 1 v d m V k Q 2 9 s d W 1 u c z E u e 0 I w M j A x R F N E V E R X T k 8 s N j F 9 J n F 1 b 3 Q 7 L C Z x d W 9 0 O 1 N l Y 3 R p b 2 4 x L 0 l u c H V 0 c y 9 B d X R v U m V t b 3 Z l Z E N v b H V t b n M x L n t C M D I w M U R T T 1 R E V 0 5 D L D Y y f S Z x d W 9 0 O y w m c X V v d D t T Z W N 0 a W 9 u M S 9 J b n B 1 d H M v Q X V 0 b 1 J l b W 9 2 Z W R D b 2 x 1 b W 5 z M S 5 7 Q j A y M D F E U 0 9 U R F d O T y w 2 M 3 0 m c X V v d D s s J n F 1 b 3 Q 7 U 2 V j d G l v b j E v S W 5 w d X R z L 0 F 1 d G 9 S Z W 1 v d m V k Q 2 9 s d W 1 u c z E u e 0 J O N D A x M l 9 X U i w 2 N H 0 m c X V v d D s s J n F 1 b 3 Q 7 U 2 V j d G l v b j E v S W 5 w d X R z L 0 F 1 d G 9 S Z W 1 v d m V k Q 2 9 s d W 1 u c z E u e 0 J O N D A x M l 9 S V 0 Q s N j V 9 J n F 1 b 3 Q 7 L C Z x d W 9 0 O 1 N l Y 3 R p b 2 4 x L 0 l u c H V 0 c y 9 B d X R v U m V t b 3 Z l Z E N v b H V t b n M x L n t C T j Q w M T J f V 1 Q s N j Z 9 J n F 1 b 3 Q 7 L C Z x d W 9 0 O 1 N l Y 3 R p b 2 4 x L 0 l u c H V 0 c y 9 B d X R v U m V t b 3 Z l Z E N v b H V t b n M x L n t C T j Q w M T J f V F d E L D Y 3 f S Z x d W 9 0 O y w m c X V v d D t T Z W N 0 a W 9 u M S 9 J b n B 1 d H M v Q X V 0 b 1 J l b W 9 2 Z W R D b 2 x 1 b W 5 z M S 5 7 Q k 4 0 M D E y X 1 d X L D Y 4 f S Z x d W 9 0 O y w m c X V v d D t T Z W N 0 a W 9 u M S 9 J b n B 1 d H M v Q X V 0 b 1 J l b W 9 2 Z W R D b 2 x 1 b W 5 z M S 5 7 Q j A y M D F E U 1 d B R E o s N j l 9 J n F 1 b 3 Q 7 L C Z x d W 9 0 O 1 N l Y 3 R p b 2 4 x L 0 l u c H V 0 c y 9 B d X R v U m V t b 3 Z l Z E N v b H V t b n M x L n t C T j Q 4 M z M s N z B 9 J n F 1 b 3 Q 7 L C Z x d W 9 0 O 1 N l Y 3 R p b 2 4 x L 0 l u c H V 0 c y 9 B d X R v U m V t b 3 Z l Z E N v b H V t b n M x L n t C T j Q 4 M z Q s N z F 9 J n F 1 b 3 Q 7 L C Z x d W 9 0 O 1 N l Y 3 R p b 2 4 x L 0 l u c H V 0 c y 9 B d X R v U m V t b 3 Z l Z E N v b H V t b n M x L n t C T j Q 4 M z g s N z J 9 J n F 1 b 3 Q 7 L C Z x d W 9 0 O 1 N l Y 3 R p b 2 4 x L 0 l u c H V 0 c y 9 B d X R v U m V t b 3 Z l Z E N v b H V t b n M x L n t C T j Q 4 N D g s N z N 9 J n F 1 b 3 Q 7 L C Z x d W 9 0 O 1 N l Y 3 R p b 2 4 x L 0 l u c H V 0 c y 9 B d X R v U m V t b 3 Z l Z E N v b H V t b n M x L n t C T j Q 4 N D Y s N z R 9 J n F 1 b 3 Q 7 L C Z x d W 9 0 O 1 N l Y 3 R p b 2 4 x L 0 l u c H V 0 c y 9 B d X R v U m V t b 3 Z l Z E N v b H V t b n M x L n t C T j Q 4 N D c s N z V 9 J n F 1 b 3 Q 7 L C Z x d W 9 0 O 1 N l Y 3 R p b 2 4 x L 0 l u c H V 0 c y 9 B d X R v U m V t b 3 Z l Z E N v b H V t b n M x L n t C T j Q 4 M z A s N z Z 9 J n F 1 b 3 Q 7 L C Z x d W 9 0 O 1 N l Y 3 R p b 2 4 x L 0 l u c H V 0 c y 9 B d X R v U m V t b 3 Z l Z E N v b H V t b n M x L n t C T j Q 4 N D k s N z d 9 J n F 1 b 3 Q 7 L C Z x d W 9 0 O 1 N l Y 3 R p b 2 4 x L 0 l u c H V 0 c y 9 B d X R v U m V t b 3 Z l Z E N v b H V t b n M x L n t C T j Q 4 M z U s N z h 9 J n F 1 b 3 Q 7 L C Z x d W 9 0 O 1 N l Y 3 R p b 2 4 x L 0 l u c H V 0 c y 9 B d X R v U m V t b 3 Z l Z E N v b H V t b n M x L n t C T j Q 4 N T E s N z l 9 J n F 1 b 3 Q 7 L C Z x d W 9 0 O 1 N l Y 3 R p b 2 4 x L 0 l u c H V 0 c y 9 B d X R v U m V t b 3 Z l Z E N v b H V t b n M x L n t C T j Q 4 N T I s O D B 9 J n F 1 b 3 Q 7 L C Z x d W 9 0 O 1 N l Y 3 R p b 2 4 x L 0 l u c H V 0 c y 9 B d X R v U m V t b 3 Z l Z E N v b H V t b n M x L n t C T j Q 4 N T M s O D F 9 J n F 1 b 3 Q 7 L C Z x d W 9 0 O 1 N l Y 3 R p b 2 4 x L 0 l u c H V 0 c y 9 B d X R v U m V t b 3 Z l Z E N v b H V t b n M x L n t C T j Q 4 N D M s O D J 9 J n F 1 b 3 Q 7 L C Z x d W 9 0 O 1 N l Y 3 R p b 2 4 x L 0 l u c H V 0 c y 9 B d X R v U m V t b 3 Z l Z E N v b H V t b n M x L n t C T j E w M T k w L D g z f S Z x d W 9 0 O y w m c X V v d D t T Z W N 0 a W 9 u M S 9 J b n B 1 d H M v Q X V 0 b 1 J l b W 9 2 Z W R D b 2 x 1 b W 5 z M S 5 7 Q k 4 x M D E 5 M S w 4 N H 0 m c X V v d D s s J n F 1 b 3 Q 7 U 2 V j d G l v b j E v S W 5 w d X R z L 0 F 1 d G 9 S Z W 1 v d m V k Q 2 9 s d W 1 u c z E u e 1 c 1 M D A z L D g 1 f S Z x d W 9 0 O y w m c X V v d D t T Z W N 0 a W 9 u M S 9 J b n B 1 d H M v Q X V 0 b 1 J l b W 9 2 Z W R D b 2 x 1 b W 5 z M S 5 7 V z U w M D N D Q V A s O D Z 9 J n F 1 b 3 Q 7 L C Z x d W 9 0 O 1 N l Y 3 R p b 2 4 x L 0 l u c H V 0 c y 9 B d X R v U m V t b 3 Z l Z E N v b H V t b n M x L n t C T j E w M j k w L D g 3 f S Z x d W 9 0 O y w m c X V v d D t T Z W N 0 a W 9 u M S 9 J b n B 1 d H M v Q X V 0 b 1 J l b W 9 2 Z W R D b 2 x 1 b W 5 z M S 5 7 Q k 4 0 O D Y x L D g 4 f S Z x d W 9 0 O y w m c X V v d D t T Z W N 0 a W 9 u M S 9 J b n B 1 d H M v Q X V 0 b 1 J l b W 9 2 Z W R D b 2 x 1 b W 5 z M S 5 7 Q k 4 0 O D Y y L D g 5 f S Z x d W 9 0 O y w m c X V v d D t T Z W N 0 a W 9 u M S 9 J b n B 1 d H M v Q X V 0 b 1 J l b W 9 2 Z W R D b 2 x 1 b W 5 z M S 5 7 Q 1 B N V z A w O T g s O T B 9 J n F 1 b 3 Q 7 L C Z x d W 9 0 O 1 N l Y 3 R p b 2 4 x L 0 l u c H V 0 c y 9 B d X R v U m V t b 3 Z l Z E N v b H V t b n M x L n t D U E 1 X M D E w N C w 5 M X 0 m c X V v d D s s J n F 1 b 3 Q 7 U 2 V j d G l v b j E v S W 5 w d X R z L 0 F 1 d G 9 S Z W 1 v d m V k Q 2 9 s d W 1 u c z E u e 0 N Q T V c w M T E w L D k y f S Z x d W 9 0 O y w m c X V v d D t T Z W N 0 a W 9 u M S 9 J b n B 1 d H M v Q X V 0 b 1 J l b W 9 2 Z W R D b 2 x 1 b W 5 z M S 5 7 Q 1 B N V z A x M T Y s O T N 9 J n F 1 b 3 Q 7 L C Z x d W 9 0 O 1 N l Y 3 R p b 2 4 x L 0 l u c H V 0 c y 9 B d X R v U m V t b 3 Z l Z E N v b H V t b n M x L n t D U E 1 X M D E 2 N S w 5 N H 0 m c X V v d D s s J n F 1 b 3 Q 7 U 2 V j d G l v b j E v S W 5 w d X R z L 0 F 1 d G 9 S Z W 1 v d m V k Q 2 9 s d W 1 u c z E u e 0 N Q T V c w M T Y 2 L D k 1 f S Z x d W 9 0 O y w m c X V v d D t T Z W N 0 a W 9 u M S 9 J b n B 1 d H M v Q X V 0 b 1 J l b W 9 2 Z W R D b 2 x 1 b W 5 z M S 5 7 Q 1 B N V z A x N j c s O T Z 9 J n F 1 b 3 Q 7 L C Z x d W 9 0 O 1 N l Y 3 R p b 2 4 x L 0 l u c H V 0 c y 9 B d X R v U m V t b 3 Z l Z E N v b H V t b n M x L n t D U E 1 X M D A y N y w 5 N 3 0 m c X V v d D s s J n F 1 b 3 Q 7 U 2 V j d G l v b j E v S W 5 w d X R z L 0 F 1 d G 9 S Z W 1 v d m V k Q 2 9 s d W 1 u c z E u e 0 N Q T V c w M D M z L D k 4 f S Z x d W 9 0 O y w m c X V v d D t T Z W N 0 a W 9 u M S 9 J b n B 1 d H M v Q X V 0 b 1 J l b W 9 2 Z W R D b 2 x 1 b W 5 z M S 5 7 Q 1 B N V z A w M z k s O T l 9 J n F 1 b 3 Q 7 L C Z x d W 9 0 O 1 N l Y 3 R p b 2 4 x L 0 l u c H V 0 c y 9 B d X R v U m V t b 3 Z l Z E N v b H V t b n M x L n t D U E 1 X M D A 0 N S w x M D B 9 J n F 1 b 3 Q 7 L C Z x d W 9 0 O 1 N l Y 3 R p b 2 4 x L 0 l u c H V 0 c y 9 B d X R v U m V t b 3 Z l Z E N v b H V t b n M x L n t D U E 1 X M D E 4 N S w x M D F 9 J n F 1 b 3 Q 7 L C Z x d W 9 0 O 1 N l Y 3 R p b 2 4 x L 0 l u c H V 0 c y 9 B d X R v U m V t b 3 Z l Z E N v b H V t b n M x L n t D U E 1 X M D E 5 N y w x M D J 9 J n F 1 b 3 Q 7 L C Z x d W 9 0 O 1 N l Y 3 R p b 2 4 x L 0 l u c H V 0 c y 9 B d X R v U m V t b 3 Z l Z E N v b H V t b n M x L n t D U E 1 X M D E 5 O C w x M D N 9 J n F 1 b 3 Q 7 L C Z x d W 9 0 O 1 N l Y 3 R p b 2 4 x L 0 l u c H V 0 c y 9 B d X R v U m V t b 3 Z l Z E N v b H V t b n M x L n t D U E 1 X M D A x Q S w x M D R 9 J n F 1 b 3 Q 7 L C Z x d W 9 0 O 1 N l Y 3 R p b 2 4 x L 0 l u c H V 0 c y 9 B d X R v U m V t b 3 Z l Z E N v b H V t b n M x L n t D U E 1 X M D A x N S w x M D V 9 J n F 1 b 3 Q 7 L C Z x d W 9 0 O 1 N l Y 3 R p b 2 4 x L 0 l u c H V 0 c y 9 B d X R v U m V t b 3 Z l Z E N v b H V t b n M x L n t C T j E w N D k x L D E w N n 0 m c X V v d D s s J n F 1 b 3 Q 7 U 2 V j d G l v b j E v S W 5 w d X R z L 0 F 1 d G 9 S Z W 1 v d m V k Q 2 9 s d W 1 u c z E u e 0 J O M T A 0 O T A s M T A 3 f S Z x d W 9 0 O y w m c X V v d D t T Z W N 0 a W 9 u M S 9 J b n B 1 d H M v Q X V 0 b 1 J l b W 9 2 Z W R D b 2 x 1 b W 5 z M S 5 7 Q k 4 x M D U 5 M C w x M D h 9 J n F 1 b 3 Q 7 L C Z x d W 9 0 O 1 N l Y 3 R p b 2 4 x L 0 l u c H V 0 c y 9 B d X R v U m V t b 3 Z l Z E N v b H V t b n M x L n t C T j E w N T k 3 L D E w O X 0 m c X V v d D s s J n F 1 b 3 Q 7 U 2 V j d G l v b j E v S W 5 w d X R z L 0 F 1 d G 9 S Z W 1 v d m V k Q 2 9 s d W 1 u c z E u e 0 J O M T A 1 O T g s M T E w f S Z x d W 9 0 O y w m c X V v d D t T Z W N 0 a W 9 u M S 9 J b n B 1 d H M v Q X V 0 b 1 J l b W 9 2 Z W R D b 2 x 1 b W 5 z M S 5 7 Q k 4 x M D U 5 O S w x M T F 9 J n F 1 b 3 Q 7 L C Z x d W 9 0 O 1 N l Y 3 R p b 2 4 x L 0 l u c H V 0 c y 9 B d X R v U m V t b 3 Z l Z E N v b H V t b n M x L n t D U E 1 X M D A y M S w x M T J 9 J n F 1 b 3 Q 7 L C Z x d W 9 0 O 1 N l Y 3 R p b 2 4 x L 0 l u c H V 0 c y 9 B d X R v U m V t b 3 Z l Z E N v b H V t b n M x L n t C T j E w N z k x L D E x M 3 0 m c X V v d D s s J n F 1 b 3 Q 7 U 2 V j d G l v b j E v S W 5 w d X R z L 0 F 1 d G 9 S Z W 1 v d m V k Q 2 9 s d W 1 u c z E u e 0 J O M T A 3 O T A s M T E 0 f S Z x d W 9 0 O y w m c X V v d D t T Z W N 0 a W 9 u M S 9 J b n B 1 d H M v Q X V 0 b 1 J l b W 9 2 Z W R D b 2 x 1 b W 5 z M S 5 7 Q k 4 x M D g 5 M C w x M T V 9 J n F 1 b 3 Q 7 L C Z x d W 9 0 O 1 N l Y 3 R p b 2 4 x L 0 l u c H V 0 c y 9 B d X R v U m V t b 3 Z l Z E N v b H V t b n M x L n t C T j E w O D k 3 L D E x N n 0 m c X V v d D s s J n F 1 b 3 Q 7 U 2 V j d G l v b j E v S W 5 w d X R z L 0 F 1 d G 9 S Z W 1 v d m V k Q 2 9 s d W 1 u c z E u e 0 J O M T A 4 O T g s M T E 3 f S Z x d W 9 0 O y w m c X V v d D t T Z W N 0 a W 9 u M S 9 J b n B 1 d H M v Q X V 0 b 1 J l b W 9 2 Z W R D b 2 x 1 b W 5 z M S 5 7 Q k 4 x M D g 5 O S w x M T h 9 J n F 1 b 3 Q 7 L C Z x d W 9 0 O 1 N l Y 3 R p b 2 4 x L 0 l u c H V 0 c y 9 B d X R v U m V t b 3 Z l Z E N v b H V t b n M x L n t C T j E w O T A y L D E x O X 0 m c X V v d D s s J n F 1 b 3 Q 7 U 2 V j d G l v b j E v S W 5 w d X R z L 0 F 1 d G 9 S Z W 1 v d m V k Q 2 9 s d W 1 u c z E u e 1 d U V z A w M U 5 S L D E y M H 0 m c X V v d D s s J n F 1 b 3 Q 7 U 2 V j d G l v b j E v S W 5 w d X R z L 0 F 1 d G 9 S Z W 1 v d m V k Q 2 9 s d W 1 u c z E u e 1 d U V z A w M k 5 S L D E y M X 0 m c X V v d D s s J n F 1 b 3 Q 7 U 2 V j d G l v b j E v S W 5 w d X R z L 0 F 1 d G 9 S Z W 1 v d m V k Q 2 9 s d W 1 u c z E u e 1 d U V z A w M 0 5 S L D E y M n 0 m c X V v d D s s J n F 1 b 3 Q 7 U 2 V j d G l v b j E v S W 5 w d X R z L 0 F 1 d G 9 S Z W 1 v d m V k Q 2 9 s d W 1 u c z E u e 1 d U V z A w N E 5 S L D E y M 3 0 m c X V v d D s s J n F 1 b 3 Q 7 U 2 V j d G l v b j E v S W 5 w d X R z L 0 F 1 d G 9 S Z W 1 v d m V k Q 2 9 s d W 1 u c z E u e 1 d U V z A w N U 5 S L D E y N H 0 m c X V v d D s s J n F 1 b 3 Q 7 U 2 V j d G l v b j E v S W 5 w d X R z L 0 F 1 d G 9 S Z W 1 v d m V k Q 2 9 s d W 1 u c z E u e 1 d U V z A w N k 5 S L D E y N X 0 m c X V v d D s s J n F 1 b 3 Q 7 U 2 V j d G l v b j E v S W 5 w d X R z L 0 F 1 d G 9 S Z W 1 v d m V k Q 2 9 s d W 1 u c z E u e 1 d U V z A w N 0 5 S L D E y N n 0 m c X V v d D s s J n F 1 b 3 Q 7 U 2 V j d G l v b j E v S W 5 w d X R z L 0 F 1 d G 9 S Z W 1 v d m V k Q 2 9 s d W 1 u c z E u e 1 d U V z A w O E 5 S L D E y N 3 0 m c X V v d D s s J n F 1 b 3 Q 7 U 2 V j d G l v b j E v S W 5 w d X R z L 0 F 1 d G 9 S Z W 1 v d m V k Q 2 9 s d W 1 u c z E u e 1 d U V z A w M V B O L D E y O H 0 m c X V v d D s s J n F 1 b 3 Q 7 U 2 V j d G l v b j E v S W 5 w d X R z L 0 F 1 d G 9 S Z W 1 v d m V k Q 2 9 s d W 1 u c z E u e 1 d U V z A w M l B O L D E y O X 0 m c X V v d D s s J n F 1 b 3 Q 7 U 2 V j d G l v b j E v S W 5 w d X R z L 0 F 1 d G 9 S Z W 1 v d m V k Q 2 9 s d W 1 u c z E u e 1 d U V z A w M 1 B O L D E z M H 0 m c X V v d D s s J n F 1 b 3 Q 7 U 2 V j d G l v b j E v S W 5 w d X R z L 0 F 1 d G 9 S Z W 1 v d m V k Q 2 9 s d W 1 u c z E u e 1 d U V z A w N F B O L D E z M X 0 m c X V v d D s s J n F 1 b 3 Q 7 U 2 V j d G l v b j E v S W 5 w d X R z L 0 F 1 d G 9 S Z W 1 v d m V k Q 2 9 s d W 1 u c z E u e 1 d U V z A w N V B O L D E z M n 0 m c X V v d D s s J n F 1 b 3 Q 7 U 2 V j d G l v b j E v S W 5 w d X R z L 0 F 1 d G 9 S Z W 1 v d m V k Q 2 9 s d W 1 u c z E u e 1 d U V z A w N l B O L D E z M 3 0 m c X V v d D s s J n F 1 b 3 Q 7 U 2 V j d G l v b j E v S W 5 w d X R z L 0 F 1 d G 9 S Z W 1 v d m V k Q 2 9 s d W 1 u c z E u e 1 d U V z A w N 1 B O L D E z N H 0 m c X V v d D s s J n F 1 b 3 Q 7 U 2 V j d G l v b j E v S W 5 w d X R z L 0 F 1 d G 9 S Z W 1 v d m V k Q 2 9 s d W 1 u c z E u e 1 d U V z A w O F B O L D E z N X 0 m c X V v d D s s J n F 1 b 3 Q 7 U 2 V j d G l v b j E v S W 5 w d X R z L 0 F 1 d G 9 S Z W 1 v d m V k Q 2 9 s d W 1 u c z E u e 0 J O M T E w M C w x M z Z 9 J n F 1 b 3 Q 7 L C Z x d W 9 0 O 1 N l Y 3 R p b 2 4 x L 0 l u c H V 0 c y 9 B d X R v U m V t b 3 Z l Z E N v b H V t b n M x L n t C T j E y M D Q s M T M 3 f S Z x d W 9 0 O y w m c X V v d D t T Z W N 0 a W 9 u M S 9 J b n B 1 d H M v Q X V 0 b 1 J l b W 9 2 Z W R D b 2 x 1 b W 5 z M S 5 7 Q k 4 x M j A w L D E z O H 0 m c X V v d D s s J n F 1 b 3 Q 7 U 2 V j d G l v b j E v S W 5 w d X R z L 0 F 1 d G 9 S Z W 1 v d m V k Q 2 9 s d W 1 u c z E u e 0 J O M T I w O C w x M z l 9 J n F 1 b 3 Q 7 L C Z x d W 9 0 O 1 N l Y 3 R p b 2 4 x L 0 l u c H V 0 c y 9 B d X R v U m V t b 3 Z l Z E N v b H V t b n M x L n t C T j E x N T k w L D E 0 M H 0 m c X V v d D s s J n F 1 b 3 Q 7 U 2 V j d G l v b j E v S W 5 w d X R z L 0 F 1 d G 9 S Z W 1 v d m V k Q 2 9 s d W 1 u c z E u e 0 J O M T E z M D B D Q V A s M T Q x f S Z x d W 9 0 O y w m c X V v d D t T Z W N 0 a W 9 u M S 9 J b n B 1 d H M v Q X V 0 b 1 J l b W 9 2 Z W R D b 2 x 1 b W 5 z M S 5 7 Q k 4 x M D k w M E N B U C w x N D J 9 J n F 1 b 3 Q 7 L C Z x d W 9 0 O 1 N l Y 3 R p b 2 4 x L 0 l u c H V 0 c y 9 B d X R v U m V t b 3 Z l Z E N v b H V t b n M x L n t C T j E x M D M w Q 0 F Q L D E 0 M 3 0 m c X V v d D s s J n F 1 b 3 Q 7 U 2 V j d G l v b j E v S W 5 w d X R z L 0 F 1 d G 9 S Z W 1 v d m V k Q 2 9 s d W 1 u c z E u e 0 J O M T E 2 M D A s M T Q 0 f S Z x d W 9 0 O y w m c X V v d D t T Z W N 0 a W 9 u M S 9 J b n B 1 d H M v Q X V 0 b 1 J l b W 9 2 Z W R D b 2 x 1 b W 5 z M S 5 7 Q k 4 x M T Y x M C w x N D V 9 J n F 1 b 3 Q 7 L C Z x d W 9 0 O 1 N l Y 3 R p b 2 4 x L 0 l u c H V 0 c y 9 B d X R v U m V t b 3 Z l Z E N v b H V t b n M x L n t C T j E x N j I w L D E 0 N n 0 m c X V v d D s s J n F 1 b 3 Q 7 U 2 V j d G l v b j E v S W 5 w d X R z L 0 F 1 d G 9 S Z W 1 v d m V k Q 2 9 s d W 1 u c z E u e 0 J O M T E z O T A s M T Q 3 f S Z x d W 9 0 O y w m c X V v d D t T Z W N 0 a W 9 u M S 9 J b n B 1 d H M v Q X V 0 b 1 J l b W 9 2 Z W R D b 2 x 1 b W 5 z M S 5 7 Q k 4 x M D k 5 M C w x N D h 9 J n F 1 b 3 Q 7 L C Z x d W 9 0 O 1 N l Y 3 R p b 2 4 x L 0 l u c H V 0 c y 9 B d X R v U m V t b 3 Z l Z E N v b H V t b n M x L n t C T j E x M D k w L D E 0 O X 0 m c X V v d D s s J n F 1 b 3 Q 7 U 2 V j d G l v b j E v S W 5 w d X R z L 0 F 1 d G 9 S Z W 1 v d m V k Q 2 9 s d W 1 u c z E u e 0 J C M T M w M D A s M T U w f S Z x d W 9 0 O y w m c X V v d D t T Z W N 0 a W 9 u M S 9 J b n B 1 d H M v Q X V 0 b 1 J l b W 9 2 Z W R D b 2 x 1 b W 5 z M S 5 7 Q k I x M z A x M C w x N T F 9 J n F 1 b 3 Q 7 L C Z x d W 9 0 O 1 N l Y 3 R p b 2 4 x L 0 l u c H V 0 c y 9 B d X R v U m V t b 3 Z l Z E N v b H V t b n M x L n t C Q j E z M D I w L D E 1 M n 0 m c X V v d D s s J n F 1 b 3 Q 7 U 2 V j d G l v b j E v S W 5 w d X R z L 0 F 1 d G 9 S Z W 1 v d m V k Q 2 9 s d W 1 u c z E u e 0 J C M T M w M z A s M T U z f S Z x d W 9 0 O y w m c X V v d D t T Z W N 0 a W 9 u M S 9 J b n B 1 d H M v Q X V 0 b 1 J l b W 9 2 Z W R D b 2 x 1 b W 5 z M S 5 7 Q k I x M z A 0 M C w x N T R 9 J n F 1 b 3 Q 7 L C Z x d W 9 0 O 1 N l Y 3 R p b 2 4 x L 0 l u c H V 0 c y 9 B d X R v U m V t b 3 Z l Z E N v b H V t b n M x L n t C Q j E z M D U w L D E 1 N X 0 m c X V v d D s s J n F 1 b 3 Q 7 U 2 V j d G l v b j E v S W 5 w d X R z L 0 F 1 d G 9 S Z W 1 v d m V k Q 2 9 s d W 1 u c z E u e 0 J C M T M w N j A s M T U 2 f S Z x d W 9 0 O y w m c X V v d D t T Z W N 0 a W 9 u M S 9 J b n B 1 d H M v Q X V 0 b 1 J l b W 9 2 Z W R D b 2 x 1 b W 5 z M S 5 7 Q k I x M z A 3 M C w x N T d 9 J n F 1 b 3 Q 7 L C Z x d W 9 0 O 1 N l Y 3 R p b 2 4 x L 0 l u c H V 0 c y 9 B d X R v U m V t b 3 Z l Z E N v b H V t b n M x L n t C T j Q 4 N z A s M T U 4 f S Z x d W 9 0 O y w m c X V v d D t T Z W N 0 a W 9 u M S 9 J b n B 1 d H M v Q X V 0 b 1 J l b W 9 2 Z W R D b 2 x 1 b W 5 z M S 5 7 Q k 4 y M j E w L D E 1 O X 0 m c X V v d D s s J n F 1 b 3 Q 7 U 2 V j d G l v b j E v S W 5 w d X R z L 0 F 1 d G 9 S Z W 1 v d m V k Q 2 9 s d W 1 u c z E u e 0 J O M j I w M C w x N j B 9 J n F 1 b 3 Q 7 L C Z x d W 9 0 O 1 N l Y 3 R p b 2 4 x L 0 l u c H V 0 c y 9 B d X R v U m V t b 3 Z l Z E N v b H V t b n M x L n t C T j I y M j E s M T Y x f S Z x d W 9 0 O y w m c X V v d D t T Z W N 0 a W 9 u M S 9 J b n B 1 d H M v Q X V 0 b 1 J l b W 9 2 Z W R D b 2 x 1 b W 5 z M S 5 7 Q k 4 y N T k w L D E 2 M n 0 m c X V v d D s s J n F 1 b 3 Q 7 U 2 V j d G l v b j E v S W 5 w d X R z L 0 F 1 d G 9 S Z W 1 v d m V k Q 2 9 s d W 1 u c z E u e 1 N Z U z A z L D E 2 M 3 0 m c X V v d D s s J n F 1 b 3 Q 7 U 2 V j d G l v b j E v S W 5 w d X R z L 0 F 1 d G 9 S Z W 1 v d m V k Q 2 9 s d W 1 u c z E u e 0 J N O T A y R U N X V y w x N j R 9 J n F 1 b 3 Q 7 L C Z x d W 9 0 O 1 N l Y 3 R p b 2 4 x L 0 l u c H V 0 c y 9 B d X R v U m V t b 3 Z l Z E N v b H V t b n M x L n t C T T k w M k V D T l A s M T Y 1 f S Z x d W 9 0 O y w m c X V v d D t T Z W N 0 a W 9 u M S 9 J b n B 1 d H M v Q X V 0 b 1 J l b W 9 2 Z W R D b 2 x 1 b W 5 z M S 5 7 Q k 0 x M D J F Q 1 d S L D E 2 N n 0 m c X V v d D s s J n F 1 b 3 Q 7 U 2 V j d G l v b j E v S W 5 w d X R z L 0 F 1 d G 9 S Z W 1 v d m V k Q 2 9 s d W 1 u c z E u e 0 J O M T U w M C w x N j d 9 J n F 1 b 3 Q 7 L C Z x d W 9 0 O 1 N l Y 3 R p b 2 4 x L 0 l u c H V 0 c y 9 B d X R v U m V t b 3 Z l Z E N v b H V t b n M x L n t C T j E 1 M D E s M T Y 4 f S Z x d W 9 0 O y w m c X V v d D t T Z W N 0 a W 9 u M S 9 J b n B 1 d H M v Q X V 0 b 1 J l b W 9 2 Z W R D b 2 x 1 b W 5 z M S 5 7 Q k 4 0 O D M w U y w x N j l 9 J n F 1 b 3 Q 7 L C Z x d W 9 0 O 1 N l Y 3 R p b 2 4 x L 0 l u c H V 0 c y 9 B d X R v U m V t b 3 Z l Z E N v b H V t b n M x L n t C T j E w M D B f Q 0 E y M l 9 B L D E 3 M H 0 m c X V v d D s s J n F 1 b 3 Q 7 U 2 V j d G l v b j E v S W 5 w d X R z L 0 F 1 d G 9 S Z W 1 v d m V k Q 2 9 s d W 1 u c z E u e 0 J O M T A w M F B S T V 9 D Q T I y X 0 E s M T c x f S Z x d W 9 0 O y w m c X V v d D t T Z W N 0 a W 9 u M S 9 J b n B 1 d H M v Q X V 0 b 1 J l b W 9 2 Z W R D b 2 x 1 b W 5 z M S 5 7 Q k 4 y M z A w X 0 N B M j J f Q S w x N z J 9 J n F 1 b 3 Q 7 L C Z x d W 9 0 O 1 N l Y 3 R p b 2 4 x L 0 l u c H V 0 c y 9 B d X R v U m V t b 3 Z l Z E N v b H V t b n M x L n t C T j I z M D V f Q 0 E y M l 9 B L D E 3 M 3 0 m c X V v d D s s J n F 1 b 3 Q 7 U 2 V j d G l v b j E v S W 5 w d X R z L 0 F 1 d G 9 S Z W 1 v d m V k Q 2 9 s d W 1 u c z E u e 0 J O M j M x M F 9 D Q T I y X 0 E s M T c 0 f S Z x d W 9 0 O y w m c X V v d D t T Z W N 0 a W 9 u M S 9 J b n B 1 d H M v Q X V 0 b 1 J l b W 9 2 Z W R D b 2 x 1 b W 5 z M S 5 7 Q k 4 y M z E 1 X 0 N B M j J f Q S w x N z V 9 J n F 1 b 3 Q 7 L C Z x d W 9 0 O 1 N l Y 3 R p b 2 4 x L 0 l u c H V 0 c y 9 B d X R v U m V t b 3 Z l Z E N v b H V t b n M x L n t C T j I z M j V f Q 0 E y M l 9 B L D E 3 N n 0 m c X V v d D s s J n F 1 b 3 Q 7 U 2 V j d G l v b j E v S W 5 w d X R z L 0 F 1 d G 9 S Z W 1 v d m V k Q 2 9 s d W 1 u c z E u e 0 J O M j M y N 1 9 D Q T I y X 0 E s M T c 3 f S Z x d W 9 0 O y w m c X V v d D t T Z W N 0 a W 9 u M S 9 J b n B 1 d H M v Q X V 0 b 1 J l b W 9 2 Z W R D b 2 x 1 b W 5 z M S 5 7 Q k 4 y M z Q 1 Q V 9 D Q T I y X 0 E s M T c 4 f S Z x d W 9 0 O y w m c X V v d D t T Z W N 0 a W 9 u M S 9 J b n B 1 d H M v Q X V 0 b 1 J l b W 9 2 Z W R D b 2 x 1 b W 5 z M S 5 7 Q k 4 0 M D A w L D E 3 O X 0 m c X V v d D s s J n F 1 b 3 Q 7 U 2 V j d G l v b j E v S W 5 w d X R z L 0 F 1 d G 9 S Z W 1 v d m V k Q 2 9 s d W 1 u c z E u e 0 J O N D A w M S w x O D B 9 J n F 1 b 3 Q 7 L C Z x d W 9 0 O 1 N l Y 3 R p b 2 4 x L 0 l u c H V 0 c y 9 B d X R v U m V t b 3 Z l Z E N v b H V t b n M x L n t C T j Q w M D I s M T g x f S Z x d W 9 0 O y w m c X V v d D t T Z W N 0 a W 9 u M S 9 J b n B 1 d H M v Q X V 0 b 1 J l b W 9 2 Z W R D b 2 x 1 b W 5 z M S 5 7 Q k 4 0 M D E z L D E 4 M n 0 m c X V v d D s s J n F 1 b 3 Q 7 U 2 V j d G l v b j E v S W 5 w d X R z L 0 F 1 d G 9 S Z W 1 v d m V k Q 2 9 s d W 1 u c z E u e 0 J O N D A x N C w x O D N 9 J n F 1 b 3 Q 7 L C Z x d W 9 0 O 1 N l Y 3 R p b 2 4 x L 0 l u c H V 0 c y 9 B d X R v U m V t b 3 Z l Z E N v b H V t b n M x L n t C T j Q 1 M D A s M T g 0 f S Z x d W 9 0 O y w m c X V v d D t T Z W N 0 a W 9 u M S 9 J b n B 1 d H M v Q X V 0 b 1 J l b W 9 2 Z W R D b 2 x 1 b W 5 z M S 5 7 Q k 4 0 N T A x L D E 4 N X 0 m c X V v d D s s J n F 1 b 3 Q 7 U 2 V j d G l v b j E v S W 5 w d X R z L 0 F 1 d G 9 S Z W 1 v d m V k Q 2 9 s d W 1 u c z E u e 0 J O N D U w O S w x O D Z 9 J n F 1 b 3 Q 7 L C Z x d W 9 0 O 1 N l Y 3 R p b 2 4 x L 0 l u c H V 0 c y 9 B d X R v U m V t b 3 Z l Z E N v b H V t b n M x L n t C T j Q 1 M T A s M T g 3 f S Z x d W 9 0 O y w m c X V v d D t T Z W N 0 a W 9 u M S 9 J b n B 1 d H M v Q X V 0 b 1 J l b W 9 2 Z W R D b 2 x 1 b W 5 z M S 5 7 Q k 4 y M T A w T V R P L D E 4 O H 0 m c X V v d D s s J n F 1 b 3 Q 7 U 2 V j d G l v b j E v S W 5 w d X R z L 0 F 1 d G 9 S Z W 1 v d m V k Q 2 9 s d W 1 u c z E u e 0 J O M T c 2 N S w x O D l 9 J n F 1 b 3 Q 7 L C Z x d W 9 0 O 1 N l Y 3 R p b 2 4 x L 0 l u c H V 0 c y 9 B d X R v U m V t b 3 Z l Z E N v b H V t b n M x L n t C T j E 3 N j c s M T k w f S Z x d W 9 0 O y w m c X V v d D t T Z W N 0 a W 9 u M S 9 J b n B 1 d H M v Q X V 0 b 1 J l b W 9 2 Z W R D b 2 x 1 b W 5 z M S 5 7 Q k 4 y M T Y x L D E 5 M X 0 m c X V v d D s s J n F 1 b 3 Q 7 U 2 V j d G l v b j E v S W 5 w d X R z L 0 F 1 d G 9 S Z W 1 v d m V k Q 2 9 s d W 1 u c z E u e 0 J O M j E w M C w x O T J 9 J n F 1 b 3 Q 7 X S w m c X V v d D t S Z W x h d G l v b n N o a X B J b m Z v J n F 1 b 3 Q 7 O l t d f S I g L z 4 8 L 1 N 0 Y W J s Z U V u d H J p Z X M + P C 9 J d G V t P j x J d G V t P j x J d G V t T G 9 j Y X R p b 2 4 + P E l 0 Z W 1 U e X B l P k Z v c m 1 1 b G E 8 L 0 l 0 Z W 1 U e X B l P j x J d G V t U G F 0 a D 5 T Z W N 0 a W 9 u M S 9 J d G V t R G V z Y 3 J p c H R p b 2 5 z P C 9 J d G V t U G F 0 a D 4 8 L 0 l 0 Z W 1 M b 2 N h d G l v b j 4 8 U 3 R h Y m x l R W 5 0 c m l l c z 4 8 R W 5 0 c n k g V H l w Z T 0 i R m l s b E N v d W 5 0 I i B W Y W x 1 Z T 0 i b D A i I C 8 + P E V u d H J 5 I F R 5 c G U 9 I k 5 h d m l n Y X R p b 2 5 T d G V w T m F t Z S I g V m F s d W U 9 I n N O Y X Z p Z 2 F 0 a W 9 u I i A v P j x F b n R y e S B U e X B l P S J G a W x s R X J y b 3 J D b 2 R l I i B W Y W x 1 Z T 0 i c 1 V u a 2 5 v d 2 4 i I C 8 + P E V u d H J 5 I F R 5 c G U 9 I k Z p b G x F b m F i b G V k I i B W Y W x 1 Z T 0 i b D A i I C 8 + P E V u d H J 5 I F R 5 c G U 9 I k Z p b G x F c n J v c k N v d W 5 0 I i B W Y W x 1 Z T 0 i b D A i I C 8 + P E V u d H J 5 I F R 5 c G U 9 I k Z p b G x M Y X N 0 V X B k Y X R l Z C I g V m F s d W U 9 I m Q y M D I 0 L T A y L T E y V D E x O j M 3 O j I 5 L j A 0 O T I 3 N j B a I i A v P j x F b n R y e S B U e X B l P S J G a W x s Q 2 9 s d W 1 u V H l w Z X M i I F Z h b H V l P S J z Q m d Z P S I g L z 4 8 R W 5 0 c n k g V H l w Z T 0 i R m l s b G V k Q 2 9 t c G x l d G V S Z X N 1 b H R U b 1 d v c m t z a G V l d C I g V m F s d W U 9 I m w x I i A v P j x F b n R y e S B U e X B l P S J G a W x s Q 2 9 s d W 1 u T m F t Z X M i I F Z h b H V l P S J z W y Z x d W 9 0 O 0 l 0 Z W 0 g Q 2 9 k Z S Z x d W 9 0 O y w m c X V v d D t J d G V t I E R l c 2 N y a X B 0 a W 9 u J n F 1 b 3 Q 7 X S I g L z 4 8 R W 5 0 c n k g V H l w Z T 0 i R m l s b F R v R G F 0 Y U 1 v Z G V s R W 5 h Y m x l Z C I g V m F s d W U 9 I m w w I i A v P j x F b n R y e S B U e X B l P S J J c 1 B y a X Z h d G U i I F Z h b H V l P S J s M C I g L z 4 8 R W 5 0 c n k g V H l w Z T 0 i U X V l c n l J R C I g V m F s d W U 9 I n N i M G E 0 M z Y 5 Z S 0 0 Y z I z L T R i Y W U t O G M 4 Z i 0 x N z U 1 Z T Y 2 N m I 2 N D Q i I C 8 + P E V u d H J 5 I F R 5 c G U 9 I k Z p b G x T d G F 0 d X M i I F Z h b H V l P S J z V 2 F p d G l u Z 0 Z v c k V 4 Y 2 V s U m V m c m V z a C I g L z 4 8 R W 5 0 c n k g V H l w Z T 0 i T m F t Z V V w Z G F 0 Z W R B Z n R l c k Z p b G w i I F Z h b H V l P S J s M C I g L z 4 8 R W 5 0 c n k g V H l w Z T 0 i Q n V m Z m V y T m V 4 d F J l Z n J l c 2 g i I F Z h b H V l P S J s M S I g L z 4 8 R W 5 0 c n k g V H l w Z T 0 i R m l s b E 9 i a m V j d F R 5 c G U i I F Z h b H V l P S J z Q 2 9 u b m V j d G l v b k 9 u b H k i I C 8 + P E V u d H J 5 I F R 5 c G U 9 I l J l c 3 V s d F R 5 c G U i I F Z h b H V l P S J z R X h j Z X B 0 a W 9 u I i A v P j x F b n R y e S B U e X B l P S J B Z G R l Z F R v R G F 0 Y U 1 v Z G V s I i B W Y W x 1 Z T 0 i b D A i I C 8 + P E V u d H J 5 I F R 5 c G U 9 I l J l b G F 0 a W 9 u c 2 h p c E l u Z m 9 D b 2 5 0 Y W l u Z X I i I F Z h b H V l P S J z e y Z x d W 9 0 O 2 N v b H V t b k N v d W 5 0 J n F 1 b 3 Q 7 O j I s J n F 1 b 3 Q 7 a 2 V 5 Q 2 9 s d W 1 u T m F t Z X M m c X V v d D s 6 W 1 0 s J n F 1 b 3 Q 7 c X V l c n l S Z W x h d G l v b n N o a X B z J n F 1 b 3 Q 7 O l t d L C Z x d W 9 0 O 2 N v b H V t b k l k Z W 5 0 a X R p Z X M m c X V v d D s 6 W y Z x d W 9 0 O 1 N l Y 3 R p b 2 4 x L 0 l 0 Z W 1 E Z X N j c m l w d G l v b n M v Q X V 0 b 1 J l b W 9 2 Z W R D b 2 x 1 b W 5 z M S 5 7 S X R l b S B D b 2 R l L D B 9 J n F 1 b 3 Q 7 L C Z x d W 9 0 O 1 N l Y 3 R p b 2 4 x L 0 l 0 Z W 1 E Z X N j c m l w d G l v b n M v Q X V 0 b 1 J l b W 9 2 Z W R D b 2 x 1 b W 5 z M S 5 7 S X R l b S B E Z X N j c m l w d G l v b i w x f S Z x d W 9 0 O 1 0 s J n F 1 b 3 Q 7 Q 2 9 s d W 1 u Q 2 9 1 b n Q m c X V v d D s 6 M i w m c X V v d D t L Z X l D b 2 x 1 b W 5 O Y W 1 l c y Z x d W 9 0 O z p b X S w m c X V v d D t D b 2 x 1 b W 5 J Z G V u d G l 0 a W V z J n F 1 b 3 Q 7 O l s m c X V v d D t T Z W N 0 a W 9 u M S 9 J d G V t R G V z Y 3 J p c H R p b 2 5 z L 0 F 1 d G 9 S Z W 1 v d m V k Q 2 9 s d W 1 u c z E u e 0 l 0 Z W 0 g Q 2 9 k Z S w w f S Z x d W 9 0 O y w m c X V v d D t T Z W N 0 a W 9 u M S 9 J d G V t R G V z Y 3 J p c H R p b 2 5 z L 0 F 1 d G 9 S Z W 1 v d m V k Q 2 9 s d W 1 u c z E u e 0 l 0 Z W 0 g R G V z Y 3 J p c H R p b 2 4 s M X 0 m c X V v d D t d L C Z x d W 9 0 O 1 J l b G F 0 a W 9 u c 2 h p c E l u Z m 8 m c X V v d D s 6 W 1 1 9 I i A v P j w v U 3 R h Y m x l R W 5 0 c m l l c z 4 8 L 0 l 0 Z W 0 + P E l 0 Z W 0 + P E l 0 Z W 1 M b 2 N h d G l v b j 4 8 S X R l b V R 5 c G U + R m 9 y b X V s Y T w v S X R l b V R 5 c G U + P E l 0 Z W 1 Q Y X R o P l N l Y 3 R p b 2 4 x L 0 l u c H V 0 c y 9 T b 3 V y Y 2 U 8 L 0 l 0 Z W 1 Q Y X R o P j w v S X R l b U x v Y 2 F 0 a W 9 u P j x T d G F i b G V F b n R y a W V z I C 8 + P C 9 J d G V t P j x J d G V t P j x J d G V t T G 9 j Y X R p b 2 4 + P E l 0 Z W 1 U e X B l P k Z v c m 1 1 b G E 8 L 0 l 0 Z W 1 U e X B l P j x J d G V t U G F 0 a D 5 T Z W N 0 a W 9 u M S 9 J b n B 1 d H M v U H J v b W 9 0 Z W Q l M j B I Z W F k Z X J z P C 9 J d G V t U G F 0 a D 4 8 L 0 l 0 Z W 1 M b 2 N h d G l v b j 4 8 U 3 R h Y m x l R W 5 0 c m l l c y A v P j w v S X R l b T 4 8 S X R l b T 4 8 S X R l b U x v Y 2 F 0 a W 9 u P j x J d G V t V H l w Z T 5 G b 3 J t d W x h P C 9 J d G V t V H l w Z T 4 8 S X R l b V B h d G g + U 2 V j d G l v b j E v S W 5 w d X R z L 0 N o Y W 5 n Z W Q l M j B U e X B l P C 9 J d G V t U G F 0 a D 4 8 L 0 l 0 Z W 1 M b 2 N h d G l v b j 4 8 U 3 R h Y m x l R W 5 0 c m l l c y A v P j w v S X R l b T 4 8 S X R l b T 4 8 S X R l b U x v Y 2 F 0 a W 9 u P j x J d G V t V H l w Z T 5 G b 3 J t d W x h P C 9 J d G V t V H l w Z T 4 8 S X R l b V B h d G g + U 2 V j d G l v b j E v S W 5 w d X R z L 1 J l b W 9 2 Z W Q l M j B D b 2 x 1 b W 5 z P C 9 J d G V t U G F 0 a D 4 8 L 0 l 0 Z W 1 M b 2 N h d G l v b j 4 8 U 3 R h Y m x l R W 5 0 c m l l c y A v P j w v S X R l b T 4 8 S X R l b T 4 8 S X R l b U x v Y 2 F 0 a W 9 u P j x J d G V t V H l w Z T 5 G b 3 J t d W x h P C 9 J d G V t V H l w Z T 4 8 S X R l b V B h d G g + U 2 V j d G l v b j E v S W 5 w d X R z L 1 V u c G l 2 b 3 R l Z C U y M E 9 0 a G V y J T I w Q 2 9 s d W 1 u c z w v S X R l b V B h d G g + P C 9 J d G V t T G 9 j Y X R p b 2 4 + P F N 0 Y W J s Z U V u d H J p Z X M g L z 4 8 L 0 l 0 Z W 0 + P E l 0 Z W 0 + P E l 0 Z W 1 M b 2 N h d G l v b j 4 8 S X R l b V R 5 c G U + R m 9 y b X V s Y T w v S X R l b V R 5 c G U + P E l 0 Z W 1 Q Y X R o P l N l Y 3 R p b 2 4 x L 0 l u c H V 0 c y 9 S Z W 5 h b W V k J T I w Q 2 9 s d W 1 u c z w v S X R l b V B h d G g + P C 9 J d G V t T G 9 j Y X R p b 2 4 + P F N 0 Y W J s Z U V u d H J p Z X M g L z 4 8 L 0 l 0 Z W 0 + P E l 0 Z W 0 + P E l 0 Z W 1 M b 2 N h d G l v b j 4 8 S X R l b V R 5 c G U + R m 9 y b X V s Y T w v S X R l b V R 5 c G U + P E l 0 Z W 1 Q Y X R o P l N l Y 3 R p b 2 4 x L 0 l u c H V 0 c y 9 B Z G R l Z C U y M E N v b m R p d G l v b m F s J T I w Q 2 9 s d W 1 u P C 9 J d G V t U G F 0 a D 4 8 L 0 l 0 Z W 1 M b 2 N h d G l v b j 4 8 U 3 R h Y m x l R W 5 0 c m l l c y A v P j w v S X R l b T 4 8 S X R l b T 4 8 S X R l b U x v Y 2 F 0 a W 9 u P j x J d G V t V H l w Z T 5 G b 3 J t d W x h P C 9 J d G V t V H l w Z T 4 8 S X R l b V B h d G g + U 2 V j d G l v b j E v S W 5 w d X R z L 1 J l b W 9 2 Z W Q l M j B D b 2 x 1 b W 5 z M T w v S X R l b V B h d G g + P C 9 J d G V t T G 9 j Y X R p b 2 4 + P F N 0 Y W J s Z U V u d H J p Z X M g L z 4 8 L 0 l 0 Z W 0 + P E l 0 Z W 0 + P E l 0 Z W 1 M b 2 N h d G l v b j 4 8 S X R l b V R 5 c G U + R m 9 y b X V s Y T w v S X R l b V R 5 c G U + P E l 0 Z W 1 Q Y X R o P l N l Y 3 R p b 2 4 x L 0 l u c H V 0 c y 9 U Y W J s Z T A 8 L 0 l 0 Z W 1 Q Y X R o P j w v S X R l b U x v Y 2 F 0 a W 9 u P j x T d G F i b G V F b n R y a W V z I C 8 + P C 9 J d G V t P j x J d G V t P j x J d G V t T G 9 j Y X R p b 2 4 + P E l 0 Z W 1 U e X B l P k Z v c m 1 1 b G E 8 L 0 l 0 Z W 1 U e X B l P j x J d G V t U G F 0 a D 5 T Z W N 0 a W 9 u M S 9 J b n B 1 d H M v Q 2 h h b m d l Z C U y M F R 5 c G U x P C 9 J d G V t U G F 0 a D 4 8 L 0 l 0 Z W 1 M b 2 N h d G l v b j 4 8 U 3 R h Y m x l R W 5 0 c m l l c y A v P j w v S X R l b T 4 8 S X R l b T 4 8 S X R l b U x v Y 2 F 0 a W 9 u P j x J d G V t V H l w Z T 5 G b 3 J t d W x h P C 9 J d G V t V H l w Z T 4 8 S X R l b V B h d G g + U 2 V j d G l v b j E v S W 5 w d X R z L 1 J l b W 9 2 Z W Q l M j B D b 2 x 1 b W 5 z M j w v S X R l b V B h d G g + P C 9 J d G V t T G 9 j Y X R p b 2 4 + P F N 0 Y W J s Z U V u d H J p Z X M g L z 4 8 L 0 l 0 Z W 0 + P E l 0 Z W 0 + P E l 0 Z W 1 M b 2 N h d G l v b j 4 8 S X R l b V R 5 c G U + R m 9 y b X V s Y T w v S X R l b V R 5 c G U + P E l 0 Z W 1 Q Y X R o P l N l Y 3 R p b 2 4 x L 0 l u c H V 0 c y 9 S Z X B s Y W N l Z C U y M F Z h b H V l P C 9 J d G V t U G F 0 a D 4 8 L 0 l 0 Z W 1 M b 2 N h d G l v b j 4 8 U 3 R h Y m x l R W 5 0 c m l l c y A v P j w v S X R l b T 4 8 S X R l b T 4 8 S X R l b U x v Y 2 F 0 a W 9 u P j x J d G V t V H l w Z T 5 G b 3 J t d W x h P C 9 J d G V t V H l w Z T 4 8 S X R l b V B h d G g + U 2 V j d G l v b j E v S W 5 w d X R z L 1 J l c G x h Y 2 V k J T I w V m F s d W U x P C 9 J d G V t U G F 0 a D 4 8 L 0 l 0 Z W 1 M b 2 N h d G l v b j 4 8 U 3 R h Y m x l R W 5 0 c m l l c y A v P j w v S X R l b T 4 8 S X R l b T 4 8 S X R l b U x v Y 2 F 0 a W 9 u P j x J d G V t V H l w Z T 5 G b 3 J t d W x h P C 9 J d G V t V H l w Z T 4 8 S X R l b V B h d G g + U 2 V j d G l v b j E v S W 5 w d X R z L 1 J l c G x h Y 2 V k J T I w V m F s d W U y P C 9 J d G V t U G F 0 a D 4 8 L 0 l 0 Z W 1 M b 2 N h d G l v b j 4 8 U 3 R h Y m x l R W 5 0 c m l l c y A v P j w v S X R l b T 4 8 S X R l b T 4 8 S X R l b U x v Y 2 F 0 a W 9 u P j x J d G V t V H l w Z T 5 G b 3 J t d W x h P C 9 J d G V t V H l w Z T 4 8 S X R l b V B h d G g + U 2 V j d G l v b j E v S W 5 w d X R z L 0 N o Y W 5 n Z W Q l M j B U e X B l M j w v S X R l b V B h d G g + P C 9 J d G V t T G 9 j Y X R p b 2 4 + P F N 0 Y W J s Z U V u d H J p Z X M g L z 4 8 L 0 l 0 Z W 0 + P E l 0 Z W 0 + P E l 0 Z W 1 M b 2 N h d G l v b j 4 8 S X R l b V R 5 c G U + R m 9 y b X V s Y T w v S X R l b V R 5 c G U + P E l 0 Z W 1 Q Y X R o P l N l Y 3 R p b 2 4 x L 0 l u c H V 0 c y 9 S Z W 1 v d m V k J T I w Q 2 9 s d W 1 u c z M 8 L 0 l 0 Z W 1 Q Y X R o P j w v S X R l b U x v Y 2 F 0 a W 9 u P j x T d G F i b G V F b n R y a W V z I C 8 + P C 9 J d G V t P j x J d G V t P j x J d G V t T G 9 j Y X R p b 2 4 + P E l 0 Z W 1 U e X B l P k Z v c m 1 1 b G E 8 L 0 l 0 Z W 1 U e X B l P j x J d G V t U G F 0 a D 5 T Z W N 0 a W 9 u M S 9 J b n B 1 d H M v U G l 2 b 3 R l Z C U y M E N v b H V t b j w v S X R l b V B h d G g + P C 9 J d G V t T G 9 j Y X R p b 2 4 + P F N 0 Y W J s Z U V u d H J p Z X M g L z 4 8 L 0 l 0 Z W 0 + P E l 0 Z W 0 + P E l 0 Z W 1 M b 2 N h d G l v b j 4 8 S X R l b V R 5 c G U + R m 9 y b X V s Y T w v S X R l b V R 5 c G U + P E l 0 Z W 1 Q Y X R o P l N l Y 3 R p b 2 4 x L 0 l u c H V 0 c y 9 B Z G R l Z C U y M E N v b m R p d G l v b m F s J T I w Q 2 9 s d W 1 u M T w v S X R l b V B h d G g + P C 9 J d G V t T G 9 j Y X R p b 2 4 + P F N 0 Y W J s Z U V u d H J p Z X M g L z 4 8 L 0 l 0 Z W 0 + P E l 0 Z W 0 + P E l 0 Z W 1 M b 2 N h d G l v b j 4 8 S X R l b V R 5 c G U + R m 9 y b X V s Y T w v S X R l b V R 5 c G U + P E l 0 Z W 1 Q Y X R o P l N l Y 3 R p b 2 4 x L 0 l u c H V 0 c y 9 T b 3 J 0 Z W Q l M j B i e S U y M G N v b X B h b n k 8 L 0 l 0 Z W 1 Q Y X R o P j w v S X R l b U x v Y 2 F 0 a W 9 u P j x T d G F i b G V F b n R y a W V z I C 8 + P C 9 J d G V t P j x J d G V t P j x J d G V t T G 9 j Y X R p b 2 4 + P E l 0 Z W 1 U e X B l P k Z v c m 1 1 b G E 8 L 0 l 0 Z W 1 U e X B l P j x J d G V t U G F 0 a D 5 T Z W N 0 a W 9 u M S 9 J b n B 1 d H M v U m V t b 3 Z l Z C U y M E N v b H V t b n M 0 P C 9 J d G V t U G F 0 a D 4 8 L 0 l 0 Z W 1 M b 2 N h d G l v b j 4 8 U 3 R h Y m x l R W 5 0 c m l l c y A v P j w v S X R l b T 4 8 S X R l b T 4 8 S X R l b U x v Y 2 F 0 a W 9 u P j x J d G V t V H l w Z T 5 G b 3 J t d W x h P C 9 J d G V t V H l w Z T 4 8 S X R l b V B h d G g + U 2 V j d G l v b j E v S W 5 w d X R z L 1 J l b m F t Z W Q l M j B D b 2 x 1 b W 5 z M T w v S X R l b V B h d G g + P C 9 J d G V t T G 9 j Y X R p b 2 4 + P F N 0 Y W J s Z U V u d H J p Z X M g L z 4 8 L 0 l 0 Z W 0 + P E l 0 Z W 0 + P E l 0 Z W 1 M b 2 N h d G l v b j 4 8 S X R l b V R 5 c G U + R m 9 y b X V s Y T w v S X R l b V R 5 c G U + P E l 0 Z W 1 Q Y X R o P l N l Y 3 R p b 2 4 x L 0 l 0 Z W 1 E Z X N j c m l w d G l v b n M v U 2 9 1 c m N l P C 9 J d G V t U G F 0 a D 4 8 L 0 l 0 Z W 1 M b 2 N h d G l v b j 4 8 U 3 R h Y m x l R W 5 0 c m l l c y A v P j w v S X R l b T 4 8 S X R l b T 4 8 S X R l b U x v Y 2 F 0 a W 9 u P j x J d G V t V H l w Z T 5 G b 3 J t d W x h P C 9 J d G V t V H l w Z T 4 8 S X R l b V B h d G g + U 2 V j d G l v b j E v S X R l b U R l c 2 N y a X B 0 a W 9 u c y 9 U Y W J s Z T w v S X R l b V B h d G g + P C 9 J d G V t T G 9 j Y X R p b 2 4 + P F N 0 Y W J s Z U V u d H J p Z X M g L z 4 8 L 0 l 0 Z W 0 + P E l 0 Z W 0 + P E l 0 Z W 1 M b 2 N h d G l v b j 4 8 S X R l b V R 5 c G U + R m 9 y b X V s Y T w v S X R l b V R 5 c G U + P E l 0 Z W 1 Q Y X R o P l N l Y 3 R p b 2 4 x L 0 l 0 Z W 1 E Z X N j c m l w d G l v b n M v Q 2 h h b m d l Z C U y M F R 5 c G U 8 L 0 l 0 Z W 1 Q Y X R o P j w v S X R l b U x v Y 2 F 0 a W 9 u P j x T d G F i b G V F b n R y a W V z I C 8 + P C 9 J d G V t P j x J d G V t P j x J d G V t T G 9 j Y X R p b 2 4 + P E l 0 Z W 1 U e X B l P k Z v c m 1 1 b G E 8 L 0 l 0 Z W 1 U e X B l P j x J d G V t U G F 0 a D 5 T Z W N 0 a W 9 u M S 9 J d G V t R G V z Y 3 J p c H R p b 2 5 z L 1 J l b W 9 2 Z W Q l M j B D b 2 x 1 b W 5 z P C 9 J d G V t U G F 0 a D 4 8 L 0 l 0 Z W 1 M b 2 N h d G l v b j 4 8 U 3 R h Y m x l R W 5 0 c m l l c y A v P j w v S X R l b T 4 8 S X R l b T 4 8 S X R l b U x v Y 2 F 0 a W 9 u P j x J d G V t V H l w Z T 5 G b 3 J t d W x h P C 9 J d G V t V H l w Z T 4 8 S X R l b V B h d G g + U 2 V j d G l v b j E v S X R l b U R l c 2 N y a X B 0 a W 9 u c y 9 Q c m 9 t b 3 R l Z C U y M E h l Y W R l c n M 8 L 0 l 0 Z W 1 Q Y X R o P j w v S X R l b U x v Y 2 F 0 a W 9 u P j x T d G F i b G V F b n R y a W V z I C 8 + P C 9 J d G V t P j x J d G V t P j x J d G V t T G 9 j Y X R p b 2 4 + P E l 0 Z W 1 U e X B l P k Z v c m 1 1 b G E 8 L 0 l 0 Z W 1 U e X B l P j x J d G V t U G F 0 a D 5 T Z W N 0 a W 9 u M S 9 J d G V t R G V z Y 3 J p c H R p b 2 5 z L 0 N o Y W 5 n Z W Q l M j B U e X B l M T w v S X R l b V B h d G g + P C 9 J d G V t T G 9 j Y X R p b 2 4 + P F N 0 Y W J s Z U V u d H J p Z X M g L z 4 8 L 0 l 0 Z W 0 + P E l 0 Z W 0 + P E l 0 Z W 1 M b 2 N h d G l v b j 4 8 S X R l b V R 5 c G U + R m 9 y b X V s Y T w v S X R l b V R 5 c G U + P E l 0 Z W 1 Q Y X R o P l N l Y 3 R p b 2 4 x L 0 l 0 Z W 1 E Z X N j c m l w d G l v b n M v U m V t b 3 Z l Z C U y M E R 1 c G x p Y 2 F 0 Z X M 8 L 0 l 0 Z W 1 Q Y X R o P j w v S X R l b U x v Y 2 F 0 a W 9 u P j x T d G F i b G V F b n R y a W V z I C 8 + P C 9 J d G V t P j x J d G V t P j x J d G V t T G 9 j Y X R p b 2 4 + P E l 0 Z W 1 U e X B l P k Z v c m 1 1 b G E 8 L 0 l 0 Z W 1 U e X B l P j x J d G V t U G F 0 a D 5 T Z W N 0 a W 9 u M S 9 J d G V t R G V z Y 3 J p c H R p b 2 5 z L 1 J l b W 9 2 Z W Q l M j B P d G h l c i U y M E N v b H V t b n M 8 L 0 l 0 Z W 1 Q Y X R o P j w v S X R l b U x v Y 2 F 0 a W 9 u P j x T d G F i b G V F b n R y a W V z I C 8 + P C 9 J d G V t P j x J d G V t P j x J d G V t T G 9 j Y X R p b 2 4 + P E l 0 Z W 1 U e X B l P k Z v c m 1 1 b G E 8 L 0 l 0 Z W 1 U e X B l P j x J d G V t U G F 0 a D 5 T Z W N 0 a W 9 u M S 9 J b n B 1 d H M v Q k 4 y M T A w T V R P X 0 N B T E M 8 L 0 l 0 Z W 1 Q Y X R o P j w v S X R l b U x v Y 2 F 0 a W 9 u P j x T d G F i b G V F b n R y a W V z I C 8 + P C 9 J d G V t P j x J d G V t P j x J d G V t T G 9 j Y X R p b 2 4 + P E l 0 Z W 1 U e X B l P k Z v c m 1 1 b G E 8 L 0 l 0 Z W 1 U e X B l P j x J d G V t U G F 0 a D 5 T Z W N 0 a W 9 u M S 9 J b n B 1 d H M v U m V t b 3 Z l Z C U y M E N v b H V t b n M 1 P C 9 J d G V t U G F 0 a D 4 8 L 0 l 0 Z W 1 M b 2 N h d G l v b j 4 8 U 3 R h Y m x l R W 5 0 c m l l c y A v P j w v S X R l b T 4 8 S X R l b T 4 8 S X R l b U x v Y 2 F 0 a W 9 u P j x J d G V t V H l w Z T 5 G b 3 J t d W x h P C 9 J d G V t V H l w Z T 4 8 S X R l b V B h d G g + U 2 V j d G l v b j E v S W 5 w d X R z L 1 J l b m F t Z W Q l M j B D b 2 x 1 b W 5 z M j w v S X R l b V B h d G g + P C 9 J d G V t T G 9 j Y X R p b 2 4 + P F N 0 Y W J s Z U V u d H J p Z X M g L z 4 8 L 0 l 0 Z W 0 + P E l 0 Z W 0 + P E l 0 Z W 1 M b 2 N h d G l v b j 4 8 S X R l b V R 5 c G U + R m 9 y b X V s Y T w v S X R l b V R 5 c G U + P E l 0 Z W 1 Q Y X R o P l N l Y 3 R p b 2 4 x L 0 l u c H V 0 c y 9 C T j E 3 N j V f Q 0 F M Q z w v S X R l b V B h d G g + P C 9 J d G V t T G 9 j Y X R p b 2 4 + P F N 0 Y W J s Z U V u d H J p Z X M g L z 4 8 L 0 l 0 Z W 0 + P E l 0 Z W 0 + P E l 0 Z W 1 M b 2 N h d G l v b j 4 8 S X R l b V R 5 c G U + R m 9 y b X V s Y T w v S X R l b V R 5 c G U + P E l 0 Z W 1 Q Y X R o P l N l Y 3 R p b 2 4 x L 0 l u c H V 0 c y 9 S Z W 1 v d m V k J T I w Q 2 9 s d W 1 u c z Y 8 L 0 l 0 Z W 1 Q Y X R o P j w v S X R l b U x v Y 2 F 0 a W 9 u P j x T d G F i b G V F b n R y a W V z I C 8 + P C 9 J d G V t P j x J d G V t P j x J d G V t T G 9 j Y X R p b 2 4 + P E l 0 Z W 1 U e X B l P k Z v c m 1 1 b G E 8 L 0 l 0 Z W 1 U e X B l P j x J d G V t U G F 0 a D 5 T Z W N 0 a W 9 u M S 9 J b n B 1 d H M v U m V u Y W 1 l Z C U y M E N v b H V t b n M z P C 9 J d G V t U G F 0 a D 4 8 L 0 l 0 Z W 1 M b 2 N h d G l v b j 4 8 U 3 R h Y m x l R W 5 0 c m l l c y A v P j w v S X R l b T 4 8 S X R l b T 4 8 S X R l b U x v Y 2 F 0 a W 9 u P j x J d G V t V H l w Z T 5 G b 3 J t d W x h P C 9 J d G V t V H l w Z T 4 8 S X R l b V B h d G g + U 2 V j d G l v b j E v S W 5 w d X R z L 0 J O M T c 2 N 1 9 D Q U x D P C 9 J d G V t U G F 0 a D 4 8 L 0 l 0 Z W 1 M b 2 N h d G l v b j 4 8 U 3 R h Y m x l R W 5 0 c m l l c y A v P j w v S X R l b T 4 8 S X R l b T 4 8 S X R l b U x v Y 2 F 0 a W 9 u P j x J d G V t V H l w Z T 5 G b 3 J t d W x h P C 9 J d G V t V H l w Z T 4 8 S X R l b V B h d G g + U 2 V j d G l v b j E v S W 5 w d X R z L 1 J l b W 9 2 Z W Q l M j B D b 2 x 1 b W 5 z N z w v S X R l b V B h d G g + P C 9 J d G V t T G 9 j Y X R p b 2 4 + P F N 0 Y W J s Z U V u d H J p Z X M g L z 4 8 L 0 l 0 Z W 0 + P E l 0 Z W 0 + P E l 0 Z W 1 M b 2 N h d G l v b j 4 8 S X R l b V R 5 c G U + R m 9 y b X V s Y T w v S X R l b V R 5 c G U + P E l 0 Z W 1 Q Y X R o P l N l Y 3 R p b 2 4 x L 0 l u c H V 0 c y 9 S Z W 5 h b W V k J T I w Q 2 9 s d W 1 u c z Q 8 L 0 l 0 Z W 1 Q Y X R o P j w v S X R l b U x v Y 2 F 0 a W 9 u P j x T d G F i b G V F b n R y a W V z I C 8 + P C 9 J d G V t P j x J d G V t P j x J d G V t T G 9 j Y X R p b 2 4 + P E l 0 Z W 1 U e X B l P k Z v c m 1 1 b G E 8 L 0 l 0 Z W 1 U e X B l P j x J d G V t U G F 0 a D 5 T Z W N 0 a W 9 u M S 9 J b n B 1 d H M v U m V v c m R l c m V k J T I w Q 2 9 s d W 1 u c z E 8 L 0 l 0 Z W 1 Q Y X R o P j w v S X R l b U x v Y 2 F 0 a W 9 u P j x T d G F i b G V F b n R y a W V z I C 8 + P C 9 J d G V t P j x J d G V t P j x J d G V t T G 9 j Y X R p b 2 4 + P E l 0 Z W 1 U e X B l P k Z v c m 1 1 b G E 8 L 0 l 0 Z W 1 U e X B l P j x J d G V t U G F 0 a D 5 T Z W N 0 a W 9 u M S 9 J b n B 1 d H M v U m V t b 3 Z l Z C U y M E N v b H V t b n M 4 P C 9 J d G V t U G F 0 a D 4 8 L 0 l 0 Z W 1 M b 2 N h d G l v b j 4 8 U 3 R h Y m x l R W 5 0 c m l l c y A v P j w v S X R l b T 4 8 S X R l b T 4 8 S X R l b U x v Y 2 F 0 a W 9 u P j x J d G V t V H l w Z T 5 G b 3 J t d W x h P C 9 J d G V t V H l w Z T 4 8 S X R l b V B h d G g + U 2 V j d G l v b j E v S W 5 w d X R z L 1 J l b m F t Z W Q l M j B D b 2 x 1 b W 5 z N T w v S X R l b V B h d G g + P C 9 J d G V t T G 9 j Y X R p b 2 4 + P F N 0 Y W J s Z U V u d H J p Z X M g L z 4 8 L 0 l 0 Z W 0 + P E l 0 Z W 0 + P E l 0 Z W 1 M b 2 N h d G l v b j 4 8 S X R l b V R 5 c G U + R m 9 y b X V s Y T w v S X R l b V R 5 c G U + P E l 0 Z W 1 Q Y X R o P l N l Y 3 R p b 2 4 x L 0 l u c H V 0 c y 9 C T j I x N j F f Q 0 F M Q z w v S X R l b V B h d G g + P C 9 J d G V t T G 9 j Y X R p b 2 4 + P F N 0 Y W J s Z U V u d H J p Z X M g L z 4 8 L 0 l 0 Z W 0 + P E l 0 Z W 0 + P E l 0 Z W 1 M b 2 N h d G l v b j 4 8 S X R l b V R 5 c G U + R m 9 y b X V s Y T w v S X R l b V R 5 c G U + P E l 0 Z W 1 Q Y X R o P l N l Y 3 R p b 2 4 x L 0 l u c H V 0 c y 9 C T j I x M D B f Q 0 F M Q z w v S X R l b V B h d G g + P C 9 J d G V t T G 9 j Y X R p b 2 4 + P F N 0 Y W J s Z U V u d H J p Z X M g L z 4 8 L 0 l 0 Z W 0 + P E l 0 Z W 0 + P E l 0 Z W 1 M b 2 N h d G l v b j 4 8 S X R l b V R 5 c G U + R m 9 y b X V s Y T w v S X R l b V R 5 c G U + P E l 0 Z W 1 Q Y X R o P l N l Y 3 R p b 2 4 x L 0 l u c H V 0 c y 9 S Z W 1 v d m V k J T I w Q 2 9 s d W 1 u c z k 8 L 0 l 0 Z W 1 Q Y X R o P j w v S X R l b U x v Y 2 F 0 a W 9 u P j x T d G F i b G V F b n R y a W V z I C 8 + P C 9 J d G V t P j x J d G V t P j x J d G V t T G 9 j Y X R p b 2 4 + P E l 0 Z W 1 U e X B l P k Z v c m 1 1 b G E 8 L 0 l 0 Z W 1 U e X B l P j x J d G V t U G F 0 a D 5 T Z W N 0 a W 9 u M S 9 J b n B 1 d H M v U m V u Y W 1 l Z C U y M E N v b H V t b n M 2 P C 9 J d G V t U G F 0 a D 4 8 L 0 l 0 Z W 1 M b 2 N h d G l v b j 4 8 U 3 R h Y m x l R W 5 0 c m l l c y A v P j w v S X R l b T 4 8 S X R l b T 4 8 S X R l b U x v Y 2 F 0 a W 9 u P j x J d G V t V H l w Z T 5 G b 3 J t d W x h P C 9 J d G V t V H l w Z T 4 8 S X R l b V B h d G g + U 2 V j d G l v b j E v S W 5 w d X R z L 1 J l c G x h Y 2 V k J T I w V m F s d W U z P C 9 J d G V t U G F 0 a D 4 8 L 0 l 0 Z W 1 M b 2 N h d G l v b j 4 8 U 3 R h Y m x l R W 5 0 c m l l c y A v P j w v S X R l b T 4 8 S X R l b T 4 8 S X R l b U x v Y 2 F 0 a W 9 u P j x J d G V t V H l w Z T 5 G b 3 J t d W x h P C 9 J d G V t V H l w Z T 4 8 S X R l b V B h d G g + U 2 V j d G l v b j E v S W 5 w d X R z L 0 J O M T c 2 N V 9 D Q U x D M j w v S X R l b V B h d G g + P C 9 J d G V t T G 9 j Y X R p b 2 4 + P F N 0 Y W J s Z U V u d H J p Z X M g L z 4 8 L 0 l 0 Z W 0 + P E l 0 Z W 0 + P E l 0 Z W 1 M b 2 N h d G l v b j 4 8 S X R l b V R 5 c G U + R m 9 y b X V s Y T w v S X R l b V R 5 c G U + P E l 0 Z W 1 Q Y X R o P l N l Y 3 R p b 2 4 x L 0 l u c H V 0 c y 9 C T j E 3 N j d f Q 0 F M Q z I 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R l 9 P d X R w d X R z X 3 B y Z X A l M j A o U F E p P C 9 J d G V t U G F 0 a D 4 8 L 0 l 0 Z W 1 M b 2 N h d G l v b j 4 8 U 3 R h Y m x l R W 5 0 c m l l c z 4 8 R W 5 0 c n k g V H l w Z T 0 i S X N Q c m l 2 Y X R l I i B W Y W x 1 Z T 0 i b D A i I C 8 + P E V u d H J 5 I F R 5 c G U 9 I k Z p b G 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Z p b G x D b 2 x 1 b W 5 U e X B l c y I g V m F s d W U 9 I n N C Z 1 l B Q U F B Q U F B Q U F B Q U F B Q U F B P S I g L z 4 8 R W 5 0 c n k g V H l w Z T 0 i R m l s b E x h c 3 R V c G R h d G V k I i B W Y W x 1 Z T 0 i Z D I w M j Q t M D I t M T J U M T E 6 M z c 6 M z c u O D Y 5 M T Q 3 O V o i I C 8 + P E V u d H J 5 I F R 5 c G U 9 I l F 1 Z X J 5 S U Q i I F Z h b H V l P S J z M z E z Z m R k Y z k t O T Z m M y 0 0 N D c 5 L T g 4 N m E t M D F k M D E y N j I 2 Z T I 2 I i A v P j x F b n R y e S B U e X B l P S J G a W x s V G 9 E Y X R h T W 9 k Z W x F b m F i b G V k I i B W Y W x 1 Z T 0 i b D A i I C 8 + P E V u d H J 5 I F R 5 c G U 9 I k Z p b G x P Y m p l Y 3 R U e X B l I i B W Y W x 1 Z T 0 i c 0 N v b m 5 l Y 3 R p b 2 5 P b m x 5 I i A v P j x F b n R y e S B U e X B l P S J G a W x s R X J y b 3 J D b 3 V u d C I g V m F s d W U 9 I m w w I i A v P j x F b n R y e S B U e X B l P S J G a W x s R X J y b 3 J D b 2 R l I i B W Y W x 1 Z T 0 i c 1 V u a 2 5 v d 2 4 i I C 8 + P E V u d H J 5 I F R 5 c G U 9 I k Z p b G x D b 3 V u d C I g V m F s d W U 9 I m w z O T k i I C 8 + P E V u d H J 5 I F R 5 c G U 9 I k Z p b G x D b 2 x 1 b W 5 O Y W 1 l c y I g V m F s d W U 9 I n N b J n F 1 b 3 Q 7 Y 2 9 t c G F u e W N v Z G U m c X V v d D s s J n F 1 b 3 Q 7 S X R l b S B S Z W Z l c m V u Y 2 U m c X V v d D s s J n F 1 b 3 Q 7 M j A x M S 0 x M i Z x d W 9 0 O y w m c X V v d D s y M D E y L T E z J n F 1 b 3 Q 7 L C Z x d W 9 0 O z I w M T M t M T Q m c X V v d D s s J n F 1 b 3 Q 7 M j A x N C 0 x N S Z x d W 9 0 O y w m c X V v d D s y M D E 1 L T E 2 J n F 1 b 3 Q 7 L C Z x d W 9 0 O z I w M T Y t M T c m c X V v d D s s J n F 1 b 3 Q 7 M j A x N y 0 x O C Z x d W 9 0 O y w m c X V v d D s y M D E 4 L T E 5 J n F 1 b 3 Q 7 L C Z x d W 9 0 O z I w M T k t M j A m c X V v d D s s J n F 1 b 3 Q 7 M j A y M C 0 y M S Z x d W 9 0 O y w m c X V v d D s y M D I x L T I y J n F 1 b 3 Q 7 L C Z x d W 9 0 O z I w M j I t M j M m c X V v d D t d I i A v P j x F b n R y e S B U e X B l P S J B Z G R l Z F R v R G F 0 Y U 1 v Z G V s I i B W Y W x 1 Z T 0 i b D A 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W N 0 a W 9 u M S 9 G X 0 9 1 d H B 1 d H N f c H J l c C A o U F E p L 0 F 1 d G 9 S Z W 1 v d m V k Q 2 9 s d W 1 u c z E u e 2 N v b X B h b n l j b 2 R l L D B 9 J n F 1 b 3 Q 7 L C Z x d W 9 0 O 1 N l Y 3 R p b 2 4 x L 0 Z f T 3 V 0 c H V 0 c 1 9 w c m V w I C h Q U S k v Q X V 0 b 1 J l b W 9 2 Z W R D b 2 x 1 b W 5 z M S 5 7 S X R l b S B S Z W Z l c m V u Y 2 U s M X 0 m c X V v d D s s J n F 1 b 3 Q 7 U 2 V j d G l v b j E v R l 9 P d X R w d X R z X 3 B y Z X A g K F B R K S 9 B d X R v U m V t b 3 Z l Z E N v b H V t b n M x L n s y M D E x L T E y L D J 9 J n F 1 b 3 Q 7 L C Z x d W 9 0 O 1 N l Y 3 R p b 2 4 x L 0 Z f T 3 V 0 c H V 0 c 1 9 w c m V w I C h Q U S k v Q X V 0 b 1 J l b W 9 2 Z W R D b 2 x 1 b W 5 z M S 5 7 M j A x M i 0 x M y w z f S Z x d W 9 0 O y w m c X V v d D t T Z W N 0 a W 9 u M S 9 G X 0 9 1 d H B 1 d H N f c H J l c C A o U F E p L 0 F 1 d G 9 S Z W 1 v d m V k Q 2 9 s d W 1 u c z E u e z I w M T M t M T Q s N H 0 m c X V v d D s s J n F 1 b 3 Q 7 U 2 V j d G l v b j E v R l 9 P d X R w d X R z X 3 B y Z X A g K F B R K S 9 B d X R v U m V t b 3 Z l Z E N v b H V t b n M x L n s y M D E 0 L T E 1 L D V 9 J n F 1 b 3 Q 7 L C Z x d W 9 0 O 1 N l Y 3 R p b 2 4 x L 0 Z f T 3 V 0 c H V 0 c 1 9 w c m V w I C h Q U S k v Q X V 0 b 1 J l b W 9 2 Z W R D b 2 x 1 b W 5 z M S 5 7 M j A x N S 0 x N i w 2 f S Z x d W 9 0 O y w m c X V v d D t T Z W N 0 a W 9 u M S 9 G X 0 9 1 d H B 1 d H N f c H J l c C A o U F E p L 0 F 1 d G 9 S Z W 1 v d m V k Q 2 9 s d W 1 u c z E u e z I w M T Y t M T c s N 3 0 m c X V v d D s s J n F 1 b 3 Q 7 U 2 V j d G l v b j E v R l 9 P d X R w d X R z X 3 B y Z X A g K F B R K S 9 B d X R v U m V t b 3 Z l Z E N v b H V t b n M x L n s y M D E 3 L T E 4 L D h 9 J n F 1 b 3 Q 7 L C Z x d W 9 0 O 1 N l Y 3 R p b 2 4 x L 0 Z f T 3 V 0 c H V 0 c 1 9 w c m V w I C h Q U S k v Q X V 0 b 1 J l b W 9 2 Z W R D b 2 x 1 b W 5 z M S 5 7 M j A x O C 0 x O S w 5 f S Z x d W 9 0 O y w m c X V v d D t T Z W N 0 a W 9 u M S 9 G X 0 9 1 d H B 1 d H N f c H J l c C A o U F E p L 0 F 1 d G 9 S Z W 1 v d m V k Q 2 9 s d W 1 u c z E u e z I w M T k t M j A s M T B 9 J n F 1 b 3 Q 7 L C Z x d W 9 0 O 1 N l Y 3 R p b 2 4 x L 0 Z f T 3 V 0 c H V 0 c 1 9 w c m V w I C h Q U S k v Q X V 0 b 1 J l b W 9 2 Z W R D b 2 x 1 b W 5 z M S 5 7 M j A y M C 0 y M S w x M X 0 m c X V v d D s s J n F 1 b 3 Q 7 U 2 V j d G l v b j E v R l 9 P d X R w d X R z X 3 B y Z X A g K F B R K S 9 B d X R v U m V t b 3 Z l Z E N v b H V t b n M x L n s y M D I x L T I y L D E y f S Z x d W 9 0 O y w m c X V v d D t T Z W N 0 a W 9 u M S 9 G X 0 9 1 d H B 1 d H N f c H J l c C A o U F E p L 0 F 1 d G 9 S Z W 1 v d m V k Q 2 9 s d W 1 u c z E u e z I w M j I t M j M s M T N 9 J n F 1 b 3 Q 7 X S w m c X V v d D t D b 2 x 1 b W 5 D b 3 V u d C Z x d W 9 0 O z o x N C w m c X V v d D t L Z X l D b 2 x 1 b W 5 O Y W 1 l c y Z x d W 9 0 O z p b X S w m c X V v d D t D b 2 x 1 b W 5 J Z G V u d G l 0 a W V z J n F 1 b 3 Q 7 O l s m c X V v d D t T Z W N 0 a W 9 u M S 9 G X 0 9 1 d H B 1 d H N f c H J l c C A o U F E p L 0 F 1 d G 9 S Z W 1 v d m V k Q 2 9 s d W 1 u c z E u e 2 N v b X B h b n l j b 2 R l L D B 9 J n F 1 b 3 Q 7 L C Z x d W 9 0 O 1 N l Y 3 R p b 2 4 x L 0 Z f T 3 V 0 c H V 0 c 1 9 w c m V w I C h Q U S k v Q X V 0 b 1 J l b W 9 2 Z W R D b 2 x 1 b W 5 z M S 5 7 S X R l b S B S Z W Z l c m V u Y 2 U s M X 0 m c X V v d D s s J n F 1 b 3 Q 7 U 2 V j d G l v b j E v R l 9 P d X R w d X R z X 3 B y Z X A g K F B R K S 9 B d X R v U m V t b 3 Z l Z E N v b H V t b n M x L n s y M D E x L T E y L D J 9 J n F 1 b 3 Q 7 L C Z x d W 9 0 O 1 N l Y 3 R p b 2 4 x L 0 Z f T 3 V 0 c H V 0 c 1 9 w c m V w I C h Q U S k v Q X V 0 b 1 J l b W 9 2 Z W R D b 2 x 1 b W 5 z M S 5 7 M j A x M i 0 x M y w z f S Z x d W 9 0 O y w m c X V v d D t T Z W N 0 a W 9 u M S 9 G X 0 9 1 d H B 1 d H N f c H J l c C A o U F E p L 0 F 1 d G 9 S Z W 1 v d m V k Q 2 9 s d W 1 u c z E u e z I w M T M t M T Q s N H 0 m c X V v d D s s J n F 1 b 3 Q 7 U 2 V j d G l v b j E v R l 9 P d X R w d X R z X 3 B y Z X A g K F B R K S 9 B d X R v U m V t b 3 Z l Z E N v b H V t b n M x L n s y M D E 0 L T E 1 L D V 9 J n F 1 b 3 Q 7 L C Z x d W 9 0 O 1 N l Y 3 R p b 2 4 x L 0 Z f T 3 V 0 c H V 0 c 1 9 w c m V w I C h Q U S k v Q X V 0 b 1 J l b W 9 2 Z W R D b 2 x 1 b W 5 z M S 5 7 M j A x N S 0 x N i w 2 f S Z x d W 9 0 O y w m c X V v d D t T Z W N 0 a W 9 u M S 9 G X 0 9 1 d H B 1 d H N f c H J l c C A o U F E p L 0 F 1 d G 9 S Z W 1 v d m V k Q 2 9 s d W 1 u c z E u e z I w M T Y t M T c s N 3 0 m c X V v d D s s J n F 1 b 3 Q 7 U 2 V j d G l v b j E v R l 9 P d X R w d X R z X 3 B y Z X A g K F B R K S 9 B d X R v U m V t b 3 Z l Z E N v b H V t b n M x L n s y M D E 3 L T E 4 L D h 9 J n F 1 b 3 Q 7 L C Z x d W 9 0 O 1 N l Y 3 R p b 2 4 x L 0 Z f T 3 V 0 c H V 0 c 1 9 w c m V w I C h Q U S k v Q X V 0 b 1 J l b W 9 2 Z W R D b 2 x 1 b W 5 z M S 5 7 M j A x O C 0 x O S w 5 f S Z x d W 9 0 O y w m c X V v d D t T Z W N 0 a W 9 u M S 9 G X 0 9 1 d H B 1 d H N f c H J l c C A o U F E p L 0 F 1 d G 9 S Z W 1 v d m V k Q 2 9 s d W 1 u c z E u e z I w M T k t M j A s M T B 9 J n F 1 b 3 Q 7 L C Z x d W 9 0 O 1 N l Y 3 R p b 2 4 x L 0 Z f T 3 V 0 c H V 0 c 1 9 w c m V w I C h Q U S k v Q X V 0 b 1 J l b W 9 2 Z W R D b 2 x 1 b W 5 z M S 5 7 M j A y M C 0 y M S w x M X 0 m c X V v d D s s J n F 1 b 3 Q 7 U 2 V j d G l v b j E v R l 9 P d X R w d X R z X 3 B y Z X A g K F B R K S 9 B d X R v U m V t b 3 Z l Z E N v b H V t b n M x L n s y M D I x L T I y L D E y f S Z x d W 9 0 O y w m c X V v d D t T Z W N 0 a W 9 u M S 9 G X 0 9 1 d H B 1 d H N f c H J l c C A o U F E p L 0 F 1 d G 9 S Z W 1 v d m V k Q 2 9 s d W 1 u c z E u e z I w M j I t M j M s M T N 9 J n F 1 b 3 Q 7 X S w m c X V v d D t S Z W x h d G l v b n N o a X B J b m Z v J n F 1 b 3 Q 7 O l t d f S I g L z 4 8 L 1 N 0 Y W J s Z U V u d H J p Z X M + P C 9 J d G V t P j x J d G V t P j x J d G V t T G 9 j Y X R p b 2 4 + P E l 0 Z W 1 U e X B l P k Z v c m 1 1 b G E 8 L 0 l 0 Z W 1 U e X B l P j x J d G V t U G F 0 a D 5 T Z W N 0 a W 9 u M S 9 G X 0 9 1 d H B 1 d H N f c H J l c C U y M C h Q U S k v U 2 9 1 c m N l P C 9 J d G V t U G F 0 a D 4 8 L 0 l 0 Z W 1 M b 2 N h d G l v b j 4 8 U 3 R h Y m x l R W 5 0 c m l l c y A v P j w v S X R l b T 4 8 S X R l b T 4 8 S X R l b U x v Y 2 F 0 a W 9 u P j x J d G V t V H l w Z T 5 G b 3 J t d W x h P C 9 J d G V t V H l w Z T 4 8 S X R l b V B h d G g + U 2 V j d G l v b j E v R l 9 P d X R w d X R z X 3 B y Z X A l M j A o U F E p L 1 J l b W 9 2 Z W Q l M j B D b 2 x 1 b W 5 z P C 9 J d G V t U G F 0 a D 4 8 L 0 l 0 Z W 1 M b 2 N h d G l v b j 4 8 U 3 R h Y m x l R W 5 0 c m l l c y A v P j w v S X R l b T 4 8 S X R l b T 4 8 S X R l b U x v Y 2 F 0 a W 9 u P j x J d G V t V H l w Z T 5 G b 3 J t d W x h P C 9 J d G V t V H l w Z T 4 8 S X R l b V B h d G g + U 2 V j d G l v b j E v R l 9 P d X R w d X R z X 3 B y Z X A l M j A o U F E p L 1 V u c G l 2 b 3 R l Z C U y M E 9 0 a G V y J T I w Q 2 9 s d W 1 u c z w v S X R l b V B h d G g + P C 9 J d G V t T G 9 j Y X R p b 2 4 + P F N 0 Y W J s Z U V u d H J p Z X M g L z 4 8 L 0 l 0 Z W 0 + P E l 0 Z W 0 + P E l 0 Z W 1 M b 2 N h d G l v b j 4 8 S X R l b V R 5 c G U + R m 9 y b X V s Y T w v S X R l b V R 5 c G U + P E l 0 Z W 1 Q Y X R o P l N l Y 3 R p b 2 4 x L 0 Z f T 3 V 0 c H V 0 c 1 9 w c m V w J T I w K F B R K S 9 S Z W 5 h b W V k J T I w Q 2 9 s d W 1 u c z w v S X R l b V B h d G g + P C 9 J d G V t T G 9 j Y X R p b 2 4 + P F N 0 Y W J s Z U V u d H J p Z X M g L z 4 8 L 0 l 0 Z W 0 + P E l 0 Z W 0 + P E l 0 Z W 1 M b 2 N h d G l v b j 4 8 S X R l b V R 5 c G U + R m 9 y b X V s Y T w v S X R l b V R 5 c G U + P E l 0 Z W 1 Q Y X R o P l N l Y 3 R p b 2 4 x L 0 Z f T 3 V 0 c H V 0 c 1 9 w c m V w J T I w K F B R K S 9 Q a X Z v d G V k J T I w Q 2 9 s d W 1 u P C 9 J d G V t U G F 0 a D 4 8 L 0 l 0 Z W 1 M b 2 N h d G l v b j 4 8 U 3 R h Y m x l R W 5 0 c m l l c y A v P j w v S X R l b T 4 8 S X R l b T 4 8 S X R l b U x v Y 2 F 0 a W 9 u P j x J d G V t V H l w Z T 5 G b 3 J t d W x h P C 9 J d G V t V H l w Z T 4 8 S X R l b V B h d G g + U 2 V j d G l v b j E v R l 9 P d X R w d X R z X 3 B y Z X A l M j A o U F E p L 0 Z f T 3 V 0 c H V 0 c 1 9 w c m V w X 1 N o Z W V 0 P C 9 J d G V t U G F 0 a D 4 8 L 0 l 0 Z W 1 M b 2 N h d G l v b j 4 8 U 3 R h Y m x l R W 5 0 c m l l c y A v P j w v S X R l b T 4 8 S X R l b T 4 8 S X R l b U x v Y 2 F 0 a W 9 u P j x J d G V t V H l w Z T 5 G b 3 J t d W x h P C 9 J d G V t V H l w Z T 4 8 S X R l b V B h d G g + U 2 V j d G l v b j E v R l 9 P d X R w d X R z X 3 B y Z X A l M j A o U F E p L 1 J l b W 9 2 Z W Q l M j B U b 3 A l M j B S b 3 d z P C 9 J d G V t U G F 0 a D 4 8 L 0 l 0 Z W 1 M b 2 N h d G l v b j 4 8 U 3 R h Y m x l R W 5 0 c m l l c y A v P j w v S X R l b T 4 8 S X R l b T 4 8 S X R l b U x v Y 2 F 0 a W 9 u P j x J d G V t V H l w Z T 5 G b 3 J t d W x h P C 9 J d G V t V H l w Z T 4 8 S X R l b V B h d G g + U 2 V j d G l v b j E v R l 9 P d X R w d X R z X 3 B y Z X A l M j A o U F E p L 1 B y b 2 1 v d G V k J T I w S G V h Z G V y c z E 8 L 0 l 0 Z W 1 Q Y X R o P j w v S X R l b U x v Y 2 F 0 a W 9 u P j x T d G F i b G V F b n R y a W V z I C 8 + P C 9 J d G V t P j x J d G V t P j x J d G V t T G 9 j Y X R p b 2 4 + P E l 0 Z W 1 U e X B l P k Z v c m 1 1 b G E 8 L 0 l 0 Z W 1 U e X B l P j x J d G V t U G F 0 a D 5 T Z W N 0 a W 9 u M S 9 G X 0 9 1 d H B 1 d H N f c H J l c C U y M C h Q U S k v Q 2 h h b m d l Z C U y M F R 5 c G U x P C 9 J d G V t U G F 0 a D 4 8 L 0 l 0 Z W 1 M b 2 N h d G l v b j 4 8 U 3 R h Y m x l R W 5 0 c m l l c y A v P j w v S X R l b T 4 8 L 0 l 0 Z W 1 z P j w v T G 9 j Y W x Q Y W N r Y W d l T W V 0 Y W R h d G F G a W x l P h Y A A A B Q S w U G A A A A A A A A A A A A A A A A A A A A A A A A J g E A A A E A A A D Q j J 3 f A R X R E Y x 6 A M B P w p f r A Q A A A N V 5 P J b + Q 5 t K u 2 J T / K J r w H w A A A A A A g A A A A A A E G Y A A A A B A A A g A A A A Q d 9 f B A b M y z N c E T f A 3 x a b c V A W o s v l s c 3 2 W n W T B i 8 M E a 0 A A A A A D o A A A A A C A A A g A A A A e b 0 B a + J Z 1 u b 4 D + T V i 6 E 2 A h a 0 D N w U P f U U r N Q Z a E B s v c 9 Q A A A A V W S s k J P 4 4 B l J X N R Z 0 Z Z o F T c G 9 2 t f v S G 3 v g t M C n M e R 6 i S Z U l / x F b k 3 B W 9 N F + e j 7 N x z M j 5 7 P g o s N 8 z e g C p L x A I 9 4 m B F i 2 c w q p B 5 W B V 7 x b v 3 Z B A A A A A W k C I R R G a f 9 3 w f G G + G Q U 2 5 B t b T G B B + J P D f 5 K t L 4 y O d u Q v / F d 7 f p P c n 6 J f 5 1 N h 9 H w V U n M Q 0 q T R 2 h u K e B s K q a G 1 V 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fadac89a-56fa-4a3d-a427-8ae1dcb95347">
      <Terms xmlns="http://schemas.microsoft.com/office/infopath/2007/PartnerControls"/>
    </lcf76f155ced4ddcb4097134ff3c332f>
    <ref xmlns="fadac89a-56fa-4a3d-a427-8ae1dcb9534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FD0C68-EAB4-4815-BA74-6C3B4B2AFBC5}"/>
</file>

<file path=customXml/itemProps2.xml><?xml version="1.0" encoding="utf-8"?>
<ds:datastoreItem xmlns:ds="http://schemas.openxmlformats.org/officeDocument/2006/customXml" ds:itemID="{16D8AD9A-F0B9-4609-94BB-4C89589F8EB3}"/>
</file>

<file path=customXml/itemProps3.xml><?xml version="1.0" encoding="utf-8"?>
<ds:datastoreItem xmlns:ds="http://schemas.openxmlformats.org/officeDocument/2006/customXml" ds:itemID="{4A72CD6C-A649-416F-9D69-BD9FC3FA98AA}"/>
</file>

<file path=customXml/itemProps4.xml><?xml version="1.0" encoding="utf-8"?>
<ds:datastoreItem xmlns:ds="http://schemas.openxmlformats.org/officeDocument/2006/customXml" ds:itemID="{340DCA88-A84D-42C4-A7F8-12CB7D10A1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Hugh Myers</cp:lastModifiedBy>
  <cp:revision>1</cp:revision>
  <dcterms:created xsi:type="dcterms:W3CDTF">2024-06-20T10:41:36Z</dcterms:created>
  <dcterms:modified xsi:type="dcterms:W3CDTF">2024-12-16T10:20:01Z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y fmtid="{D5CDD505-2E9C-101B-9397-08002B2CF9AE}" pid="4" name="SharedWithUsers">
    <vt:lpwstr>57;#Beth Jamieson;#4154;#Elizabeth McGrail</vt:lpwstr>
  </property>
</Properties>
</file>